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tables/table2.xml" ContentType="application/vnd.openxmlformats-officedocument.spreadsheetml.table+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http://deqsps/programs/rulemaking/aq/gplimited/docs/1-Planning/"/>
    </mc:Choice>
  </mc:AlternateContent>
  <bookViews>
    <workbookView xWindow="120" yWindow="-90" windowWidth="15570" windowHeight="7875" tabRatio="960" firstSheet="2" activeTab="3"/>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'1ProjectRecord'!$C$2:$S$22</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52511"/>
</workbook>
</file>

<file path=xl/calcChain.xml><?xml version="1.0" encoding="utf-8"?>
<calcChain xmlns="http://schemas.openxmlformats.org/spreadsheetml/2006/main">
  <c r="H7" i="89" l="1"/>
  <c r="G19" i="89"/>
  <c r="I222" i="120"/>
  <c r="I223" i="120"/>
  <c r="I224" i="120"/>
  <c r="I225" i="120"/>
  <c r="I226" i="120"/>
  <c r="I227" i="120"/>
  <c r="I228" i="120"/>
  <c r="I229" i="120"/>
  <c r="I230" i="120"/>
  <c r="I231" i="120"/>
  <c r="I232" i="120"/>
  <c r="I233" i="120"/>
  <c r="I234" i="120"/>
  <c r="I235" i="120"/>
  <c r="I236" i="120"/>
  <c r="I237" i="120"/>
  <c r="I238" i="120"/>
  <c r="I239" i="120"/>
  <c r="I240" i="120"/>
  <c r="I241" i="120"/>
  <c r="I242" i="120"/>
  <c r="I243" i="120"/>
  <c r="I244" i="120"/>
  <c r="I245" i="120"/>
  <c r="I246" i="120"/>
  <c r="I247" i="120"/>
  <c r="I248" i="120"/>
  <c r="I249" i="120"/>
  <c r="I250" i="120"/>
  <c r="I251" i="120"/>
  <c r="I252" i="120"/>
  <c r="I253" i="120"/>
  <c r="I254" i="120"/>
  <c r="I255" i="120"/>
  <c r="I256" i="120"/>
  <c r="I257" i="120"/>
  <c r="I258" i="120"/>
  <c r="I259" i="120"/>
  <c r="I260" i="120"/>
  <c r="I261" i="120"/>
  <c r="I262" i="120"/>
  <c r="I263" i="120"/>
  <c r="I264" i="120"/>
  <c r="I265" i="120"/>
  <c r="I266" i="120"/>
  <c r="I267" i="120"/>
  <c r="I268" i="120"/>
  <c r="I269" i="120"/>
  <c r="I270" i="120"/>
  <c r="I271" i="120"/>
  <c r="I272" i="120"/>
  <c r="I273" i="120"/>
  <c r="I274" i="120"/>
  <c r="I275" i="120"/>
  <c r="I276" i="120"/>
  <c r="I277" i="120"/>
  <c r="I278" i="120"/>
  <c r="I279" i="120"/>
  <c r="I280" i="120"/>
  <c r="I281" i="120"/>
  <c r="I282" i="120"/>
  <c r="I283" i="120"/>
  <c r="I284" i="120"/>
  <c r="I285" i="120"/>
  <c r="I286" i="120"/>
  <c r="I287" i="120"/>
  <c r="I288" i="120"/>
  <c r="I289" i="120"/>
  <c r="I290" i="120"/>
  <c r="I291" i="120"/>
  <c r="I292" i="120"/>
  <c r="I293" i="120"/>
  <c r="I294" i="120"/>
  <c r="I295" i="120"/>
  <c r="I296" i="120"/>
  <c r="I297" i="120"/>
  <c r="I298" i="120"/>
  <c r="I299" i="120"/>
  <c r="I300" i="120"/>
  <c r="I301" i="120"/>
  <c r="I302" i="120"/>
  <c r="I303" i="120"/>
  <c r="I304" i="120"/>
  <c r="I305" i="120"/>
  <c r="I306" i="120"/>
  <c r="I307" i="120"/>
  <c r="I308" i="120"/>
  <c r="I309" i="120"/>
  <c r="I310" i="120"/>
  <c r="I311" i="120"/>
  <c r="I312" i="120"/>
  <c r="I313" i="120"/>
  <c r="I314" i="120"/>
  <c r="J222" i="120"/>
  <c r="J223" i="120"/>
  <c r="J224" i="120"/>
  <c r="J225" i="120"/>
  <c r="J226" i="120"/>
  <c r="J227" i="120"/>
  <c r="J228" i="120"/>
  <c r="J229" i="120"/>
  <c r="J230" i="120"/>
  <c r="J231" i="120"/>
  <c r="J232" i="120"/>
  <c r="J233" i="120"/>
  <c r="J234" i="120"/>
  <c r="J235" i="120"/>
  <c r="J236" i="120"/>
  <c r="J237" i="120"/>
  <c r="J238" i="120"/>
  <c r="J239" i="120"/>
  <c r="J240" i="120"/>
  <c r="J241" i="120"/>
  <c r="J242" i="120"/>
  <c r="J243" i="120"/>
  <c r="J244" i="120"/>
  <c r="J245" i="120"/>
  <c r="J246" i="120"/>
  <c r="J247" i="120"/>
  <c r="J248" i="120"/>
  <c r="J249" i="120"/>
  <c r="J250" i="120"/>
  <c r="J251" i="120"/>
  <c r="J252" i="120"/>
  <c r="J253" i="120"/>
  <c r="J254" i="120"/>
  <c r="J255" i="120"/>
  <c r="J256" i="120"/>
  <c r="J257" i="120"/>
  <c r="J258" i="120"/>
  <c r="J259" i="120"/>
  <c r="J260" i="120"/>
  <c r="J261" i="120"/>
  <c r="J262" i="120"/>
  <c r="J263" i="120"/>
  <c r="J264" i="120"/>
  <c r="J265" i="120"/>
  <c r="J266" i="120"/>
  <c r="J267" i="120"/>
  <c r="J268" i="120"/>
  <c r="J269" i="120"/>
  <c r="J270" i="120"/>
  <c r="J271" i="120"/>
  <c r="J272" i="120"/>
  <c r="J273" i="120"/>
  <c r="J274" i="120"/>
  <c r="J275" i="120"/>
  <c r="J276" i="120"/>
  <c r="J277" i="120"/>
  <c r="J278" i="120"/>
  <c r="J279" i="120"/>
  <c r="J280" i="120"/>
  <c r="J281" i="120"/>
  <c r="J282" i="120"/>
  <c r="J283" i="120"/>
  <c r="J284" i="120"/>
  <c r="J285" i="120"/>
  <c r="J286" i="120"/>
  <c r="J287" i="120"/>
  <c r="J288" i="120"/>
  <c r="J289" i="120"/>
  <c r="J290" i="120"/>
  <c r="J291" i="120"/>
  <c r="J292" i="120"/>
  <c r="J293" i="120"/>
  <c r="I216" i="120"/>
  <c r="I217" i="120"/>
  <c r="I218" i="120"/>
  <c r="I219" i="120"/>
  <c r="I220" i="120"/>
  <c r="I221" i="120"/>
  <c r="J216" i="120"/>
  <c r="J217" i="120"/>
  <c r="J218" i="120"/>
  <c r="J219" i="120"/>
  <c r="J220" i="120"/>
  <c r="J221" i="120"/>
  <c r="J294" i="120"/>
  <c r="J295" i="120"/>
  <c r="J296" i="120"/>
  <c r="J297" i="120"/>
  <c r="J298" i="120"/>
  <c r="J299" i="120"/>
  <c r="J300" i="120"/>
  <c r="J301" i="120"/>
  <c r="J302" i="120"/>
  <c r="J303" i="120"/>
  <c r="J304" i="120"/>
  <c r="J305" i="120"/>
  <c r="J306" i="120"/>
  <c r="J307" i="120"/>
  <c r="J308" i="120"/>
  <c r="J309" i="120"/>
  <c r="J310" i="120"/>
  <c r="J311" i="120"/>
  <c r="I215" i="120"/>
  <c r="I203" i="120"/>
  <c r="I204" i="120"/>
  <c r="I205" i="120"/>
  <c r="I206" i="120"/>
  <c r="I207" i="120"/>
  <c r="I208" i="120"/>
  <c r="I209" i="120"/>
  <c r="I210" i="120"/>
  <c r="I211" i="120"/>
  <c r="I212" i="120"/>
  <c r="I213" i="120"/>
  <c r="J203" i="120"/>
  <c r="J204" i="120"/>
  <c r="J205" i="120"/>
  <c r="J206" i="120"/>
  <c r="J207" i="120"/>
  <c r="J208" i="120"/>
  <c r="J209" i="120"/>
  <c r="J210" i="120"/>
  <c r="J211" i="120"/>
  <c r="J212" i="120"/>
  <c r="J213" i="120"/>
  <c r="J214" i="120"/>
  <c r="J215" i="120"/>
  <c r="J312" i="120"/>
  <c r="J313" i="120"/>
  <c r="J314" i="120"/>
  <c r="I185" i="120"/>
  <c r="I186" i="120"/>
  <c r="I187" i="120"/>
  <c r="I188" i="120"/>
  <c r="I189" i="120"/>
  <c r="I190" i="120"/>
  <c r="I191" i="120"/>
  <c r="I192" i="120"/>
  <c r="I193" i="120"/>
  <c r="I194" i="120"/>
  <c r="I195" i="120"/>
  <c r="I196" i="120"/>
  <c r="I197" i="120"/>
  <c r="I198" i="120"/>
  <c r="I199" i="120"/>
  <c r="I200" i="120"/>
  <c r="I201" i="120"/>
  <c r="I202" i="120"/>
  <c r="J185" i="120"/>
  <c r="J186" i="120"/>
  <c r="J187" i="120"/>
  <c r="J188" i="120"/>
  <c r="J189" i="120"/>
  <c r="J190" i="120"/>
  <c r="J191" i="120"/>
  <c r="J192" i="120"/>
  <c r="J193" i="120"/>
  <c r="J194" i="120"/>
  <c r="J195" i="120"/>
  <c r="J196" i="120"/>
  <c r="J197" i="120"/>
  <c r="J198" i="120"/>
  <c r="J199" i="120"/>
  <c r="J200" i="120"/>
  <c r="J201" i="120"/>
  <c r="J202" i="120"/>
  <c r="V6" i="89"/>
  <c r="I174" i="120"/>
  <c r="I175" i="120"/>
  <c r="I176" i="120"/>
  <c r="I177" i="120"/>
  <c r="I178" i="120"/>
  <c r="I179" i="120"/>
  <c r="I180" i="120"/>
  <c r="I181" i="120"/>
  <c r="I182" i="120"/>
  <c r="I183" i="120"/>
  <c r="I184" i="120"/>
  <c r="J174" i="120"/>
  <c r="J175" i="120"/>
  <c r="J176" i="120"/>
  <c r="J177" i="120"/>
  <c r="J178" i="120"/>
  <c r="J179" i="120"/>
  <c r="J180" i="120"/>
  <c r="J181" i="120"/>
  <c r="J182" i="120"/>
  <c r="J183" i="120"/>
  <c r="J184" i="120"/>
  <c r="J123" i="120"/>
  <c r="J124" i="120"/>
  <c r="J125" i="120"/>
  <c r="J126" i="120"/>
  <c r="J127" i="120"/>
  <c r="J128" i="120"/>
  <c r="J129" i="120"/>
  <c r="J130" i="120"/>
  <c r="J131" i="120"/>
  <c r="J132" i="120"/>
  <c r="J133" i="120"/>
  <c r="I113" i="120"/>
  <c r="I114" i="120"/>
  <c r="I115" i="120"/>
  <c r="I116" i="120"/>
  <c r="I117" i="120"/>
  <c r="I118" i="120"/>
  <c r="I119" i="120"/>
  <c r="I120" i="120"/>
  <c r="I121" i="120"/>
  <c r="I122" i="120"/>
  <c r="I123" i="120"/>
  <c r="I124" i="120"/>
  <c r="I112" i="120"/>
  <c r="I104" i="120"/>
  <c r="I105" i="120"/>
  <c r="I106" i="120"/>
  <c r="I107" i="120"/>
  <c r="I108" i="120"/>
  <c r="I109" i="120"/>
  <c r="I110" i="120"/>
  <c r="I111" i="120"/>
  <c r="J99" i="120"/>
  <c r="J100" i="120"/>
  <c r="J101" i="120"/>
  <c r="J102" i="120"/>
  <c r="J103" i="120"/>
  <c r="J104" i="120"/>
  <c r="J105" i="120"/>
  <c r="J106" i="120"/>
  <c r="J107" i="120"/>
  <c r="J108" i="120"/>
  <c r="J109" i="120"/>
  <c r="J110" i="120"/>
  <c r="J111" i="120"/>
  <c r="J112" i="120"/>
  <c r="I99" i="120"/>
  <c r="I100" i="120"/>
  <c r="I101" i="120"/>
  <c r="I102" i="120"/>
  <c r="I103" i="120"/>
  <c r="I91" i="120"/>
  <c r="I92" i="120"/>
  <c r="I93" i="120"/>
  <c r="I94" i="120"/>
  <c r="I95" i="120"/>
  <c r="I96" i="120"/>
  <c r="I97" i="120"/>
  <c r="I98" i="120"/>
  <c r="I84" i="120"/>
  <c r="I85" i="120"/>
  <c r="I86" i="120"/>
  <c r="I87" i="120"/>
  <c r="I88" i="120"/>
  <c r="I89" i="120"/>
  <c r="I90" i="120"/>
  <c r="I125" i="120"/>
  <c r="I126" i="120"/>
  <c r="I127" i="120"/>
  <c r="I128" i="120"/>
  <c r="I129" i="120"/>
  <c r="I130" i="120"/>
  <c r="I131" i="120"/>
  <c r="I132" i="120"/>
  <c r="I133" i="120"/>
  <c r="I134" i="120"/>
  <c r="I135" i="120"/>
  <c r="I136" i="120"/>
  <c r="I137" i="120"/>
  <c r="I138" i="120"/>
  <c r="I139" i="120"/>
  <c r="I140" i="120"/>
  <c r="I141" i="120"/>
  <c r="I142" i="120"/>
  <c r="I143" i="120"/>
  <c r="I144" i="120"/>
  <c r="I145" i="120"/>
  <c r="I146" i="120"/>
  <c r="I147" i="120"/>
  <c r="I148" i="120"/>
  <c r="I149" i="120"/>
  <c r="I150" i="120"/>
  <c r="I151" i="120"/>
  <c r="I152" i="120"/>
  <c r="I153" i="120"/>
  <c r="I154" i="120"/>
  <c r="I155" i="120"/>
  <c r="I156" i="120"/>
  <c r="I157" i="120"/>
  <c r="I158" i="120"/>
  <c r="I159" i="120"/>
  <c r="I160" i="120"/>
  <c r="J113" i="120"/>
  <c r="J114" i="120"/>
  <c r="J115" i="120"/>
  <c r="J116" i="120"/>
  <c r="J117" i="120"/>
  <c r="J118" i="120"/>
  <c r="J119" i="120"/>
  <c r="J120" i="120"/>
  <c r="J121" i="120"/>
  <c r="J122" i="120"/>
  <c r="J134" i="120"/>
  <c r="J135" i="120"/>
  <c r="J136" i="120"/>
  <c r="J137" i="120"/>
  <c r="J138" i="120"/>
  <c r="J139" i="120"/>
  <c r="J140" i="120"/>
  <c r="J141" i="120"/>
  <c r="J142" i="120"/>
  <c r="J143" i="120"/>
  <c r="J144" i="120"/>
  <c r="J145" i="120"/>
  <c r="J146" i="120"/>
  <c r="J147" i="120"/>
  <c r="J148" i="120"/>
  <c r="J149" i="120"/>
  <c r="J150" i="120"/>
  <c r="J151" i="120"/>
  <c r="J152" i="120"/>
  <c r="J153" i="120"/>
  <c r="J154" i="120"/>
  <c r="J155" i="120"/>
  <c r="J156" i="120"/>
  <c r="J157" i="120"/>
  <c r="J158" i="120"/>
  <c r="J159" i="120"/>
  <c r="J160" i="120"/>
  <c r="J85" i="120"/>
  <c r="J86" i="120"/>
  <c r="J87" i="120"/>
  <c r="J88" i="120"/>
  <c r="J89" i="120"/>
  <c r="J90" i="120"/>
  <c r="J91" i="120"/>
  <c r="J92" i="120"/>
  <c r="J93" i="120"/>
  <c r="J94" i="120"/>
  <c r="J95" i="120"/>
  <c r="J96" i="120"/>
  <c r="J97" i="120"/>
  <c r="J98" i="120"/>
  <c r="I3" i="120"/>
  <c r="I4" i="120"/>
  <c r="I5" i="120"/>
  <c r="I6" i="120"/>
  <c r="I7" i="120"/>
  <c r="I8" i="120"/>
  <c r="I9" i="120"/>
  <c r="I10" i="120"/>
  <c r="I11" i="120"/>
  <c r="I12" i="120"/>
  <c r="I13" i="120"/>
  <c r="I14" i="120"/>
  <c r="I15" i="120"/>
  <c r="I16" i="120"/>
  <c r="I17" i="120"/>
  <c r="I18" i="120"/>
  <c r="I19" i="120"/>
  <c r="I20" i="120"/>
  <c r="I21" i="120"/>
  <c r="I22" i="120"/>
  <c r="I23" i="120"/>
  <c r="I24" i="120"/>
  <c r="I25" i="120"/>
  <c r="I26" i="120"/>
  <c r="I27" i="120"/>
  <c r="I28" i="120"/>
  <c r="I29" i="120"/>
  <c r="I30" i="120"/>
  <c r="I31" i="120"/>
  <c r="I32" i="120"/>
  <c r="I33" i="120"/>
  <c r="I34" i="120"/>
  <c r="I35" i="120"/>
  <c r="I36" i="120"/>
  <c r="I37" i="120"/>
  <c r="I39" i="120"/>
  <c r="I40" i="120"/>
  <c r="I41" i="120"/>
  <c r="I42" i="120"/>
  <c r="I43" i="120"/>
  <c r="I44" i="120"/>
  <c r="I45" i="120"/>
  <c r="I46" i="120"/>
  <c r="I47" i="120"/>
  <c r="I48" i="120"/>
  <c r="I49" i="120"/>
  <c r="I50" i="120"/>
  <c r="I51" i="120"/>
  <c r="I52" i="120"/>
  <c r="I53" i="120"/>
  <c r="I54" i="120"/>
  <c r="I55" i="120"/>
  <c r="I56" i="120"/>
  <c r="I57" i="120"/>
  <c r="I58" i="120"/>
  <c r="I59" i="120"/>
  <c r="I60" i="120"/>
  <c r="I61" i="120"/>
  <c r="I62" i="120"/>
  <c r="I63" i="120"/>
  <c r="I64" i="120"/>
  <c r="I65" i="120"/>
  <c r="I66" i="120"/>
  <c r="I67" i="120"/>
  <c r="I68" i="120"/>
  <c r="I69" i="120"/>
  <c r="I70" i="120"/>
  <c r="I71" i="120"/>
  <c r="I72" i="120"/>
  <c r="I73" i="120"/>
  <c r="I74" i="120"/>
  <c r="I75" i="120"/>
  <c r="I76" i="120"/>
  <c r="I77" i="120"/>
  <c r="I78" i="120"/>
  <c r="I79" i="120"/>
  <c r="I80" i="120"/>
  <c r="I81" i="120"/>
  <c r="I82" i="120"/>
  <c r="I83" i="120"/>
  <c r="J3" i="120"/>
  <c r="J4" i="120"/>
  <c r="J5" i="120"/>
  <c r="J6" i="120"/>
  <c r="J7" i="120"/>
  <c r="J8" i="120"/>
  <c r="J9" i="120"/>
  <c r="J10" i="120"/>
  <c r="J11" i="120"/>
  <c r="J12" i="120"/>
  <c r="J13" i="120"/>
  <c r="J14" i="120"/>
  <c r="J15" i="120"/>
  <c r="J16" i="120"/>
  <c r="J17" i="120"/>
  <c r="J18" i="120"/>
  <c r="J19" i="120"/>
  <c r="J20" i="120"/>
  <c r="J21" i="120"/>
  <c r="J22" i="120"/>
  <c r="J23" i="120"/>
  <c r="J24" i="120"/>
  <c r="J25" i="120"/>
  <c r="J26" i="120"/>
  <c r="J27" i="120"/>
  <c r="J28" i="120"/>
  <c r="J29" i="120"/>
  <c r="J30" i="120"/>
  <c r="J31" i="120"/>
  <c r="J32" i="120"/>
  <c r="J33" i="120"/>
  <c r="J34" i="120"/>
  <c r="J35" i="120"/>
  <c r="J36" i="120"/>
  <c r="J37" i="120"/>
  <c r="J39" i="120"/>
  <c r="J40" i="120"/>
  <c r="J41" i="120"/>
  <c r="J42" i="120"/>
  <c r="J43" i="120"/>
  <c r="J44" i="120"/>
  <c r="J45" i="120"/>
  <c r="J46" i="120"/>
  <c r="J47" i="120"/>
  <c r="J48" i="120"/>
  <c r="J49" i="120"/>
  <c r="J50" i="120"/>
  <c r="J51" i="120"/>
  <c r="J52" i="120"/>
  <c r="J53" i="120"/>
  <c r="J54" i="120"/>
  <c r="J55" i="120"/>
  <c r="J56" i="120"/>
  <c r="J57" i="120"/>
  <c r="J58" i="120"/>
  <c r="J59" i="120"/>
  <c r="J60" i="120"/>
  <c r="J61" i="120"/>
  <c r="J62" i="120"/>
  <c r="J63" i="120"/>
  <c r="J64" i="120"/>
  <c r="J65" i="120"/>
  <c r="J66" i="120"/>
  <c r="J67" i="120"/>
  <c r="J68" i="120"/>
  <c r="J69" i="120"/>
  <c r="J70" i="120"/>
  <c r="J71" i="120"/>
  <c r="J72" i="120"/>
  <c r="J73" i="120"/>
  <c r="J74" i="120"/>
  <c r="J75" i="120"/>
  <c r="J76" i="120"/>
  <c r="J77" i="120"/>
  <c r="J78" i="120"/>
  <c r="J79" i="120"/>
  <c r="J80" i="120"/>
  <c r="J81" i="120"/>
  <c r="J82" i="120"/>
  <c r="J83" i="120"/>
  <c r="J84" i="120"/>
  <c r="J161" i="120"/>
  <c r="J162" i="120"/>
  <c r="J163" i="120"/>
  <c r="J164" i="120"/>
  <c r="J165" i="120"/>
  <c r="J166" i="120"/>
  <c r="J167" i="120"/>
  <c r="J168" i="120"/>
  <c r="J169" i="120"/>
  <c r="J170" i="120"/>
  <c r="J171" i="120"/>
  <c r="J172" i="120"/>
  <c r="J173" i="120"/>
  <c r="F264" i="119" l="1"/>
  <c r="F263" i="119"/>
  <c r="F262" i="119"/>
  <c r="F261" i="119"/>
  <c r="F260" i="119"/>
  <c r="F259" i="119"/>
  <c r="F258" i="119"/>
  <c r="F257" i="119"/>
  <c r="F256" i="119"/>
  <c r="F255" i="119"/>
  <c r="F254" i="119"/>
  <c r="F253" i="119"/>
  <c r="F252" i="119"/>
  <c r="F251" i="119"/>
  <c r="F250" i="119"/>
  <c r="F249" i="119"/>
  <c r="F248" i="119"/>
  <c r="F247" i="119"/>
  <c r="F246" i="119"/>
  <c r="F245" i="119"/>
  <c r="F244" i="119"/>
  <c r="F243" i="119"/>
  <c r="F242" i="119"/>
  <c r="F241" i="119"/>
  <c r="F240" i="119"/>
  <c r="F239" i="119"/>
  <c r="F238" i="119"/>
  <c r="F237" i="119"/>
  <c r="F236" i="119"/>
  <c r="F235" i="119"/>
  <c r="F234" i="119"/>
  <c r="F233" i="119"/>
  <c r="F230" i="119"/>
  <c r="F231" i="119"/>
  <c r="F232" i="119"/>
  <c r="F229" i="119"/>
  <c r="F228" i="119"/>
  <c r="F227" i="119"/>
  <c r="F226" i="119"/>
  <c r="F225" i="119"/>
  <c r="H223" i="119"/>
  <c r="F224" i="119"/>
  <c r="F223" i="119"/>
  <c r="F222" i="119"/>
  <c r="F221" i="119"/>
  <c r="F220" i="119"/>
  <c r="F219" i="119"/>
  <c r="F218" i="119"/>
  <c r="F217" i="119"/>
  <c r="H217" i="119"/>
  <c r="J217" i="119" s="1"/>
  <c r="H265" i="119"/>
  <c r="J265" i="119" s="1"/>
  <c r="H266" i="119"/>
  <c r="J266" i="119" s="1"/>
  <c r="H267" i="119"/>
  <c r="J267" i="119" s="1"/>
  <c r="H268" i="119"/>
  <c r="I268" i="119" s="1"/>
  <c r="H269" i="119"/>
  <c r="I269" i="119" s="1"/>
  <c r="H270" i="119"/>
  <c r="J270" i="119" s="1"/>
  <c r="H271" i="119"/>
  <c r="J271" i="119" s="1"/>
  <c r="H272" i="119"/>
  <c r="J272" i="119" s="1"/>
  <c r="H273" i="119"/>
  <c r="I273" i="119" s="1"/>
  <c r="H274" i="119"/>
  <c r="J274" i="119" s="1"/>
  <c r="H275" i="119"/>
  <c r="J275" i="119" s="1"/>
  <c r="H276" i="119"/>
  <c r="I276" i="119" s="1"/>
  <c r="H277" i="119"/>
  <c r="J277" i="119" s="1"/>
  <c r="H278" i="119"/>
  <c r="I278" i="119" s="1"/>
  <c r="H279" i="119"/>
  <c r="I279" i="119" s="1"/>
  <c r="H280" i="119"/>
  <c r="I280" i="119" s="1"/>
  <c r="H281" i="119"/>
  <c r="J281" i="119" s="1"/>
  <c r="H282" i="119"/>
  <c r="J282" i="119" s="1"/>
  <c r="H283" i="119"/>
  <c r="J283" i="119" s="1"/>
  <c r="H284" i="119"/>
  <c r="I284" i="119" s="1"/>
  <c r="H285" i="119"/>
  <c r="I285" i="119" s="1"/>
  <c r="H286" i="119"/>
  <c r="J286" i="119" s="1"/>
  <c r="H287" i="119"/>
  <c r="J287" i="119" s="1"/>
  <c r="H288" i="119"/>
  <c r="J288" i="119" s="1"/>
  <c r="H289" i="119"/>
  <c r="J289" i="119" s="1"/>
  <c r="H290" i="119"/>
  <c r="J290" i="119" s="1"/>
  <c r="H291" i="119"/>
  <c r="J291" i="119" s="1"/>
  <c r="H292" i="119"/>
  <c r="I292" i="119" s="1"/>
  <c r="H293" i="119"/>
  <c r="I293" i="119" s="1"/>
  <c r="H294" i="119"/>
  <c r="I294" i="119" s="1"/>
  <c r="H295" i="119"/>
  <c r="I295" i="119" s="1"/>
  <c r="H296" i="119"/>
  <c r="I296" i="119" s="1"/>
  <c r="I271" i="119"/>
  <c r="I286" i="119"/>
  <c r="I287" i="119"/>
  <c r="I217" i="119"/>
  <c r="I272" i="119"/>
  <c r="I288" i="119"/>
  <c r="I289" i="119"/>
  <c r="I290" i="119"/>
  <c r="I291" i="119"/>
  <c r="T15" i="117"/>
  <c r="F216" i="119"/>
  <c r="F215" i="119"/>
  <c r="F214" i="119"/>
  <c r="F213" i="119"/>
  <c r="F212" i="119"/>
  <c r="F211" i="119"/>
  <c r="F210" i="119"/>
  <c r="F209" i="119"/>
  <c r="F208" i="119"/>
  <c r="F207" i="119"/>
  <c r="F206" i="119"/>
  <c r="F205" i="119"/>
  <c r="F204" i="119"/>
  <c r="F203" i="119"/>
  <c r="F202" i="119"/>
  <c r="F201" i="119"/>
  <c r="F200" i="119"/>
  <c r="F199" i="119"/>
  <c r="F198" i="119"/>
  <c r="F197" i="119"/>
  <c r="F196" i="119"/>
  <c r="F195" i="119"/>
  <c r="F194" i="119"/>
  <c r="F193" i="119"/>
  <c r="F192" i="119"/>
  <c r="F191" i="119"/>
  <c r="F190" i="119"/>
  <c r="F189" i="119"/>
  <c r="F188" i="119"/>
  <c r="F187" i="119"/>
  <c r="F186" i="119"/>
  <c r="F185" i="119"/>
  <c r="D290" i="119"/>
  <c r="D291" i="119"/>
  <c r="D292" i="119"/>
  <c r="D293" i="119"/>
  <c r="D294" i="119"/>
  <c r="D295" i="119"/>
  <c r="D296" i="119"/>
  <c r="D289" i="119"/>
  <c r="D282" i="119"/>
  <c r="D283" i="119"/>
  <c r="D284" i="119"/>
  <c r="D285" i="119"/>
  <c r="D286" i="119"/>
  <c r="D287" i="119"/>
  <c r="D288" i="119"/>
  <c r="D281" i="119"/>
  <c r="A281" i="119"/>
  <c r="A282" i="119"/>
  <c r="A283" i="119"/>
  <c r="A284" i="119"/>
  <c r="A285" i="119"/>
  <c r="A286" i="119"/>
  <c r="B281" i="119"/>
  <c r="B282" i="119"/>
  <c r="B283" i="119"/>
  <c r="B284" i="119"/>
  <c r="B285" i="119"/>
  <c r="B286" i="119"/>
  <c r="F281" i="119"/>
  <c r="F282" i="119"/>
  <c r="F283" i="119"/>
  <c r="F284" i="119"/>
  <c r="F285" i="119"/>
  <c r="F286" i="119"/>
  <c r="A287" i="119"/>
  <c r="A288" i="119"/>
  <c r="A289" i="119"/>
  <c r="A290" i="119"/>
  <c r="A291" i="119"/>
  <c r="A292" i="119"/>
  <c r="B287" i="119"/>
  <c r="B288" i="119"/>
  <c r="B289" i="119"/>
  <c r="B290" i="119"/>
  <c r="B291" i="119"/>
  <c r="B292" i="119"/>
  <c r="F287" i="119"/>
  <c r="F288" i="119"/>
  <c r="F289" i="119"/>
  <c r="F290" i="119"/>
  <c r="F291" i="119"/>
  <c r="F292" i="119"/>
  <c r="A293" i="119"/>
  <c r="A294" i="119"/>
  <c r="A295" i="119"/>
  <c r="A296" i="119"/>
  <c r="B293" i="119"/>
  <c r="B294" i="119"/>
  <c r="B295" i="119"/>
  <c r="B296" i="119"/>
  <c r="F293" i="119"/>
  <c r="F294" i="119"/>
  <c r="F295" i="119"/>
  <c r="F296" i="119"/>
  <c r="D274" i="119"/>
  <c r="D275" i="119"/>
  <c r="D276" i="119"/>
  <c r="D277" i="119"/>
  <c r="D278" i="119"/>
  <c r="D279" i="119"/>
  <c r="D280" i="119"/>
  <c r="D273" i="119"/>
  <c r="D266" i="119"/>
  <c r="D267" i="119"/>
  <c r="D268" i="119"/>
  <c r="D269" i="119"/>
  <c r="D270" i="119"/>
  <c r="D271" i="119"/>
  <c r="D272" i="119"/>
  <c r="D265" i="119"/>
  <c r="A267" i="119"/>
  <c r="A268" i="119"/>
  <c r="A269" i="119"/>
  <c r="B267" i="119"/>
  <c r="B268" i="119"/>
  <c r="B269" i="119"/>
  <c r="F267" i="119"/>
  <c r="F268" i="119"/>
  <c r="F269" i="119"/>
  <c r="A270" i="119"/>
  <c r="A271" i="119"/>
  <c r="A272" i="119"/>
  <c r="B270" i="119"/>
  <c r="B271" i="119"/>
  <c r="B272" i="119"/>
  <c r="F270" i="119"/>
  <c r="F271" i="119"/>
  <c r="F272" i="119"/>
  <c r="A273" i="119"/>
  <c r="A274" i="119"/>
  <c r="A275" i="119"/>
  <c r="B273" i="119"/>
  <c r="B274" i="119"/>
  <c r="B275" i="119"/>
  <c r="F273" i="119"/>
  <c r="F274" i="119"/>
  <c r="F275" i="119"/>
  <c r="A276" i="119"/>
  <c r="A277" i="119"/>
  <c r="A278" i="119"/>
  <c r="B276" i="119"/>
  <c r="B277" i="119"/>
  <c r="B278" i="119"/>
  <c r="F276" i="119"/>
  <c r="F277" i="119"/>
  <c r="F278" i="119"/>
  <c r="A279" i="119"/>
  <c r="A280" i="119"/>
  <c r="B279" i="119"/>
  <c r="B280" i="119"/>
  <c r="F279" i="119"/>
  <c r="F280" i="119"/>
  <c r="A249" i="119"/>
  <c r="A250" i="119"/>
  <c r="A251" i="119"/>
  <c r="A252" i="119"/>
  <c r="A253" i="119"/>
  <c r="B249" i="119"/>
  <c r="B250" i="119"/>
  <c r="B251" i="119"/>
  <c r="B252" i="119"/>
  <c r="B253" i="119"/>
  <c r="A254" i="119"/>
  <c r="A255" i="119"/>
  <c r="A256" i="119"/>
  <c r="A257" i="119"/>
  <c r="A258" i="119"/>
  <c r="B254" i="119"/>
  <c r="B255" i="119"/>
  <c r="B256" i="119"/>
  <c r="B257" i="119"/>
  <c r="B258" i="119"/>
  <c r="A259" i="119"/>
  <c r="A260" i="119"/>
  <c r="A261" i="119"/>
  <c r="A262" i="119"/>
  <c r="A263" i="119"/>
  <c r="B259" i="119"/>
  <c r="B260" i="119"/>
  <c r="B261" i="119"/>
  <c r="B262" i="119"/>
  <c r="B263" i="119"/>
  <c r="A241" i="119"/>
  <c r="A242" i="119"/>
  <c r="A243" i="119"/>
  <c r="B241" i="119"/>
  <c r="B242" i="119"/>
  <c r="B243" i="119"/>
  <c r="A244" i="119"/>
  <c r="A245" i="119"/>
  <c r="A246" i="119"/>
  <c r="B244" i="119"/>
  <c r="B245" i="119"/>
  <c r="B246" i="119"/>
  <c r="A247" i="119"/>
  <c r="A248" i="119"/>
  <c r="A264" i="119"/>
  <c r="B247" i="119"/>
  <c r="B248" i="119"/>
  <c r="B264" i="119"/>
  <c r="A265" i="119"/>
  <c r="A266" i="119"/>
  <c r="B265" i="119"/>
  <c r="B266" i="119"/>
  <c r="F265" i="119"/>
  <c r="F266" i="119"/>
  <c r="A218" i="119"/>
  <c r="A219" i="119"/>
  <c r="A220" i="119"/>
  <c r="A221" i="119"/>
  <c r="A222" i="119"/>
  <c r="A223" i="119"/>
  <c r="A224" i="119"/>
  <c r="A225" i="119"/>
  <c r="A226" i="119"/>
  <c r="A227" i="119"/>
  <c r="B218" i="119"/>
  <c r="B219" i="119"/>
  <c r="B220" i="119"/>
  <c r="B221" i="119"/>
  <c r="B222" i="119"/>
  <c r="B223" i="119"/>
  <c r="B224" i="119"/>
  <c r="B225" i="119"/>
  <c r="B226" i="119"/>
  <c r="B227" i="119"/>
  <c r="A211" i="119"/>
  <c r="A212" i="119"/>
  <c r="A213" i="119"/>
  <c r="A214" i="119"/>
  <c r="A215" i="119"/>
  <c r="A216" i="119"/>
  <c r="A217" i="119"/>
  <c r="B211" i="119"/>
  <c r="B212" i="119"/>
  <c r="B213" i="119"/>
  <c r="B214" i="119"/>
  <c r="B215" i="119"/>
  <c r="B216" i="119"/>
  <c r="B217" i="119"/>
  <c r="A228" i="119"/>
  <c r="A229" i="119"/>
  <c r="A230" i="119"/>
  <c r="A231" i="119"/>
  <c r="A232" i="119"/>
  <c r="A233" i="119"/>
  <c r="A234" i="119"/>
  <c r="B228" i="119"/>
  <c r="B229" i="119"/>
  <c r="B230" i="119"/>
  <c r="B231" i="119"/>
  <c r="B232" i="119"/>
  <c r="B233" i="119"/>
  <c r="B234" i="119"/>
  <c r="A196" i="119"/>
  <c r="A197" i="119"/>
  <c r="A198" i="119"/>
  <c r="A199" i="119"/>
  <c r="A200" i="119"/>
  <c r="A201" i="119"/>
  <c r="A202" i="119"/>
  <c r="A203" i="119"/>
  <c r="A204" i="119"/>
  <c r="A205" i="119"/>
  <c r="B196" i="119"/>
  <c r="B197" i="119"/>
  <c r="B198" i="119"/>
  <c r="B199" i="119"/>
  <c r="B200" i="119"/>
  <c r="B201" i="119"/>
  <c r="B202" i="119"/>
  <c r="B203" i="119"/>
  <c r="B204" i="119"/>
  <c r="B205" i="119"/>
  <c r="A195" i="119"/>
  <c r="A206" i="119"/>
  <c r="A207" i="119"/>
  <c r="B195" i="119"/>
  <c r="B206" i="119"/>
  <c r="B207" i="119"/>
  <c r="A208" i="119"/>
  <c r="A209" i="119"/>
  <c r="A210" i="119"/>
  <c r="B208" i="119"/>
  <c r="B209" i="119"/>
  <c r="B210" i="119"/>
  <c r="A235" i="119"/>
  <c r="A236" i="119"/>
  <c r="A237" i="119"/>
  <c r="B235" i="119"/>
  <c r="B236" i="119"/>
  <c r="B237" i="119"/>
  <c r="A238" i="119"/>
  <c r="A239" i="119"/>
  <c r="A240" i="119"/>
  <c r="B238" i="119"/>
  <c r="B239" i="119"/>
  <c r="B240" i="119"/>
  <c r="F184" i="119"/>
  <c r="F183" i="119"/>
  <c r="F182" i="119"/>
  <c r="F181" i="119"/>
  <c r="F180" i="119"/>
  <c r="F179" i="119"/>
  <c r="F178" i="119"/>
  <c r="F177" i="119"/>
  <c r="F176" i="119"/>
  <c r="F175" i="119"/>
  <c r="F174" i="119"/>
  <c r="F173" i="119"/>
  <c r="F172" i="119"/>
  <c r="F171" i="119"/>
  <c r="F170" i="119"/>
  <c r="F169" i="119"/>
  <c r="F168" i="119"/>
  <c r="F167" i="119"/>
  <c r="F166" i="119"/>
  <c r="F165" i="119"/>
  <c r="F164" i="119"/>
  <c r="F163" i="119"/>
  <c r="F162" i="119"/>
  <c r="F161" i="119"/>
  <c r="A162" i="119"/>
  <c r="A163" i="119"/>
  <c r="A164" i="119"/>
  <c r="A165" i="119"/>
  <c r="A166" i="119"/>
  <c r="A167" i="119"/>
  <c r="A168" i="119"/>
  <c r="A169" i="119"/>
  <c r="A170" i="119"/>
  <c r="A171" i="119"/>
  <c r="A172" i="119"/>
  <c r="A173" i="119"/>
  <c r="B162" i="119"/>
  <c r="B163" i="119"/>
  <c r="B164" i="119"/>
  <c r="B165" i="119"/>
  <c r="B166" i="119"/>
  <c r="B167" i="119"/>
  <c r="B168" i="119"/>
  <c r="B169" i="119"/>
  <c r="B170" i="119"/>
  <c r="B171" i="119"/>
  <c r="B172" i="119"/>
  <c r="B173" i="119"/>
  <c r="A174" i="119"/>
  <c r="A175" i="119"/>
  <c r="A176" i="119"/>
  <c r="A177" i="119"/>
  <c r="A178" i="119"/>
  <c r="A179" i="119"/>
  <c r="A180" i="119"/>
  <c r="A181" i="119"/>
  <c r="A182" i="119"/>
  <c r="A183" i="119"/>
  <c r="A184" i="119"/>
  <c r="A185" i="119"/>
  <c r="B174" i="119"/>
  <c r="B175" i="119"/>
  <c r="B176" i="119"/>
  <c r="B177" i="119"/>
  <c r="B178" i="119"/>
  <c r="B179" i="119"/>
  <c r="B180" i="119"/>
  <c r="B181" i="119"/>
  <c r="B182" i="119"/>
  <c r="B183" i="119"/>
  <c r="B184" i="119"/>
  <c r="B185" i="119"/>
  <c r="F160" i="119"/>
  <c r="F159" i="119"/>
  <c r="F158" i="119"/>
  <c r="F157" i="119"/>
  <c r="F156" i="119"/>
  <c r="F155" i="119"/>
  <c r="F154" i="119"/>
  <c r="F153" i="119"/>
  <c r="F152" i="119"/>
  <c r="F151" i="119"/>
  <c r="F150" i="119"/>
  <c r="F149" i="119"/>
  <c r="F148" i="119"/>
  <c r="F147" i="119"/>
  <c r="F146" i="119"/>
  <c r="F145" i="119"/>
  <c r="F144" i="119"/>
  <c r="F143" i="119"/>
  <c r="F142" i="119"/>
  <c r="F141" i="119"/>
  <c r="F140" i="119"/>
  <c r="F139" i="119"/>
  <c r="F138" i="119"/>
  <c r="F137" i="119"/>
  <c r="F136" i="119"/>
  <c r="F135" i="119"/>
  <c r="F134" i="119"/>
  <c r="F133" i="119"/>
  <c r="F132" i="119"/>
  <c r="F131" i="119"/>
  <c r="F130" i="119"/>
  <c r="F129" i="119"/>
  <c r="A159" i="119"/>
  <c r="A160" i="119"/>
  <c r="A161" i="119"/>
  <c r="A186" i="119"/>
  <c r="B159" i="119"/>
  <c r="B160" i="119"/>
  <c r="B161" i="119"/>
  <c r="B186" i="119"/>
  <c r="A187" i="119"/>
  <c r="A188" i="119"/>
  <c r="A189" i="119"/>
  <c r="A190" i="119"/>
  <c r="B187" i="119"/>
  <c r="B188" i="119"/>
  <c r="B189" i="119"/>
  <c r="B190" i="119"/>
  <c r="A191" i="119"/>
  <c r="A192" i="119"/>
  <c r="A193" i="119"/>
  <c r="A194" i="119"/>
  <c r="B191" i="119"/>
  <c r="B192" i="119"/>
  <c r="B193" i="119"/>
  <c r="B194" i="119"/>
  <c r="F128" i="119"/>
  <c r="F127" i="119"/>
  <c r="F126" i="119"/>
  <c r="F125" i="119"/>
  <c r="F124" i="119"/>
  <c r="F123" i="119"/>
  <c r="F122" i="119"/>
  <c r="F121" i="119"/>
  <c r="F120" i="119"/>
  <c r="F119" i="119"/>
  <c r="F118" i="119"/>
  <c r="F117" i="119"/>
  <c r="F116" i="119"/>
  <c r="F115" i="119"/>
  <c r="F114" i="119"/>
  <c r="F113" i="119"/>
  <c r="A113" i="119"/>
  <c r="A114" i="119"/>
  <c r="A115" i="119"/>
  <c r="A116" i="119"/>
  <c r="A117" i="119"/>
  <c r="A118" i="119"/>
  <c r="A119" i="119"/>
  <c r="A120" i="119"/>
  <c r="A121" i="119"/>
  <c r="A122" i="119"/>
  <c r="A123" i="119"/>
  <c r="A124" i="119"/>
  <c r="B113" i="119"/>
  <c r="B114" i="119"/>
  <c r="B115" i="119"/>
  <c r="B116" i="119"/>
  <c r="B117" i="119"/>
  <c r="B118" i="119"/>
  <c r="B119" i="119"/>
  <c r="B120" i="119"/>
  <c r="B121" i="119"/>
  <c r="B122" i="119"/>
  <c r="B123" i="119"/>
  <c r="B124" i="119"/>
  <c r="A125" i="119"/>
  <c r="A126" i="119"/>
  <c r="A127" i="119"/>
  <c r="A128" i="119"/>
  <c r="A129" i="119"/>
  <c r="A130" i="119"/>
  <c r="A131" i="119"/>
  <c r="A132" i="119"/>
  <c r="A133" i="119"/>
  <c r="A134" i="119"/>
  <c r="A135" i="119"/>
  <c r="A136" i="119"/>
  <c r="B125" i="119"/>
  <c r="B126" i="119"/>
  <c r="B127" i="119"/>
  <c r="B128" i="119"/>
  <c r="B129" i="119"/>
  <c r="B130" i="119"/>
  <c r="B131" i="119"/>
  <c r="B132" i="119"/>
  <c r="B133" i="119"/>
  <c r="B134" i="119"/>
  <c r="B135" i="119"/>
  <c r="B136" i="119"/>
  <c r="A137" i="119"/>
  <c r="A138" i="119"/>
  <c r="A139" i="119"/>
  <c r="A140" i="119"/>
  <c r="A141" i="119"/>
  <c r="A142" i="119"/>
  <c r="A143" i="119"/>
  <c r="A144" i="119"/>
  <c r="A145" i="119"/>
  <c r="A146" i="119"/>
  <c r="A147" i="119"/>
  <c r="A148" i="119"/>
  <c r="B137" i="119"/>
  <c r="B138" i="119"/>
  <c r="B139" i="119"/>
  <c r="B140" i="119"/>
  <c r="B141" i="119"/>
  <c r="B142" i="119"/>
  <c r="B143" i="119"/>
  <c r="B144" i="119"/>
  <c r="B145" i="119"/>
  <c r="B146" i="119"/>
  <c r="B147" i="119"/>
  <c r="B148" i="119"/>
  <c r="F112" i="119"/>
  <c r="F111" i="119"/>
  <c r="F110" i="119"/>
  <c r="F109" i="119"/>
  <c r="F108" i="119"/>
  <c r="F107" i="119"/>
  <c r="F106" i="119"/>
  <c r="F105" i="119"/>
  <c r="F104" i="119"/>
  <c r="F103" i="119"/>
  <c r="F102" i="119"/>
  <c r="F101" i="119"/>
  <c r="F100" i="119"/>
  <c r="F99" i="119"/>
  <c r="F98" i="119"/>
  <c r="F97" i="119"/>
  <c r="F93" i="119"/>
  <c r="F96" i="119"/>
  <c r="F95" i="119"/>
  <c r="F94" i="119"/>
  <c r="F92" i="119"/>
  <c r="F91" i="119"/>
  <c r="F90" i="119"/>
  <c r="F89" i="119"/>
  <c r="F88" i="119"/>
  <c r="F87" i="119"/>
  <c r="F86" i="119"/>
  <c r="F85" i="119"/>
  <c r="F84" i="119"/>
  <c r="F83" i="119"/>
  <c r="F82" i="119"/>
  <c r="F81" i="119"/>
  <c r="F80" i="119"/>
  <c r="F79" i="119"/>
  <c r="F78" i="119"/>
  <c r="F77" i="119"/>
  <c r="F76" i="119"/>
  <c r="F75" i="119"/>
  <c r="F74" i="119"/>
  <c r="F73" i="119"/>
  <c r="F72" i="119"/>
  <c r="F71" i="119"/>
  <c r="F70" i="119"/>
  <c r="F69" i="119"/>
  <c r="F68" i="119"/>
  <c r="F67" i="119"/>
  <c r="F66" i="119"/>
  <c r="F65" i="119"/>
  <c r="F64" i="119"/>
  <c r="F63" i="119"/>
  <c r="F62" i="119"/>
  <c r="F61" i="119"/>
  <c r="F60" i="119"/>
  <c r="F59" i="119"/>
  <c r="F58" i="119"/>
  <c r="F57" i="119"/>
  <c r="F56" i="119"/>
  <c r="F55" i="119"/>
  <c r="F54" i="119"/>
  <c r="F53" i="119"/>
  <c r="F52" i="119"/>
  <c r="F51" i="119"/>
  <c r="F50" i="119"/>
  <c r="F49" i="119"/>
  <c r="F48" i="119"/>
  <c r="F47" i="119"/>
  <c r="F46" i="119"/>
  <c r="F45" i="119"/>
  <c r="F44" i="119"/>
  <c r="F43" i="119"/>
  <c r="F42" i="119"/>
  <c r="F41" i="119"/>
  <c r="F40" i="119"/>
  <c r="F39" i="119"/>
  <c r="F38" i="119"/>
  <c r="F37" i="119"/>
  <c r="F36" i="119"/>
  <c r="F35" i="119"/>
  <c r="F34" i="119"/>
  <c r="F33" i="119"/>
  <c r="F32" i="119"/>
  <c r="F31" i="119"/>
  <c r="F30" i="119"/>
  <c r="F29" i="119"/>
  <c r="F28" i="119"/>
  <c r="F27" i="119"/>
  <c r="F26" i="119"/>
  <c r="F25" i="119"/>
  <c r="F24" i="119"/>
  <c r="F23" i="119"/>
  <c r="F22" i="119"/>
  <c r="F21" i="119"/>
  <c r="B158" i="119"/>
  <c r="B157" i="119"/>
  <c r="B156" i="119"/>
  <c r="B155" i="119"/>
  <c r="B154" i="119"/>
  <c r="B153" i="119"/>
  <c r="B152" i="119"/>
  <c r="B151" i="119"/>
  <c r="B150" i="119"/>
  <c r="B149" i="119"/>
  <c r="B112" i="119"/>
  <c r="B111" i="119"/>
  <c r="B110" i="119"/>
  <c r="B109" i="119"/>
  <c r="B108" i="119"/>
  <c r="B107" i="119"/>
  <c r="B106" i="119"/>
  <c r="B105" i="119"/>
  <c r="B104" i="119"/>
  <c r="B103" i="119"/>
  <c r="B102" i="119"/>
  <c r="B101" i="119"/>
  <c r="B100" i="119"/>
  <c r="B99" i="119"/>
  <c r="B98" i="119"/>
  <c r="B97" i="119"/>
  <c r="B96" i="119"/>
  <c r="B95" i="119"/>
  <c r="B94" i="119"/>
  <c r="B93" i="119"/>
  <c r="B92" i="119"/>
  <c r="B91" i="119"/>
  <c r="B90" i="119"/>
  <c r="B89" i="119"/>
  <c r="B88" i="119"/>
  <c r="B87" i="119"/>
  <c r="B86" i="119"/>
  <c r="B85" i="119"/>
  <c r="B84" i="119"/>
  <c r="B83" i="119"/>
  <c r="B82" i="119"/>
  <c r="B81" i="119"/>
  <c r="B80" i="119"/>
  <c r="B79" i="119"/>
  <c r="B78" i="119"/>
  <c r="B77" i="119"/>
  <c r="B76" i="119"/>
  <c r="B75" i="119"/>
  <c r="B74" i="119"/>
  <c r="B73" i="119"/>
  <c r="B72" i="119"/>
  <c r="B71" i="119"/>
  <c r="B70" i="119"/>
  <c r="B69" i="119"/>
  <c r="B68" i="119"/>
  <c r="B67" i="119"/>
  <c r="B66" i="119"/>
  <c r="B65" i="119"/>
  <c r="B64" i="119"/>
  <c r="B63" i="119"/>
  <c r="B62" i="119"/>
  <c r="B61" i="119"/>
  <c r="B60" i="119"/>
  <c r="B59" i="119"/>
  <c r="B58" i="119"/>
  <c r="B57" i="119"/>
  <c r="B56" i="119"/>
  <c r="B55" i="119"/>
  <c r="B54" i="119"/>
  <c r="B53" i="119"/>
  <c r="B52" i="119"/>
  <c r="B51" i="119"/>
  <c r="B50" i="119"/>
  <c r="B49" i="119"/>
  <c r="B48" i="119"/>
  <c r="B47" i="119"/>
  <c r="B46" i="119"/>
  <c r="B45" i="119"/>
  <c r="B44" i="119"/>
  <c r="B43" i="119"/>
  <c r="B42" i="119"/>
  <c r="B41" i="119"/>
  <c r="B40" i="119"/>
  <c r="B39" i="119"/>
  <c r="B38" i="119"/>
  <c r="B37" i="119"/>
  <c r="B36" i="119"/>
  <c r="B35" i="119"/>
  <c r="B34" i="119"/>
  <c r="B33" i="119"/>
  <c r="B32" i="119"/>
  <c r="B31" i="119"/>
  <c r="B30" i="119"/>
  <c r="B29" i="119"/>
  <c r="B28" i="119"/>
  <c r="B27" i="119"/>
  <c r="B26" i="119"/>
  <c r="B25" i="119"/>
  <c r="B24" i="119"/>
  <c r="B23" i="119"/>
  <c r="B22" i="119"/>
  <c r="B21" i="119"/>
  <c r="B20" i="119"/>
  <c r="B19" i="119"/>
  <c r="B18" i="119"/>
  <c r="B17" i="119"/>
  <c r="B16" i="119"/>
  <c r="B15" i="119"/>
  <c r="B14" i="119"/>
  <c r="B13" i="119"/>
  <c r="B12" i="119"/>
  <c r="B11" i="119"/>
  <c r="B10" i="119"/>
  <c r="B9" i="119"/>
  <c r="B8" i="119"/>
  <c r="B7" i="119"/>
  <c r="B6" i="119"/>
  <c r="B5" i="119"/>
  <c r="B4" i="119"/>
  <c r="B3" i="119"/>
  <c r="F20" i="119"/>
  <c r="F19" i="119"/>
  <c r="F18" i="119"/>
  <c r="F17" i="119"/>
  <c r="F16" i="119"/>
  <c r="F15" i="119"/>
  <c r="F13" i="119"/>
  <c r="F14" i="119"/>
  <c r="A3" i="119"/>
  <c r="A4" i="119"/>
  <c r="A5" i="119"/>
  <c r="A6" i="119"/>
  <c r="A7" i="119"/>
  <c r="A8" i="119"/>
  <c r="A9" i="119"/>
  <c r="A10" i="119"/>
  <c r="A11" i="119"/>
  <c r="A12" i="119"/>
  <c r="A13" i="119"/>
  <c r="A14" i="119"/>
  <c r="A15" i="119"/>
  <c r="A16" i="119"/>
  <c r="A17" i="119"/>
  <c r="A18" i="119"/>
  <c r="A19" i="119"/>
  <c r="A20" i="119"/>
  <c r="A21" i="119"/>
  <c r="A22" i="119"/>
  <c r="A23" i="119"/>
  <c r="A24" i="119"/>
  <c r="A25" i="119"/>
  <c r="A26" i="119"/>
  <c r="A27" i="119"/>
  <c r="A28" i="119"/>
  <c r="A29" i="119"/>
  <c r="A30" i="119"/>
  <c r="A31" i="119"/>
  <c r="A32" i="119"/>
  <c r="A33" i="119"/>
  <c r="A34" i="119"/>
  <c r="A35" i="119"/>
  <c r="A36" i="119"/>
  <c r="A37" i="119"/>
  <c r="A38" i="119"/>
  <c r="A39" i="119"/>
  <c r="A40" i="119"/>
  <c r="A41" i="119"/>
  <c r="A42" i="119"/>
  <c r="A43" i="119"/>
  <c r="A44" i="119"/>
  <c r="A45" i="119"/>
  <c r="A46" i="119"/>
  <c r="A47" i="119"/>
  <c r="A48" i="119"/>
  <c r="A49" i="119"/>
  <c r="A50" i="119"/>
  <c r="A51" i="119"/>
  <c r="A52" i="119"/>
  <c r="A53" i="119"/>
  <c r="A54" i="119"/>
  <c r="A55" i="119"/>
  <c r="A56" i="119"/>
  <c r="A57" i="119"/>
  <c r="A58" i="119"/>
  <c r="A59" i="119"/>
  <c r="A60" i="119"/>
  <c r="A61" i="119"/>
  <c r="A62" i="119"/>
  <c r="A63" i="119"/>
  <c r="A64" i="119"/>
  <c r="A65" i="119"/>
  <c r="A66" i="119"/>
  <c r="A67" i="119"/>
  <c r="A68" i="119"/>
  <c r="A69" i="119"/>
  <c r="A70" i="119"/>
  <c r="A71" i="119"/>
  <c r="A72" i="119"/>
  <c r="A73" i="119"/>
  <c r="A74" i="119"/>
  <c r="A75" i="119"/>
  <c r="A76" i="119"/>
  <c r="A77" i="119"/>
  <c r="A78" i="119"/>
  <c r="A79" i="119"/>
  <c r="A80" i="119"/>
  <c r="A81" i="119"/>
  <c r="A82" i="119"/>
  <c r="A83" i="119"/>
  <c r="A84" i="119"/>
  <c r="A85" i="119"/>
  <c r="A86" i="119"/>
  <c r="A87" i="119"/>
  <c r="A88" i="119"/>
  <c r="A89" i="119"/>
  <c r="A90" i="119"/>
  <c r="A91" i="119"/>
  <c r="A92" i="119"/>
  <c r="A93" i="119"/>
  <c r="A94" i="119"/>
  <c r="A95" i="119"/>
  <c r="A96" i="119"/>
  <c r="A97" i="119"/>
  <c r="A98" i="119"/>
  <c r="A99" i="119"/>
  <c r="A100" i="119"/>
  <c r="A101" i="119"/>
  <c r="A102" i="119"/>
  <c r="A103" i="119"/>
  <c r="A104" i="119"/>
  <c r="A105" i="119"/>
  <c r="A106" i="119"/>
  <c r="A107" i="119"/>
  <c r="A108" i="119"/>
  <c r="A109" i="119"/>
  <c r="A110" i="119"/>
  <c r="A111" i="119"/>
  <c r="A112" i="119"/>
  <c r="A149" i="119"/>
  <c r="A150" i="119"/>
  <c r="A151" i="119"/>
  <c r="A152" i="119"/>
  <c r="A153" i="119"/>
  <c r="A154" i="119"/>
  <c r="A155" i="119"/>
  <c r="A156" i="119"/>
  <c r="A157" i="119"/>
  <c r="A158" i="119"/>
  <c r="F12" i="119"/>
  <c r="F11" i="119"/>
  <c r="F10" i="119"/>
  <c r="F8" i="119"/>
  <c r="F9" i="119"/>
  <c r="F7" i="119"/>
  <c r="F6" i="119"/>
  <c r="F5" i="119"/>
  <c r="F4" i="119"/>
  <c r="F3" i="119"/>
  <c r="D14" i="119"/>
  <c r="D13" i="119"/>
  <c r="D9" i="119"/>
  <c r="D8" i="119"/>
  <c r="S48" i="105"/>
  <c r="G76" i="119" s="1"/>
  <c r="H76" i="119" s="1"/>
  <c r="H22" i="88"/>
  <c r="E22" i="88"/>
  <c r="T14" i="109"/>
  <c r="S14" i="109"/>
  <c r="U14" i="109" s="1"/>
  <c r="T16" i="109"/>
  <c r="S16" i="109"/>
  <c r="U16" i="109" s="1"/>
  <c r="T17" i="109"/>
  <c r="S17" i="109"/>
  <c r="U17" i="109" s="1"/>
  <c r="T15" i="109"/>
  <c r="S15" i="109"/>
  <c r="U15" i="109" s="1"/>
  <c r="T18" i="109"/>
  <c r="S18" i="109"/>
  <c r="U18" i="109" s="1"/>
  <c r="J296" i="119" l="1"/>
  <c r="J279" i="119"/>
  <c r="J295" i="119"/>
  <c r="J280" i="119"/>
  <c r="G19" i="119"/>
  <c r="H19" i="119" s="1"/>
  <c r="I281" i="119"/>
  <c r="J273" i="119"/>
  <c r="G18" i="119"/>
  <c r="H18" i="119" s="1"/>
  <c r="I282" i="119"/>
  <c r="I265" i="119"/>
  <c r="G16" i="119"/>
  <c r="H16" i="119" s="1"/>
  <c r="I283" i="119"/>
  <c r="I266" i="119"/>
  <c r="I274" i="119"/>
  <c r="I275" i="119"/>
  <c r="I267" i="119"/>
  <c r="I76" i="119"/>
  <c r="J76" i="119"/>
  <c r="I277" i="119"/>
  <c r="J292" i="119"/>
  <c r="J284" i="119"/>
  <c r="J276" i="119"/>
  <c r="J268" i="119"/>
  <c r="J293" i="119"/>
  <c r="J285" i="119"/>
  <c r="J269" i="119"/>
  <c r="I270" i="119"/>
  <c r="J294" i="119"/>
  <c r="J278" i="119"/>
  <c r="I223" i="119"/>
  <c r="J223" i="119"/>
  <c r="G20" i="119"/>
  <c r="H20" i="119" s="1"/>
  <c r="G17" i="119"/>
  <c r="H17" i="119" s="1"/>
  <c r="V18" i="109"/>
  <c r="V15" i="109"/>
  <c r="V17" i="109"/>
  <c r="V16" i="109"/>
  <c r="V14" i="109"/>
  <c r="V4" i="89"/>
  <c r="H8" i="89"/>
  <c r="H9" i="89"/>
  <c r="H10" i="89"/>
  <c r="G12" i="89"/>
  <c r="G13" i="89"/>
  <c r="D4" i="88"/>
  <c r="D9" i="88"/>
  <c r="G2" i="89" l="1"/>
  <c r="E2" i="114"/>
  <c r="E2" i="117"/>
  <c r="E2" i="112"/>
  <c r="E2" i="95"/>
  <c r="E2" i="106"/>
  <c r="E2" i="108"/>
  <c r="F2" i="90"/>
  <c r="E2" i="116"/>
  <c r="E2" i="115"/>
  <c r="E2" i="113"/>
  <c r="E2" i="110"/>
  <c r="E2" i="105"/>
  <c r="E2" i="109"/>
  <c r="E2" i="107"/>
  <c r="J18" i="119"/>
  <c r="I18" i="119"/>
  <c r="I17" i="119"/>
  <c r="J17" i="119"/>
  <c r="J19" i="119"/>
  <c r="I19" i="119"/>
  <c r="J16" i="119"/>
  <c r="I16" i="119"/>
  <c r="I20" i="119"/>
  <c r="J20" i="119"/>
  <c r="U3" i="117"/>
  <c r="T3" i="117"/>
  <c r="S3" i="117"/>
  <c r="U2" i="113"/>
  <c r="T2" i="113"/>
  <c r="S2" i="113"/>
  <c r="D27" i="117"/>
  <c r="T25" i="117"/>
  <c r="S25" i="117"/>
  <c r="T24" i="117"/>
  <c r="S24" i="117"/>
  <c r="T23" i="117"/>
  <c r="S23" i="117"/>
  <c r="T22" i="117"/>
  <c r="S22" i="117"/>
  <c r="T18" i="117"/>
  <c r="S18" i="117"/>
  <c r="T17" i="117"/>
  <c r="S17" i="117"/>
  <c r="T16" i="117"/>
  <c r="S16" i="117"/>
  <c r="G186" i="119" s="1"/>
  <c r="H186" i="119" s="1"/>
  <c r="S15" i="117"/>
  <c r="E5" i="117"/>
  <c r="U5" i="117"/>
  <c r="T5" i="117"/>
  <c r="U25" i="117" l="1"/>
  <c r="G192" i="119"/>
  <c r="H192" i="119" s="1"/>
  <c r="J186" i="119"/>
  <c r="I186" i="119"/>
  <c r="U23" i="117"/>
  <c r="G190" i="119"/>
  <c r="H190" i="119" s="1"/>
  <c r="U15" i="117"/>
  <c r="G185" i="119"/>
  <c r="H185" i="119" s="1"/>
  <c r="U22" i="117"/>
  <c r="G189" i="119"/>
  <c r="H189" i="119" s="1"/>
  <c r="U18" i="117"/>
  <c r="G188" i="119"/>
  <c r="H188" i="119" s="1"/>
  <c r="U17" i="117"/>
  <c r="G187" i="119"/>
  <c r="H187" i="119" s="1"/>
  <c r="U24" i="117"/>
  <c r="G191" i="119"/>
  <c r="H191" i="119" s="1"/>
  <c r="U16" i="117"/>
  <c r="S7" i="117"/>
  <c r="T4" i="117"/>
  <c r="T6" i="117" s="1"/>
  <c r="S4" i="117"/>
  <c r="I191" i="119" l="1"/>
  <c r="J191" i="119"/>
  <c r="J185" i="119"/>
  <c r="I185" i="119"/>
  <c r="U4" i="117"/>
  <c r="H18" i="88" s="1"/>
  <c r="I189" i="119"/>
  <c r="J189" i="119"/>
  <c r="J192" i="119"/>
  <c r="I192" i="119"/>
  <c r="I188" i="119"/>
  <c r="J188" i="119"/>
  <c r="J187" i="119"/>
  <c r="I187" i="119"/>
  <c r="I190" i="119"/>
  <c r="J190" i="119"/>
  <c r="E4" i="117"/>
  <c r="S5" i="117"/>
  <c r="S6" i="117"/>
  <c r="T105" i="114"/>
  <c r="S105" i="114"/>
  <c r="T104" i="114"/>
  <c r="S104" i="114"/>
  <c r="T103" i="114"/>
  <c r="S103" i="114"/>
  <c r="T102" i="114"/>
  <c r="S102" i="114"/>
  <c r="T98" i="114"/>
  <c r="S98" i="114"/>
  <c r="T97" i="114"/>
  <c r="S97" i="114"/>
  <c r="T96" i="114"/>
  <c r="S96" i="114"/>
  <c r="T95" i="114"/>
  <c r="S95" i="114"/>
  <c r="U95" i="114" l="1"/>
  <c r="G257" i="119"/>
  <c r="H257" i="119" s="1"/>
  <c r="U102" i="114"/>
  <c r="G261" i="119"/>
  <c r="H261" i="119" s="1"/>
  <c r="U97" i="114"/>
  <c r="G259" i="119"/>
  <c r="H259" i="119" s="1"/>
  <c r="U104" i="114"/>
  <c r="G263" i="119"/>
  <c r="H263" i="119" s="1"/>
  <c r="U96" i="114"/>
  <c r="G258" i="119"/>
  <c r="H258" i="119" s="1"/>
  <c r="U103" i="114"/>
  <c r="G262" i="119"/>
  <c r="H262" i="119" s="1"/>
  <c r="U6" i="117"/>
  <c r="U98" i="114"/>
  <c r="G260" i="119"/>
  <c r="H260" i="119" s="1"/>
  <c r="U105" i="114"/>
  <c r="G264" i="119"/>
  <c r="H264" i="119" s="1"/>
  <c r="T23" i="110"/>
  <c r="S23" i="110"/>
  <c r="T22" i="110"/>
  <c r="S22" i="110"/>
  <c r="D78" i="106"/>
  <c r="S3" i="105"/>
  <c r="T3" i="105"/>
  <c r="U3" i="105"/>
  <c r="T5" i="105"/>
  <c r="U5" i="105"/>
  <c r="S3" i="110"/>
  <c r="T3" i="110"/>
  <c r="U3" i="110"/>
  <c r="D20" i="89"/>
  <c r="D19" i="90"/>
  <c r="D51" i="107"/>
  <c r="U11" i="88"/>
  <c r="V11" i="88" s="1"/>
  <c r="Q11" i="88" s="1"/>
  <c r="U10" i="88"/>
  <c r="V10" i="88" s="1"/>
  <c r="Q10" i="88" s="1"/>
  <c r="U9" i="88"/>
  <c r="V9" i="88" s="1"/>
  <c r="Q9" i="88" s="1"/>
  <c r="I260" i="119" l="1"/>
  <c r="J260" i="119"/>
  <c r="I263" i="119"/>
  <c r="J263" i="119"/>
  <c r="I264" i="119"/>
  <c r="J264" i="119"/>
  <c r="J258" i="119"/>
  <c r="I258" i="119"/>
  <c r="I257" i="119"/>
  <c r="J257" i="119"/>
  <c r="I262" i="119"/>
  <c r="J262" i="119"/>
  <c r="J261" i="119"/>
  <c r="I261" i="119"/>
  <c r="I259" i="119"/>
  <c r="J259" i="119"/>
  <c r="U22" i="110"/>
  <c r="G109" i="119"/>
  <c r="H109" i="119" s="1"/>
  <c r="U23" i="110"/>
  <c r="G110" i="119"/>
  <c r="H110" i="119" s="1"/>
  <c r="E26" i="88"/>
  <c r="H26" i="88"/>
  <c r="D73" i="116"/>
  <c r="U71" i="116"/>
  <c r="T71" i="116"/>
  <c r="V71" i="116" s="1"/>
  <c r="U70" i="116"/>
  <c r="T70" i="116"/>
  <c r="V70" i="116" s="1"/>
  <c r="U69" i="116"/>
  <c r="T69" i="116"/>
  <c r="V69" i="116" s="1"/>
  <c r="U68" i="116"/>
  <c r="T68" i="116"/>
  <c r="V68" i="116" s="1"/>
  <c r="U64" i="116"/>
  <c r="T64" i="116"/>
  <c r="V64" i="116" s="1"/>
  <c r="U63" i="116"/>
  <c r="T63" i="116"/>
  <c r="V63" i="116" s="1"/>
  <c r="U62" i="116"/>
  <c r="T62" i="116"/>
  <c r="V62" i="116" s="1"/>
  <c r="U61" i="116"/>
  <c r="T61" i="116"/>
  <c r="V61" i="116" s="1"/>
  <c r="U55" i="116"/>
  <c r="T55" i="116"/>
  <c r="V55" i="116" s="1"/>
  <c r="U54" i="116"/>
  <c r="T54" i="116"/>
  <c r="V54" i="116" s="1"/>
  <c r="U53" i="116"/>
  <c r="T53" i="116"/>
  <c r="V53" i="116" s="1"/>
  <c r="U52" i="116"/>
  <c r="T52" i="116"/>
  <c r="V52" i="116" s="1"/>
  <c r="U48" i="116"/>
  <c r="T48" i="116"/>
  <c r="V48" i="116" s="1"/>
  <c r="U47" i="116"/>
  <c r="T47" i="116"/>
  <c r="V47" i="116" s="1"/>
  <c r="U46" i="116"/>
  <c r="T46" i="116"/>
  <c r="V46" i="116" s="1"/>
  <c r="U45" i="116"/>
  <c r="T45" i="116"/>
  <c r="V45" i="116" s="1"/>
  <c r="U39" i="116"/>
  <c r="T39" i="116"/>
  <c r="V39" i="116" s="1"/>
  <c r="U38" i="116"/>
  <c r="T38" i="116"/>
  <c r="V38" i="116" s="1"/>
  <c r="U37" i="116"/>
  <c r="T37" i="116"/>
  <c r="V37" i="116" s="1"/>
  <c r="U36" i="116"/>
  <c r="T36" i="116"/>
  <c r="V36" i="116" s="1"/>
  <c r="U32" i="116"/>
  <c r="T32" i="116"/>
  <c r="V32" i="116" s="1"/>
  <c r="U31" i="116"/>
  <c r="T31" i="116"/>
  <c r="V31" i="116" s="1"/>
  <c r="U30" i="116"/>
  <c r="T30" i="116"/>
  <c r="V30" i="116" s="1"/>
  <c r="U29" i="116"/>
  <c r="T29" i="116"/>
  <c r="V29" i="116" s="1"/>
  <c r="U23" i="116"/>
  <c r="T23" i="116"/>
  <c r="V23" i="116" s="1"/>
  <c r="U22" i="116"/>
  <c r="T22" i="116"/>
  <c r="V22" i="116" s="1"/>
  <c r="U21" i="116"/>
  <c r="T21" i="116"/>
  <c r="V21" i="116" s="1"/>
  <c r="U20" i="116"/>
  <c r="T20" i="116"/>
  <c r="V20" i="116" s="1"/>
  <c r="U16" i="116"/>
  <c r="T16" i="116"/>
  <c r="V16" i="116" s="1"/>
  <c r="U15" i="116"/>
  <c r="T15" i="116"/>
  <c r="V15" i="116" s="1"/>
  <c r="U14" i="116"/>
  <c r="T14" i="116"/>
  <c r="U13" i="116"/>
  <c r="T13" i="116"/>
  <c r="V13" i="116" s="1"/>
  <c r="E5" i="116"/>
  <c r="V4" i="116"/>
  <c r="U4" i="116"/>
  <c r="V2" i="116"/>
  <c r="U2" i="116"/>
  <c r="T2" i="116"/>
  <c r="D21" i="88"/>
  <c r="T89" i="114"/>
  <c r="S89" i="114"/>
  <c r="T88" i="114"/>
  <c r="S88" i="114"/>
  <c r="T87" i="114"/>
  <c r="S87" i="114"/>
  <c r="T86" i="114"/>
  <c r="S86" i="114"/>
  <c r="T82" i="114"/>
  <c r="S82" i="114"/>
  <c r="T81" i="114"/>
  <c r="S81" i="114"/>
  <c r="T80" i="114"/>
  <c r="S80" i="114"/>
  <c r="T79" i="114"/>
  <c r="S79" i="114"/>
  <c r="G249" i="119" s="1"/>
  <c r="H249" i="119" s="1"/>
  <c r="D20" i="88"/>
  <c r="D107" i="114"/>
  <c r="T73" i="114"/>
  <c r="S73" i="114"/>
  <c r="T72" i="114"/>
  <c r="S72" i="114"/>
  <c r="T71" i="114"/>
  <c r="S71" i="114"/>
  <c r="T70" i="114"/>
  <c r="S70" i="114"/>
  <c r="T66" i="114"/>
  <c r="S66" i="114"/>
  <c r="T65" i="114"/>
  <c r="S65" i="114"/>
  <c r="T64" i="114"/>
  <c r="S64" i="114"/>
  <c r="T63" i="114"/>
  <c r="S63" i="114"/>
  <c r="T57" i="114"/>
  <c r="S57" i="114"/>
  <c r="T56" i="114"/>
  <c r="S56" i="114"/>
  <c r="T55" i="114"/>
  <c r="S55" i="114"/>
  <c r="T54" i="114"/>
  <c r="S54" i="114"/>
  <c r="T50" i="114"/>
  <c r="S50" i="114"/>
  <c r="T49" i="114"/>
  <c r="S49" i="114"/>
  <c r="T48" i="114"/>
  <c r="S48" i="114"/>
  <c r="T47" i="114"/>
  <c r="S47" i="114"/>
  <c r="T41" i="114"/>
  <c r="S41" i="114"/>
  <c r="T40" i="114"/>
  <c r="S40" i="114"/>
  <c r="T39" i="114"/>
  <c r="S39" i="114"/>
  <c r="T38" i="114"/>
  <c r="S38" i="114"/>
  <c r="T34" i="114"/>
  <c r="S34" i="114"/>
  <c r="T33" i="114"/>
  <c r="S33" i="114"/>
  <c r="T32" i="114"/>
  <c r="S32" i="114"/>
  <c r="T31" i="114"/>
  <c r="S31" i="114"/>
  <c r="T25" i="114"/>
  <c r="S25" i="114"/>
  <c r="T24" i="114"/>
  <c r="S24" i="114"/>
  <c r="U24" i="114" s="1"/>
  <c r="T23" i="114"/>
  <c r="S23" i="114"/>
  <c r="T22" i="114"/>
  <c r="S22" i="114"/>
  <c r="U22" i="114" s="1"/>
  <c r="T18" i="114"/>
  <c r="S18" i="114"/>
  <c r="T17" i="114"/>
  <c r="S17" i="114"/>
  <c r="T16" i="114"/>
  <c r="S16" i="114"/>
  <c r="G219" i="119" s="1"/>
  <c r="H219" i="119" s="1"/>
  <c r="T15" i="114"/>
  <c r="S15" i="114"/>
  <c r="G218" i="119" s="1"/>
  <c r="H218" i="119" s="1"/>
  <c r="E5" i="114"/>
  <c r="U4" i="114"/>
  <c r="T4" i="114"/>
  <c r="U2" i="114"/>
  <c r="T2" i="114"/>
  <c r="S2" i="114"/>
  <c r="D19" i="88"/>
  <c r="D60" i="115"/>
  <c r="T58" i="115"/>
  <c r="S58" i="115"/>
  <c r="T57" i="115"/>
  <c r="S57" i="115"/>
  <c r="T56" i="115"/>
  <c r="S56" i="115"/>
  <c r="T55" i="115"/>
  <c r="S55" i="115"/>
  <c r="T51" i="115"/>
  <c r="S51" i="115"/>
  <c r="T50" i="115"/>
  <c r="S50" i="115"/>
  <c r="T49" i="115"/>
  <c r="S49" i="115"/>
  <c r="T48" i="115"/>
  <c r="S48" i="115"/>
  <c r="T42" i="115"/>
  <c r="S42" i="115"/>
  <c r="T41" i="115"/>
  <c r="S41" i="115"/>
  <c r="T40" i="115"/>
  <c r="S40" i="115"/>
  <c r="T39" i="115"/>
  <c r="S39" i="115"/>
  <c r="T35" i="115"/>
  <c r="S35" i="115"/>
  <c r="T34" i="115"/>
  <c r="S34" i="115"/>
  <c r="T33" i="115"/>
  <c r="S33" i="115"/>
  <c r="T32" i="115"/>
  <c r="S32" i="115"/>
  <c r="T26" i="115"/>
  <c r="S26" i="115"/>
  <c r="T25" i="115"/>
  <c r="S25" i="115"/>
  <c r="T24" i="115"/>
  <c r="S24" i="115"/>
  <c r="T23" i="115"/>
  <c r="S23" i="115"/>
  <c r="T19" i="115"/>
  <c r="S19" i="115"/>
  <c r="T18" i="115"/>
  <c r="S18" i="115"/>
  <c r="T17" i="115"/>
  <c r="S17" i="115"/>
  <c r="G194" i="119" s="1"/>
  <c r="H194" i="119" s="1"/>
  <c r="T16" i="115"/>
  <c r="S16" i="115"/>
  <c r="G193" i="119" s="1"/>
  <c r="H193" i="119" s="1"/>
  <c r="E6" i="115"/>
  <c r="U5" i="115"/>
  <c r="T5" i="115"/>
  <c r="E18" i="88"/>
  <c r="U3" i="115"/>
  <c r="T3" i="115"/>
  <c r="S3" i="115"/>
  <c r="D17" i="88"/>
  <c r="D16" i="88"/>
  <c r="D15" i="88"/>
  <c r="U35" i="115" l="1"/>
  <c r="G204" i="119"/>
  <c r="H204" i="119" s="1"/>
  <c r="U58" i="115"/>
  <c r="G216" i="119"/>
  <c r="H216" i="119" s="1"/>
  <c r="U41" i="114"/>
  <c r="G232" i="119"/>
  <c r="H232" i="119" s="1"/>
  <c r="U66" i="114"/>
  <c r="G244" i="119"/>
  <c r="H244" i="119" s="1"/>
  <c r="U18" i="115"/>
  <c r="G195" i="119"/>
  <c r="H195" i="119" s="1"/>
  <c r="U41" i="115"/>
  <c r="G207" i="119"/>
  <c r="H207" i="119" s="1"/>
  <c r="U50" i="115"/>
  <c r="G211" i="119"/>
  <c r="H211" i="119" s="1"/>
  <c r="U65" i="114"/>
  <c r="G243" i="119"/>
  <c r="H243" i="119" s="1"/>
  <c r="I110" i="119"/>
  <c r="J110" i="119"/>
  <c r="J193" i="119"/>
  <c r="I193" i="119"/>
  <c r="U32" i="115"/>
  <c r="G201" i="119"/>
  <c r="H201" i="119" s="1"/>
  <c r="U39" i="115"/>
  <c r="G205" i="119"/>
  <c r="H205" i="119" s="1"/>
  <c r="U48" i="115"/>
  <c r="G209" i="119"/>
  <c r="H209" i="119" s="1"/>
  <c r="U55" i="115"/>
  <c r="G213" i="119"/>
  <c r="H213" i="119" s="1"/>
  <c r="U31" i="114"/>
  <c r="G225" i="119"/>
  <c r="H225" i="119" s="1"/>
  <c r="U47" i="114"/>
  <c r="G233" i="119"/>
  <c r="H233" i="119" s="1"/>
  <c r="U54" i="114"/>
  <c r="G237" i="119"/>
  <c r="H237" i="119" s="1"/>
  <c r="U70" i="114"/>
  <c r="G245" i="119"/>
  <c r="H245" i="119" s="1"/>
  <c r="U82" i="114"/>
  <c r="G252" i="119"/>
  <c r="H252" i="119" s="1"/>
  <c r="U89" i="114"/>
  <c r="G256" i="119"/>
  <c r="H256" i="119" s="1"/>
  <c r="U26" i="115"/>
  <c r="G200" i="119"/>
  <c r="H200" i="119" s="1"/>
  <c r="U18" i="114"/>
  <c r="G221" i="119"/>
  <c r="H221" i="119" s="1"/>
  <c r="U50" i="114"/>
  <c r="G236" i="119"/>
  <c r="H236" i="119" s="1"/>
  <c r="U81" i="114"/>
  <c r="G251" i="119"/>
  <c r="H251" i="119" s="1"/>
  <c r="U34" i="115"/>
  <c r="G203" i="119"/>
  <c r="H203" i="119" s="1"/>
  <c r="U17" i="114"/>
  <c r="G220" i="119"/>
  <c r="H220" i="119" s="1"/>
  <c r="U49" i="114"/>
  <c r="G235" i="119"/>
  <c r="H235" i="119" s="1"/>
  <c r="U80" i="114"/>
  <c r="G250" i="119"/>
  <c r="H250" i="119" s="1"/>
  <c r="I194" i="119"/>
  <c r="J194" i="119"/>
  <c r="U24" i="115"/>
  <c r="G198" i="119"/>
  <c r="H198" i="119" s="1"/>
  <c r="U33" i="115"/>
  <c r="G202" i="119"/>
  <c r="H202" i="119" s="1"/>
  <c r="U40" i="115"/>
  <c r="G206" i="119"/>
  <c r="H206" i="119" s="1"/>
  <c r="U49" i="115"/>
  <c r="G210" i="119"/>
  <c r="H210" i="119" s="1"/>
  <c r="U56" i="115"/>
  <c r="G214" i="119"/>
  <c r="H214" i="119" s="1"/>
  <c r="I219" i="119"/>
  <c r="J219" i="119"/>
  <c r="U23" i="114"/>
  <c r="G222" i="119"/>
  <c r="H222" i="119" s="1"/>
  <c r="U39" i="114"/>
  <c r="G230" i="119"/>
  <c r="H230" i="119" s="1"/>
  <c r="U48" i="114"/>
  <c r="G234" i="119"/>
  <c r="H234" i="119" s="1"/>
  <c r="U55" i="114"/>
  <c r="G238" i="119"/>
  <c r="H238" i="119" s="1"/>
  <c r="U64" i="114"/>
  <c r="G242" i="119"/>
  <c r="H242" i="119" s="1"/>
  <c r="U71" i="114"/>
  <c r="G246" i="119"/>
  <c r="H246" i="119" s="1"/>
  <c r="I249" i="119"/>
  <c r="J249" i="119"/>
  <c r="U86" i="114"/>
  <c r="G253" i="119"/>
  <c r="H253" i="119" s="1"/>
  <c r="U42" i="115"/>
  <c r="G208" i="119"/>
  <c r="H208" i="119" s="1"/>
  <c r="U25" i="114"/>
  <c r="G224" i="119"/>
  <c r="H224" i="119" s="1"/>
  <c r="U57" i="114"/>
  <c r="G240" i="119"/>
  <c r="H240" i="119" s="1"/>
  <c r="U88" i="114"/>
  <c r="G255" i="119"/>
  <c r="H255" i="119" s="1"/>
  <c r="I109" i="119"/>
  <c r="J109" i="119"/>
  <c r="U25" i="115"/>
  <c r="G199" i="119"/>
  <c r="H199" i="119" s="1"/>
  <c r="U57" i="115"/>
  <c r="G215" i="119"/>
  <c r="H215" i="119" s="1"/>
  <c r="U40" i="114"/>
  <c r="G231" i="119"/>
  <c r="H231" i="119" s="1"/>
  <c r="U72" i="114"/>
  <c r="G247" i="119"/>
  <c r="H247" i="119" s="1"/>
  <c r="U19" i="115"/>
  <c r="G196" i="119"/>
  <c r="H196" i="119" s="1"/>
  <c r="U51" i="115"/>
  <c r="G212" i="119"/>
  <c r="H212" i="119" s="1"/>
  <c r="U73" i="114"/>
  <c r="G248" i="119"/>
  <c r="H248" i="119" s="1"/>
  <c r="U56" i="114"/>
  <c r="G239" i="119"/>
  <c r="H239" i="119" s="1"/>
  <c r="U87" i="114"/>
  <c r="G254" i="119"/>
  <c r="H254" i="119" s="1"/>
  <c r="U23" i="115"/>
  <c r="G197" i="119"/>
  <c r="H197" i="119" s="1"/>
  <c r="J218" i="119"/>
  <c r="I218" i="119"/>
  <c r="U38" i="114"/>
  <c r="G229" i="119"/>
  <c r="H229" i="119" s="1"/>
  <c r="U63" i="114"/>
  <c r="G241" i="119"/>
  <c r="H241" i="119" s="1"/>
  <c r="U34" i="114"/>
  <c r="G228" i="119"/>
  <c r="H228" i="119" s="1"/>
  <c r="U33" i="114"/>
  <c r="G227" i="119"/>
  <c r="H227" i="119" s="1"/>
  <c r="U32" i="114"/>
  <c r="G226" i="119"/>
  <c r="H226" i="119" s="1"/>
  <c r="U17" i="115"/>
  <c r="U16" i="114"/>
  <c r="S7" i="114"/>
  <c r="T4" i="115"/>
  <c r="E19" i="88" s="1"/>
  <c r="U16" i="115"/>
  <c r="S4" i="115"/>
  <c r="E5" i="115" s="1"/>
  <c r="T3" i="114"/>
  <c r="U15" i="114"/>
  <c r="S3" i="114"/>
  <c r="U3" i="116"/>
  <c r="E21" i="88" s="1"/>
  <c r="V14" i="116"/>
  <c r="V3" i="116" s="1"/>
  <c r="H21" i="88" s="1"/>
  <c r="T3" i="116"/>
  <c r="U79" i="114"/>
  <c r="D59" i="113"/>
  <c r="T57" i="113"/>
  <c r="S57" i="113"/>
  <c r="T56" i="113"/>
  <c r="S56" i="113"/>
  <c r="T55" i="113"/>
  <c r="S55" i="113"/>
  <c r="T54" i="113"/>
  <c r="S54" i="113"/>
  <c r="T50" i="113"/>
  <c r="S50" i="113"/>
  <c r="T49" i="113"/>
  <c r="S49" i="113"/>
  <c r="T48" i="113"/>
  <c r="S48" i="113"/>
  <c r="T47" i="113"/>
  <c r="S47" i="113"/>
  <c r="T41" i="113"/>
  <c r="S41" i="113"/>
  <c r="T40" i="113"/>
  <c r="S40" i="113"/>
  <c r="T39" i="113"/>
  <c r="S39" i="113"/>
  <c r="T38" i="113"/>
  <c r="S38" i="113"/>
  <c r="T34" i="113"/>
  <c r="S34" i="113"/>
  <c r="T33" i="113"/>
  <c r="S33" i="113"/>
  <c r="T32" i="113"/>
  <c r="S32" i="113"/>
  <c r="T31" i="113"/>
  <c r="S31" i="113"/>
  <c r="G169" i="119" s="1"/>
  <c r="H169" i="119" s="1"/>
  <c r="T25" i="113"/>
  <c r="S25" i="113"/>
  <c r="T24" i="113"/>
  <c r="S24" i="113"/>
  <c r="T23" i="113"/>
  <c r="S23" i="113"/>
  <c r="T22" i="113"/>
  <c r="S22" i="113"/>
  <c r="T18" i="113"/>
  <c r="S18" i="113"/>
  <c r="T17" i="113"/>
  <c r="S17" i="113"/>
  <c r="T16" i="113"/>
  <c r="S16" i="113"/>
  <c r="G162" i="119" s="1"/>
  <c r="H162" i="119" s="1"/>
  <c r="T15" i="113"/>
  <c r="S15" i="113"/>
  <c r="G161" i="119" s="1"/>
  <c r="H161" i="119" s="1"/>
  <c r="E5" i="113"/>
  <c r="U4" i="113"/>
  <c r="T4" i="113"/>
  <c r="E5" i="112"/>
  <c r="E5" i="110"/>
  <c r="E5" i="95"/>
  <c r="E5" i="105"/>
  <c r="E5" i="106"/>
  <c r="E5" i="108"/>
  <c r="E5" i="107"/>
  <c r="D75" i="112"/>
  <c r="T73" i="112"/>
  <c r="S73" i="112"/>
  <c r="T72" i="112"/>
  <c r="S72" i="112"/>
  <c r="T71" i="112"/>
  <c r="S71" i="112"/>
  <c r="T70" i="112"/>
  <c r="S70" i="112"/>
  <c r="T66" i="112"/>
  <c r="S66" i="112"/>
  <c r="T65" i="112"/>
  <c r="S65" i="112"/>
  <c r="T64" i="112"/>
  <c r="S64" i="112"/>
  <c r="T63" i="112"/>
  <c r="S63" i="112"/>
  <c r="T57" i="112"/>
  <c r="S57" i="112"/>
  <c r="T56" i="112"/>
  <c r="S56" i="112"/>
  <c r="T55" i="112"/>
  <c r="S55" i="112"/>
  <c r="T54" i="112"/>
  <c r="S54" i="112"/>
  <c r="T50" i="112"/>
  <c r="S50" i="112"/>
  <c r="T49" i="112"/>
  <c r="S49" i="112"/>
  <c r="T48" i="112"/>
  <c r="S48" i="112"/>
  <c r="T47" i="112"/>
  <c r="S47" i="112"/>
  <c r="T41" i="112"/>
  <c r="S41" i="112"/>
  <c r="T40" i="112"/>
  <c r="S40" i="112"/>
  <c r="T39" i="112"/>
  <c r="S39" i="112"/>
  <c r="T38" i="112"/>
  <c r="S38" i="112"/>
  <c r="T34" i="112"/>
  <c r="S34" i="112"/>
  <c r="T33" i="112"/>
  <c r="S33" i="112"/>
  <c r="T32" i="112"/>
  <c r="S32" i="112"/>
  <c r="T31" i="112"/>
  <c r="S31" i="112"/>
  <c r="T25" i="112"/>
  <c r="S25" i="112"/>
  <c r="T24" i="112"/>
  <c r="S24" i="112"/>
  <c r="T23" i="112"/>
  <c r="S23" i="112"/>
  <c r="T22" i="112"/>
  <c r="S22" i="112"/>
  <c r="T18" i="112"/>
  <c r="S18" i="112"/>
  <c r="T17" i="112"/>
  <c r="S17" i="112"/>
  <c r="G131" i="119" s="1"/>
  <c r="H131" i="119" s="1"/>
  <c r="T16" i="112"/>
  <c r="S16" i="112"/>
  <c r="T15" i="112"/>
  <c r="S15" i="112"/>
  <c r="U4" i="112"/>
  <c r="T4" i="112"/>
  <c r="U2" i="112"/>
  <c r="T2" i="112"/>
  <c r="S2" i="112"/>
  <c r="D13" i="88"/>
  <c r="D12" i="88"/>
  <c r="D11" i="88"/>
  <c r="D10" i="88"/>
  <c r="T27" i="109"/>
  <c r="S27" i="109"/>
  <c r="G24" i="119" s="1"/>
  <c r="H24" i="119" s="1"/>
  <c r="T26" i="109"/>
  <c r="S26" i="109"/>
  <c r="G23" i="119" s="1"/>
  <c r="H23" i="119" s="1"/>
  <c r="T25" i="109"/>
  <c r="S25" i="109"/>
  <c r="G22" i="119" s="1"/>
  <c r="H22" i="119" s="1"/>
  <c r="T24" i="109"/>
  <c r="S24" i="109"/>
  <c r="G21" i="119" s="1"/>
  <c r="H21" i="119" s="1"/>
  <c r="T13" i="109"/>
  <c r="S13" i="109"/>
  <c r="I212" i="119" l="1"/>
  <c r="J212" i="119"/>
  <c r="I215" i="119"/>
  <c r="J215" i="119"/>
  <c r="J234" i="119"/>
  <c r="I234" i="119"/>
  <c r="I198" i="119"/>
  <c r="J198" i="119"/>
  <c r="J221" i="119"/>
  <c r="I221" i="119"/>
  <c r="I207" i="119"/>
  <c r="J207" i="119"/>
  <c r="I161" i="119"/>
  <c r="J161" i="119"/>
  <c r="J231" i="119"/>
  <c r="I231" i="119"/>
  <c r="J238" i="119"/>
  <c r="I238" i="119"/>
  <c r="I235" i="119"/>
  <c r="J235" i="119"/>
  <c r="I236" i="119"/>
  <c r="J236" i="119"/>
  <c r="I225" i="119"/>
  <c r="J225" i="119"/>
  <c r="I211" i="119"/>
  <c r="J211" i="119"/>
  <c r="I239" i="119"/>
  <c r="J239" i="119"/>
  <c r="J208" i="119"/>
  <c r="I208" i="119"/>
  <c r="I242" i="119"/>
  <c r="J242" i="119"/>
  <c r="I206" i="119"/>
  <c r="J206" i="119"/>
  <c r="J250" i="119"/>
  <c r="I250" i="119"/>
  <c r="J251" i="119"/>
  <c r="I251" i="119"/>
  <c r="J256" i="119"/>
  <c r="I256" i="119"/>
  <c r="J233" i="119"/>
  <c r="I233" i="119"/>
  <c r="I205" i="119"/>
  <c r="J205" i="119"/>
  <c r="I244" i="119"/>
  <c r="J244" i="119"/>
  <c r="I214" i="119"/>
  <c r="J214" i="119"/>
  <c r="I220" i="119"/>
  <c r="J220" i="119"/>
  <c r="I245" i="119"/>
  <c r="J245" i="119"/>
  <c r="J216" i="119"/>
  <c r="I216" i="119"/>
  <c r="I23" i="119"/>
  <c r="J23" i="119"/>
  <c r="I21" i="119"/>
  <c r="J21" i="119"/>
  <c r="I241" i="119"/>
  <c r="J241" i="119"/>
  <c r="I254" i="119"/>
  <c r="J254" i="119"/>
  <c r="I196" i="119"/>
  <c r="J196" i="119"/>
  <c r="J199" i="119"/>
  <c r="I199" i="119"/>
  <c r="I224" i="119"/>
  <c r="J224" i="119"/>
  <c r="I246" i="119"/>
  <c r="J246" i="119"/>
  <c r="I230" i="119"/>
  <c r="J230" i="119"/>
  <c r="I210" i="119"/>
  <c r="J210" i="119"/>
  <c r="I203" i="119"/>
  <c r="J203" i="119"/>
  <c r="J200" i="119"/>
  <c r="I200" i="119"/>
  <c r="J237" i="119"/>
  <c r="I237" i="119"/>
  <c r="I209" i="119"/>
  <c r="J209" i="119"/>
  <c r="I195" i="119"/>
  <c r="J195" i="119"/>
  <c r="I204" i="119"/>
  <c r="J204" i="119"/>
  <c r="I24" i="119"/>
  <c r="J24" i="119"/>
  <c r="I197" i="119"/>
  <c r="J197" i="119"/>
  <c r="J240" i="119"/>
  <c r="I240" i="119"/>
  <c r="I213" i="119"/>
  <c r="J213" i="119"/>
  <c r="I131" i="119"/>
  <c r="J131" i="119"/>
  <c r="I169" i="119"/>
  <c r="J169" i="119"/>
  <c r="J253" i="119"/>
  <c r="I253" i="119"/>
  <c r="I201" i="119"/>
  <c r="J201" i="119"/>
  <c r="J248" i="119"/>
  <c r="I248" i="119"/>
  <c r="I255" i="119"/>
  <c r="J255" i="119"/>
  <c r="J202" i="119"/>
  <c r="I202" i="119"/>
  <c r="J252" i="119"/>
  <c r="I252" i="119"/>
  <c r="J232" i="119"/>
  <c r="I232" i="119"/>
  <c r="I22" i="119"/>
  <c r="J22" i="119"/>
  <c r="J229" i="119"/>
  <c r="I229" i="119"/>
  <c r="I247" i="119"/>
  <c r="J247" i="119"/>
  <c r="J222" i="119"/>
  <c r="I222" i="119"/>
  <c r="J243" i="119"/>
  <c r="I243" i="119"/>
  <c r="J162" i="119"/>
  <c r="I162" i="119"/>
  <c r="I228" i="119"/>
  <c r="J228" i="119"/>
  <c r="J227" i="119"/>
  <c r="I227" i="119"/>
  <c r="I226" i="119"/>
  <c r="J226" i="119"/>
  <c r="E24" i="88"/>
  <c r="E20" i="88"/>
  <c r="G15" i="119"/>
  <c r="H15" i="119" s="1"/>
  <c r="U18" i="113"/>
  <c r="G164" i="119"/>
  <c r="H164" i="119" s="1"/>
  <c r="U34" i="113"/>
  <c r="G172" i="119"/>
  <c r="H172" i="119" s="1"/>
  <c r="U50" i="113"/>
  <c r="G180" i="119"/>
  <c r="H180" i="119" s="1"/>
  <c r="U57" i="113"/>
  <c r="G184" i="119"/>
  <c r="H184" i="119" s="1"/>
  <c r="U22" i="112"/>
  <c r="G133" i="119"/>
  <c r="H133" i="119" s="1"/>
  <c r="U47" i="112"/>
  <c r="G145" i="119"/>
  <c r="H145" i="119" s="1"/>
  <c r="U17" i="113"/>
  <c r="G163" i="119"/>
  <c r="H163" i="119" s="1"/>
  <c r="U40" i="113"/>
  <c r="G175" i="119"/>
  <c r="H175" i="119" s="1"/>
  <c r="U18" i="112"/>
  <c r="G132" i="119"/>
  <c r="H132" i="119" s="1"/>
  <c r="U41" i="112"/>
  <c r="G144" i="119"/>
  <c r="H144" i="119" s="1"/>
  <c r="U66" i="112"/>
  <c r="G156" i="119"/>
  <c r="H156" i="119" s="1"/>
  <c r="U23" i="113"/>
  <c r="G166" i="119"/>
  <c r="H166" i="119" s="1"/>
  <c r="U32" i="113"/>
  <c r="G170" i="119"/>
  <c r="H170" i="119" s="1"/>
  <c r="U39" i="113"/>
  <c r="G174" i="119"/>
  <c r="H174" i="119" s="1"/>
  <c r="U48" i="113"/>
  <c r="G178" i="119"/>
  <c r="H178" i="119" s="1"/>
  <c r="U55" i="113"/>
  <c r="G182" i="119"/>
  <c r="H182" i="119" s="1"/>
  <c r="U24" i="113"/>
  <c r="G167" i="119"/>
  <c r="H167" i="119" s="1"/>
  <c r="U50" i="112"/>
  <c r="G148" i="119"/>
  <c r="H148" i="119" s="1"/>
  <c r="U24" i="112"/>
  <c r="G135" i="119"/>
  <c r="H135" i="119" s="1"/>
  <c r="U33" i="112"/>
  <c r="G139" i="119"/>
  <c r="H139" i="119" s="1"/>
  <c r="U40" i="112"/>
  <c r="G143" i="119"/>
  <c r="H143" i="119" s="1"/>
  <c r="U49" i="112"/>
  <c r="G147" i="119"/>
  <c r="H147" i="119" s="1"/>
  <c r="U56" i="112"/>
  <c r="G151" i="119"/>
  <c r="H151" i="119" s="1"/>
  <c r="U65" i="112"/>
  <c r="G155" i="119"/>
  <c r="H155" i="119" s="1"/>
  <c r="U72" i="112"/>
  <c r="G159" i="119"/>
  <c r="H159" i="119" s="1"/>
  <c r="U25" i="113"/>
  <c r="G168" i="119"/>
  <c r="H168" i="119" s="1"/>
  <c r="S7" i="112"/>
  <c r="G129" i="119"/>
  <c r="H129" i="119" s="1"/>
  <c r="U38" i="112"/>
  <c r="G141" i="119"/>
  <c r="H141" i="119" s="1"/>
  <c r="U63" i="112"/>
  <c r="G153" i="119"/>
  <c r="H153" i="119" s="1"/>
  <c r="U49" i="113"/>
  <c r="G179" i="119"/>
  <c r="H179" i="119" s="1"/>
  <c r="U34" i="112"/>
  <c r="G140" i="119"/>
  <c r="H140" i="119" s="1"/>
  <c r="U73" i="112"/>
  <c r="G160" i="119"/>
  <c r="H160" i="119" s="1"/>
  <c r="U38" i="113"/>
  <c r="G173" i="119"/>
  <c r="H173" i="119" s="1"/>
  <c r="U47" i="113"/>
  <c r="G177" i="119"/>
  <c r="H177" i="119" s="1"/>
  <c r="U54" i="113"/>
  <c r="G181" i="119"/>
  <c r="H181" i="119" s="1"/>
  <c r="U41" i="113"/>
  <c r="G176" i="119"/>
  <c r="H176" i="119" s="1"/>
  <c r="U31" i="112"/>
  <c r="G137" i="119"/>
  <c r="H137" i="119" s="1"/>
  <c r="U54" i="112"/>
  <c r="G149" i="119"/>
  <c r="H149" i="119" s="1"/>
  <c r="U70" i="112"/>
  <c r="G157" i="119"/>
  <c r="H157" i="119" s="1"/>
  <c r="U33" i="113"/>
  <c r="G171" i="119"/>
  <c r="H171" i="119" s="1"/>
  <c r="U56" i="113"/>
  <c r="G183" i="119"/>
  <c r="H183" i="119" s="1"/>
  <c r="U25" i="112"/>
  <c r="G136" i="119"/>
  <c r="H136" i="119" s="1"/>
  <c r="U57" i="112"/>
  <c r="G152" i="119"/>
  <c r="H152" i="119" s="1"/>
  <c r="U22" i="113"/>
  <c r="G165" i="119"/>
  <c r="H165" i="119" s="1"/>
  <c r="U16" i="112"/>
  <c r="G130" i="119"/>
  <c r="H130" i="119" s="1"/>
  <c r="U23" i="112"/>
  <c r="G134" i="119"/>
  <c r="H134" i="119" s="1"/>
  <c r="U32" i="112"/>
  <c r="G138" i="119"/>
  <c r="H138" i="119" s="1"/>
  <c r="U39" i="112"/>
  <c r="G142" i="119"/>
  <c r="H142" i="119" s="1"/>
  <c r="U48" i="112"/>
  <c r="G146" i="119"/>
  <c r="H146" i="119" s="1"/>
  <c r="U55" i="112"/>
  <c r="G150" i="119"/>
  <c r="H150" i="119" s="1"/>
  <c r="U64" i="112"/>
  <c r="G154" i="119"/>
  <c r="H154" i="119" s="1"/>
  <c r="U71" i="112"/>
  <c r="G158" i="119"/>
  <c r="H158" i="119" s="1"/>
  <c r="U31" i="113"/>
  <c r="U4" i="115"/>
  <c r="U6" i="115" s="1"/>
  <c r="S7" i="113"/>
  <c r="U17" i="112"/>
  <c r="S9" i="112"/>
  <c r="U24" i="109"/>
  <c r="V24" i="109" s="1"/>
  <c r="U25" i="109"/>
  <c r="V25" i="109" s="1"/>
  <c r="U26" i="109"/>
  <c r="V26" i="109" s="1"/>
  <c r="U27" i="109"/>
  <c r="V27" i="109" s="1"/>
  <c r="U16" i="113"/>
  <c r="T5" i="114"/>
  <c r="U5" i="116"/>
  <c r="T6" i="115"/>
  <c r="T3" i="112"/>
  <c r="T5" i="112" s="1"/>
  <c r="V5" i="116"/>
  <c r="T5" i="116" s="1"/>
  <c r="M5" i="116" s="1"/>
  <c r="T3" i="113"/>
  <c r="T5" i="113" s="1"/>
  <c r="T3" i="109"/>
  <c r="U13" i="109"/>
  <c r="V19" i="109" s="1"/>
  <c r="S3" i="109"/>
  <c r="U15" i="113"/>
  <c r="S3" i="113"/>
  <c r="U15" i="112"/>
  <c r="S3" i="112"/>
  <c r="S6" i="115"/>
  <c r="M6" i="115" s="1"/>
  <c r="S5" i="115"/>
  <c r="M5" i="115" s="1"/>
  <c r="U3" i="114"/>
  <c r="T4" i="116"/>
  <c r="M4" i="116" s="1"/>
  <c r="E4" i="116"/>
  <c r="E4" i="114"/>
  <c r="M4" i="117"/>
  <c r="D59" i="110"/>
  <c r="T57" i="110"/>
  <c r="S57" i="110"/>
  <c r="T56" i="110"/>
  <c r="S56" i="110"/>
  <c r="T55" i="110"/>
  <c r="S55" i="110"/>
  <c r="T54" i="110"/>
  <c r="S54" i="110"/>
  <c r="T50" i="110"/>
  <c r="S50" i="110"/>
  <c r="T49" i="110"/>
  <c r="S49" i="110"/>
  <c r="T48" i="110"/>
  <c r="S48" i="110"/>
  <c r="T47" i="110"/>
  <c r="S47" i="110"/>
  <c r="T41" i="110"/>
  <c r="S41" i="110"/>
  <c r="T40" i="110"/>
  <c r="S40" i="110"/>
  <c r="T39" i="110"/>
  <c r="S39" i="110"/>
  <c r="T38" i="110"/>
  <c r="S38" i="110"/>
  <c r="T34" i="110"/>
  <c r="S34" i="110"/>
  <c r="T33" i="110"/>
  <c r="S33" i="110"/>
  <c r="T32" i="110"/>
  <c r="S32" i="110"/>
  <c r="T31" i="110"/>
  <c r="S31" i="110"/>
  <c r="T25" i="110"/>
  <c r="S25" i="110"/>
  <c r="T24" i="110"/>
  <c r="S24" i="110"/>
  <c r="T18" i="110"/>
  <c r="S18" i="110"/>
  <c r="T17" i="110"/>
  <c r="S17" i="110"/>
  <c r="G107" i="119" s="1"/>
  <c r="H107" i="119" s="1"/>
  <c r="T16" i="110"/>
  <c r="S16" i="110"/>
  <c r="T15" i="110"/>
  <c r="S15" i="110"/>
  <c r="U5" i="110"/>
  <c r="T5" i="110"/>
  <c r="D29" i="109"/>
  <c r="U4" i="109"/>
  <c r="T4" i="109"/>
  <c r="U2" i="109"/>
  <c r="T2" i="109"/>
  <c r="S2" i="109"/>
  <c r="T37" i="108"/>
  <c r="S37" i="108"/>
  <c r="T31" i="108"/>
  <c r="S31" i="108"/>
  <c r="D39" i="108"/>
  <c r="T25" i="108"/>
  <c r="S25" i="108"/>
  <c r="G12" i="119" s="1"/>
  <c r="H12" i="119" s="1"/>
  <c r="T19" i="108"/>
  <c r="S19" i="108"/>
  <c r="G11" i="119" s="1"/>
  <c r="H11" i="119" s="1"/>
  <c r="T13" i="108"/>
  <c r="S13" i="108"/>
  <c r="U4" i="108"/>
  <c r="T4" i="108"/>
  <c r="U2" i="108"/>
  <c r="T2" i="108"/>
  <c r="S2" i="108"/>
  <c r="T49" i="107"/>
  <c r="S49" i="107"/>
  <c r="G9" i="119" s="1"/>
  <c r="H9" i="119" s="1"/>
  <c r="T43" i="107"/>
  <c r="S43" i="107"/>
  <c r="G8" i="119" s="1"/>
  <c r="H8" i="119" s="1"/>
  <c r="T37" i="107"/>
  <c r="S37" i="107"/>
  <c r="G7" i="119" s="1"/>
  <c r="H7" i="119" s="1"/>
  <c r="T31" i="107"/>
  <c r="S31" i="107"/>
  <c r="G6" i="119" s="1"/>
  <c r="H6" i="119" s="1"/>
  <c r="T19" i="107"/>
  <c r="S19" i="107"/>
  <c r="G4" i="119" s="1"/>
  <c r="H4" i="119" s="1"/>
  <c r="S13" i="107"/>
  <c r="T13" i="107"/>
  <c r="T25" i="107"/>
  <c r="S25" i="107"/>
  <c r="G5" i="119" s="1"/>
  <c r="H5" i="119" s="1"/>
  <c r="U4" i="107"/>
  <c r="T4" i="107"/>
  <c r="U2" i="107"/>
  <c r="T2" i="107"/>
  <c r="S2" i="107"/>
  <c r="T75" i="106"/>
  <c r="S75" i="106"/>
  <c r="T74" i="106"/>
  <c r="S74" i="106"/>
  <c r="T73" i="106"/>
  <c r="S73" i="106"/>
  <c r="T72" i="106"/>
  <c r="S72" i="106"/>
  <c r="T67" i="106"/>
  <c r="S67" i="106"/>
  <c r="T66" i="106"/>
  <c r="S66" i="106"/>
  <c r="T65" i="106"/>
  <c r="S65" i="106"/>
  <c r="T64" i="106"/>
  <c r="S64" i="106"/>
  <c r="G49" i="119" s="1"/>
  <c r="H49" i="119" s="1"/>
  <c r="S2" i="106"/>
  <c r="U2" i="106"/>
  <c r="T2" i="106"/>
  <c r="T57" i="106"/>
  <c r="S57" i="106"/>
  <c r="T56" i="106"/>
  <c r="S56" i="106"/>
  <c r="T55" i="106"/>
  <c r="S55" i="106"/>
  <c r="G46" i="119" s="1"/>
  <c r="H46" i="119" s="1"/>
  <c r="T54" i="106"/>
  <c r="S54" i="106"/>
  <c r="T50" i="106"/>
  <c r="S50" i="106"/>
  <c r="T49" i="106"/>
  <c r="S49" i="106"/>
  <c r="T48" i="106"/>
  <c r="S48" i="106"/>
  <c r="T47" i="106"/>
  <c r="S47" i="106"/>
  <c r="G41" i="119" s="1"/>
  <c r="H41" i="119" s="1"/>
  <c r="T40" i="106"/>
  <c r="S40" i="106"/>
  <c r="T39" i="106"/>
  <c r="S39" i="106"/>
  <c r="T38" i="106"/>
  <c r="S38" i="106"/>
  <c r="T37" i="106"/>
  <c r="S37" i="106"/>
  <c r="T33" i="106"/>
  <c r="S33" i="106"/>
  <c r="T32" i="106"/>
  <c r="S32" i="106"/>
  <c r="T31" i="106"/>
  <c r="S31" i="106"/>
  <c r="T30" i="106"/>
  <c r="S30" i="106"/>
  <c r="G33" i="119" s="1"/>
  <c r="H33" i="119" s="1"/>
  <c r="T23" i="106"/>
  <c r="S23" i="106"/>
  <c r="T22" i="106"/>
  <c r="S22" i="106"/>
  <c r="T21" i="106"/>
  <c r="S21" i="106"/>
  <c r="T20" i="106"/>
  <c r="S20" i="106"/>
  <c r="T16" i="106"/>
  <c r="S16" i="106"/>
  <c r="T15" i="106"/>
  <c r="S15" i="106"/>
  <c r="T14" i="106"/>
  <c r="S14" i="106"/>
  <c r="T13" i="106"/>
  <c r="S13" i="106"/>
  <c r="G25" i="119" s="1"/>
  <c r="H25" i="119" s="1"/>
  <c r="U4" i="106"/>
  <c r="T4" i="106"/>
  <c r="T5" i="95"/>
  <c r="U5" i="95"/>
  <c r="U3" i="95"/>
  <c r="T3" i="95"/>
  <c r="S3" i="95"/>
  <c r="J107" i="119" l="1"/>
  <c r="I107" i="119"/>
  <c r="I134" i="119"/>
  <c r="J134" i="119"/>
  <c r="I144" i="119"/>
  <c r="J144" i="119"/>
  <c r="J152" i="119"/>
  <c r="I152" i="119"/>
  <c r="I151" i="119"/>
  <c r="J151" i="119"/>
  <c r="I9" i="119"/>
  <c r="J9" i="119"/>
  <c r="J49" i="119"/>
  <c r="I49" i="119"/>
  <c r="I150" i="119"/>
  <c r="J150" i="119"/>
  <c r="I177" i="119"/>
  <c r="J177" i="119"/>
  <c r="I25" i="119"/>
  <c r="J25" i="119"/>
  <c r="I157" i="119"/>
  <c r="J157" i="119"/>
  <c r="J129" i="119"/>
  <c r="I129" i="119"/>
  <c r="I156" i="119"/>
  <c r="J156" i="119"/>
  <c r="I12" i="119"/>
  <c r="J12" i="119"/>
  <c r="I6" i="119"/>
  <c r="J6" i="119"/>
  <c r="J158" i="119"/>
  <c r="I158" i="119"/>
  <c r="J142" i="119"/>
  <c r="I142" i="119"/>
  <c r="I165" i="119"/>
  <c r="J165" i="119"/>
  <c r="I160" i="119"/>
  <c r="J160" i="119"/>
  <c r="I141" i="119"/>
  <c r="J141" i="119"/>
  <c r="I155" i="119"/>
  <c r="J155" i="119"/>
  <c r="I139" i="119"/>
  <c r="J139" i="119"/>
  <c r="J15" i="119"/>
  <c r="I15" i="119"/>
  <c r="I8" i="119"/>
  <c r="J8" i="119"/>
  <c r="I149" i="119"/>
  <c r="J149" i="119"/>
  <c r="I148" i="119"/>
  <c r="J148" i="119"/>
  <c r="J41" i="119"/>
  <c r="I41" i="119"/>
  <c r="I5" i="119"/>
  <c r="J5" i="119"/>
  <c r="J138" i="119"/>
  <c r="I138" i="119"/>
  <c r="I181" i="119"/>
  <c r="J181" i="119"/>
  <c r="I135" i="119"/>
  <c r="J135" i="119"/>
  <c r="J11" i="119"/>
  <c r="I11" i="119"/>
  <c r="I136" i="119"/>
  <c r="J136" i="119"/>
  <c r="I147" i="119"/>
  <c r="J147" i="119"/>
  <c r="J145" i="119"/>
  <c r="I145" i="119"/>
  <c r="J33" i="119"/>
  <c r="I33" i="119"/>
  <c r="J7" i="119"/>
  <c r="I7" i="119"/>
  <c r="I154" i="119"/>
  <c r="J154" i="119"/>
  <c r="I140" i="119"/>
  <c r="J140" i="119"/>
  <c r="I4" i="119"/>
  <c r="J4" i="119"/>
  <c r="J146" i="119"/>
  <c r="I146" i="119"/>
  <c r="I130" i="119"/>
  <c r="J130" i="119"/>
  <c r="J137" i="119"/>
  <c r="I137" i="119"/>
  <c r="I173" i="119"/>
  <c r="J173" i="119"/>
  <c r="J153" i="119"/>
  <c r="I153" i="119"/>
  <c r="I159" i="119"/>
  <c r="J159" i="119"/>
  <c r="J143" i="119"/>
  <c r="I143" i="119"/>
  <c r="I132" i="119"/>
  <c r="J132" i="119"/>
  <c r="I133" i="119"/>
  <c r="J133" i="119"/>
  <c r="I163" i="119"/>
  <c r="J163" i="119"/>
  <c r="I164" i="119"/>
  <c r="J164" i="119"/>
  <c r="I166" i="119"/>
  <c r="J166" i="119"/>
  <c r="J168" i="119"/>
  <c r="I168" i="119"/>
  <c r="I167" i="119"/>
  <c r="J167" i="119"/>
  <c r="I171" i="119"/>
  <c r="J171" i="119"/>
  <c r="I172" i="119"/>
  <c r="J172" i="119"/>
  <c r="J170" i="119"/>
  <c r="I170" i="119"/>
  <c r="J176" i="119"/>
  <c r="I176" i="119"/>
  <c r="I175" i="119"/>
  <c r="J175" i="119"/>
  <c r="I174" i="119"/>
  <c r="J174" i="119"/>
  <c r="I179" i="119"/>
  <c r="J179" i="119"/>
  <c r="J178" i="119"/>
  <c r="I178" i="119"/>
  <c r="J180" i="119"/>
  <c r="I180" i="119"/>
  <c r="J182" i="119"/>
  <c r="I182" i="119"/>
  <c r="J183" i="119"/>
  <c r="I183" i="119"/>
  <c r="J184" i="119"/>
  <c r="I184" i="119"/>
  <c r="I46" i="119"/>
  <c r="J46" i="119"/>
  <c r="H24" i="88"/>
  <c r="H20" i="88"/>
  <c r="S4" i="114"/>
  <c r="M4" i="114" s="1"/>
  <c r="G13" i="119"/>
  <c r="H13" i="119" s="1"/>
  <c r="G14" i="119"/>
  <c r="H14" i="119" s="1"/>
  <c r="U66" i="106"/>
  <c r="G51" i="119"/>
  <c r="H51" i="119" s="1"/>
  <c r="U33" i="106"/>
  <c r="G36" i="119"/>
  <c r="H36" i="119" s="1"/>
  <c r="U57" i="106"/>
  <c r="G48" i="119"/>
  <c r="H48" i="119" s="1"/>
  <c r="U24" i="110"/>
  <c r="G111" i="119"/>
  <c r="H111" i="119" s="1"/>
  <c r="U49" i="110"/>
  <c r="G123" i="119"/>
  <c r="H123" i="119" s="1"/>
  <c r="U15" i="106"/>
  <c r="G27" i="119"/>
  <c r="H27" i="119" s="1"/>
  <c r="U56" i="106"/>
  <c r="G47" i="119"/>
  <c r="H47" i="119" s="1"/>
  <c r="U18" i="110"/>
  <c r="G108" i="119"/>
  <c r="H108" i="119" s="1"/>
  <c r="U32" i="110"/>
  <c r="G114" i="119"/>
  <c r="H114" i="119" s="1"/>
  <c r="U39" i="110"/>
  <c r="G118" i="119"/>
  <c r="H118" i="119" s="1"/>
  <c r="U48" i="110"/>
  <c r="G122" i="119"/>
  <c r="H122" i="119" s="1"/>
  <c r="U55" i="110"/>
  <c r="G126" i="119"/>
  <c r="H126" i="119" s="1"/>
  <c r="U72" i="106"/>
  <c r="G53" i="119"/>
  <c r="H53" i="119" s="1"/>
  <c r="U74" i="106"/>
  <c r="G55" i="119"/>
  <c r="H55" i="119" s="1"/>
  <c r="U16" i="106"/>
  <c r="G28" i="119"/>
  <c r="H28" i="119" s="1"/>
  <c r="U50" i="106"/>
  <c r="G44" i="119"/>
  <c r="H44" i="119" s="1"/>
  <c r="U33" i="110"/>
  <c r="G115" i="119"/>
  <c r="H115" i="119" s="1"/>
  <c r="U32" i="106"/>
  <c r="G35" i="119"/>
  <c r="H35" i="119" s="1"/>
  <c r="U49" i="106"/>
  <c r="G43" i="119"/>
  <c r="H43" i="119" s="1"/>
  <c r="U21" i="106"/>
  <c r="G30" i="119"/>
  <c r="H30" i="119" s="1"/>
  <c r="U31" i="106"/>
  <c r="G34" i="119"/>
  <c r="H34" i="119" s="1"/>
  <c r="U38" i="106"/>
  <c r="G38" i="119"/>
  <c r="H38" i="119" s="1"/>
  <c r="U48" i="106"/>
  <c r="G42" i="119"/>
  <c r="H42" i="119" s="1"/>
  <c r="U31" i="110"/>
  <c r="G113" i="119"/>
  <c r="H113" i="119" s="1"/>
  <c r="U38" i="110"/>
  <c r="G117" i="119"/>
  <c r="H117" i="119" s="1"/>
  <c r="U47" i="110"/>
  <c r="G121" i="119"/>
  <c r="H121" i="119" s="1"/>
  <c r="U54" i="110"/>
  <c r="G125" i="119"/>
  <c r="H125" i="119" s="1"/>
  <c r="U40" i="106"/>
  <c r="G40" i="119"/>
  <c r="H40" i="119" s="1"/>
  <c r="U65" i="106"/>
  <c r="G50" i="119"/>
  <c r="H50" i="119" s="1"/>
  <c r="U22" i="106"/>
  <c r="G31" i="119"/>
  <c r="H31" i="119" s="1"/>
  <c r="U67" i="106"/>
  <c r="G52" i="119"/>
  <c r="H52" i="119" s="1"/>
  <c r="U23" i="106"/>
  <c r="G32" i="119"/>
  <c r="H32" i="119" s="1"/>
  <c r="S7" i="110"/>
  <c r="G105" i="119"/>
  <c r="H105" i="119" s="1"/>
  <c r="U40" i="110"/>
  <c r="G119" i="119"/>
  <c r="H119" i="119" s="1"/>
  <c r="U56" i="110"/>
  <c r="G127" i="119"/>
  <c r="H127" i="119" s="1"/>
  <c r="U73" i="106"/>
  <c r="G54" i="119"/>
  <c r="H54" i="119" s="1"/>
  <c r="U39" i="106"/>
  <c r="G39" i="119"/>
  <c r="H39" i="119" s="1"/>
  <c r="U14" i="106"/>
  <c r="G26" i="119"/>
  <c r="H26" i="119" s="1"/>
  <c r="U75" i="106"/>
  <c r="G56" i="119"/>
  <c r="H56" i="119" s="1"/>
  <c r="U20" i="106"/>
  <c r="V23" i="106" s="1"/>
  <c r="G29" i="119"/>
  <c r="H29" i="119" s="1"/>
  <c r="U37" i="106"/>
  <c r="G37" i="119"/>
  <c r="H37" i="119" s="1"/>
  <c r="U54" i="106"/>
  <c r="G45" i="119"/>
  <c r="H45" i="119" s="1"/>
  <c r="U16" i="110"/>
  <c r="G106" i="119"/>
  <c r="H106" i="119" s="1"/>
  <c r="U25" i="110"/>
  <c r="G112" i="119"/>
  <c r="H112" i="119" s="1"/>
  <c r="U34" i="110"/>
  <c r="G116" i="119"/>
  <c r="H116" i="119" s="1"/>
  <c r="U41" i="110"/>
  <c r="G120" i="119"/>
  <c r="H120" i="119" s="1"/>
  <c r="U50" i="110"/>
  <c r="G124" i="119"/>
  <c r="H124" i="119" s="1"/>
  <c r="U57" i="110"/>
  <c r="G128" i="119"/>
  <c r="H128" i="119" s="1"/>
  <c r="U55" i="106"/>
  <c r="S7" i="106"/>
  <c r="H19" i="88"/>
  <c r="G3" i="119"/>
  <c r="H3" i="119" s="1"/>
  <c r="G10" i="119"/>
  <c r="H10" i="119" s="1"/>
  <c r="U3" i="112"/>
  <c r="H16" i="88" s="1"/>
  <c r="U3" i="113"/>
  <c r="U5" i="113" s="1"/>
  <c r="V28" i="109"/>
  <c r="E16" i="88"/>
  <c r="V13" i="109"/>
  <c r="U30" i="106"/>
  <c r="U47" i="106"/>
  <c r="U64" i="106"/>
  <c r="V72" i="106"/>
  <c r="U3" i="109"/>
  <c r="U5" i="109" s="1"/>
  <c r="T3" i="106"/>
  <c r="T5" i="106" s="1"/>
  <c r="U17" i="110"/>
  <c r="U31" i="108"/>
  <c r="U37" i="108"/>
  <c r="U19" i="108"/>
  <c r="U25" i="108"/>
  <c r="U5" i="114"/>
  <c r="S5" i="114" s="1"/>
  <c r="M5" i="114" s="1"/>
  <c r="U31" i="107"/>
  <c r="U49" i="107"/>
  <c r="U43" i="107"/>
  <c r="U37" i="107"/>
  <c r="U25" i="107"/>
  <c r="U19" i="107"/>
  <c r="E4" i="112"/>
  <c r="T4" i="110"/>
  <c r="T6" i="110" s="1"/>
  <c r="S5" i="113"/>
  <c r="U13" i="106"/>
  <c r="S3" i="106"/>
  <c r="U13" i="107"/>
  <c r="S3" i="107"/>
  <c r="U13" i="108"/>
  <c r="S3" i="108"/>
  <c r="U15" i="110"/>
  <c r="S4" i="110"/>
  <c r="E4" i="110" s="1"/>
  <c r="E17" i="88"/>
  <c r="S4" i="112"/>
  <c r="M4" i="112" s="1"/>
  <c r="E4" i="113"/>
  <c r="S4" i="113"/>
  <c r="M4" i="113" s="1"/>
  <c r="T5" i="109"/>
  <c r="E11" i="88"/>
  <c r="E4" i="109"/>
  <c r="D57" i="105"/>
  <c r="T55" i="105"/>
  <c r="S55" i="105"/>
  <c r="T54" i="105"/>
  <c r="S54" i="105"/>
  <c r="T53" i="105"/>
  <c r="S53" i="105"/>
  <c r="T52" i="105"/>
  <c r="S52" i="105"/>
  <c r="T48" i="105"/>
  <c r="U48" i="105"/>
  <c r="T47" i="105"/>
  <c r="S47" i="105"/>
  <c r="T46" i="105"/>
  <c r="S46" i="105"/>
  <c r="T45" i="105"/>
  <c r="S45" i="105"/>
  <c r="T39" i="105"/>
  <c r="S39" i="105"/>
  <c r="U39" i="105" s="1"/>
  <c r="T38" i="105"/>
  <c r="S38" i="105"/>
  <c r="U38" i="105" s="1"/>
  <c r="T37" i="105"/>
  <c r="S37" i="105"/>
  <c r="U37" i="105" s="1"/>
  <c r="T36" i="105"/>
  <c r="S36" i="105"/>
  <c r="T32" i="105"/>
  <c r="S32" i="105"/>
  <c r="T31" i="105"/>
  <c r="S31" i="105"/>
  <c r="T30" i="105"/>
  <c r="S30" i="105"/>
  <c r="T29" i="105"/>
  <c r="S29" i="105"/>
  <c r="T23" i="105"/>
  <c r="S23" i="105"/>
  <c r="T22" i="105"/>
  <c r="S22" i="105"/>
  <c r="T21" i="105"/>
  <c r="S21" i="105"/>
  <c r="T20" i="105"/>
  <c r="S20" i="105"/>
  <c r="G61" i="119" s="1"/>
  <c r="H61" i="119" s="1"/>
  <c r="T16" i="105"/>
  <c r="S16" i="105"/>
  <c r="T15" i="105"/>
  <c r="S15" i="105"/>
  <c r="T14" i="105"/>
  <c r="S14" i="105"/>
  <c r="G58" i="119" s="1"/>
  <c r="H58" i="119" s="1"/>
  <c r="T13" i="105"/>
  <c r="S13" i="105"/>
  <c r="G57" i="119" s="1"/>
  <c r="H57" i="119" s="1"/>
  <c r="S6" i="107" l="1"/>
  <c r="I10" i="119"/>
  <c r="J10" i="119"/>
  <c r="I13" i="119"/>
  <c r="J13" i="119"/>
  <c r="I29" i="119"/>
  <c r="J29" i="119"/>
  <c r="I111" i="119"/>
  <c r="J111" i="119"/>
  <c r="I105" i="119"/>
  <c r="J105" i="119"/>
  <c r="I53" i="119"/>
  <c r="J53" i="119"/>
  <c r="I124" i="119"/>
  <c r="J124" i="119"/>
  <c r="I106" i="119"/>
  <c r="J106" i="119"/>
  <c r="I127" i="119"/>
  <c r="J127" i="119"/>
  <c r="J125" i="119"/>
  <c r="I125" i="119"/>
  <c r="J122" i="119"/>
  <c r="I122" i="119"/>
  <c r="J57" i="119"/>
  <c r="I57" i="119"/>
  <c r="I112" i="119"/>
  <c r="J112" i="119"/>
  <c r="I126" i="119"/>
  <c r="J126" i="119"/>
  <c r="J14" i="119"/>
  <c r="I14" i="119"/>
  <c r="I123" i="119"/>
  <c r="J123" i="119"/>
  <c r="J61" i="119"/>
  <c r="I61" i="119"/>
  <c r="I128" i="119"/>
  <c r="J128" i="119"/>
  <c r="I108" i="119"/>
  <c r="J108" i="119"/>
  <c r="I116" i="119"/>
  <c r="J116" i="119"/>
  <c r="I117" i="119"/>
  <c r="J117" i="119"/>
  <c r="J114" i="119"/>
  <c r="I114" i="119"/>
  <c r="I120" i="119"/>
  <c r="J120" i="119"/>
  <c r="I45" i="119"/>
  <c r="J45" i="119"/>
  <c r="J119" i="119"/>
  <c r="I119" i="119"/>
  <c r="I121" i="119"/>
  <c r="J121" i="119"/>
  <c r="J118" i="119"/>
  <c r="I118" i="119"/>
  <c r="J113" i="119"/>
  <c r="I113" i="119"/>
  <c r="I37" i="119"/>
  <c r="J37" i="119"/>
  <c r="I115" i="119"/>
  <c r="J115" i="119"/>
  <c r="J3" i="119"/>
  <c r="I3" i="119"/>
  <c r="J58" i="119"/>
  <c r="I58" i="119"/>
  <c r="I27" i="119"/>
  <c r="J27" i="119"/>
  <c r="I28" i="119"/>
  <c r="J28" i="119"/>
  <c r="J26" i="119"/>
  <c r="I26" i="119"/>
  <c r="I55" i="119"/>
  <c r="J55" i="119"/>
  <c r="J56" i="119"/>
  <c r="I56" i="119"/>
  <c r="I54" i="119"/>
  <c r="J54" i="119"/>
  <c r="J50" i="119"/>
  <c r="I50" i="119"/>
  <c r="I51" i="119"/>
  <c r="J51" i="119"/>
  <c r="I52" i="119"/>
  <c r="J52" i="119"/>
  <c r="I48" i="119"/>
  <c r="J48" i="119"/>
  <c r="I47" i="119"/>
  <c r="J47" i="119"/>
  <c r="V57" i="106"/>
  <c r="J42" i="119"/>
  <c r="I42" i="119"/>
  <c r="J43" i="119"/>
  <c r="I43" i="119"/>
  <c r="I44" i="119"/>
  <c r="J44" i="119"/>
  <c r="I38" i="119"/>
  <c r="J38" i="119"/>
  <c r="J40" i="119"/>
  <c r="I40" i="119"/>
  <c r="I39" i="119"/>
  <c r="J39" i="119"/>
  <c r="J30" i="119"/>
  <c r="I30" i="119"/>
  <c r="J31" i="119"/>
  <c r="I31" i="119"/>
  <c r="J32" i="119"/>
  <c r="I32" i="119"/>
  <c r="I35" i="119"/>
  <c r="J35" i="119"/>
  <c r="I36" i="119"/>
  <c r="J36" i="119"/>
  <c r="J34" i="119"/>
  <c r="I34" i="119"/>
  <c r="V75" i="106"/>
  <c r="V50" i="106"/>
  <c r="V40" i="106"/>
  <c r="U29" i="105"/>
  <c r="G65" i="119"/>
  <c r="H65" i="119" s="1"/>
  <c r="U16" i="105"/>
  <c r="G60" i="119"/>
  <c r="H60" i="119" s="1"/>
  <c r="U23" i="105"/>
  <c r="G64" i="119"/>
  <c r="H64" i="119" s="1"/>
  <c r="U15" i="105"/>
  <c r="G59" i="119"/>
  <c r="H59" i="119" s="1"/>
  <c r="U22" i="105"/>
  <c r="G63" i="119"/>
  <c r="H63" i="119" s="1"/>
  <c r="U31" i="105"/>
  <c r="G67" i="119"/>
  <c r="H67" i="119" s="1"/>
  <c r="G71" i="119"/>
  <c r="H71" i="119" s="1"/>
  <c r="U47" i="105"/>
  <c r="G75" i="119"/>
  <c r="H75" i="119" s="1"/>
  <c r="U54" i="105"/>
  <c r="G79" i="119"/>
  <c r="H79" i="119" s="1"/>
  <c r="V67" i="106"/>
  <c r="U32" i="105"/>
  <c r="G68" i="119"/>
  <c r="H68" i="119" s="1"/>
  <c r="G72" i="119"/>
  <c r="H72" i="119" s="1"/>
  <c r="W40" i="106"/>
  <c r="U52" i="105"/>
  <c r="G77" i="119"/>
  <c r="H77" i="119" s="1"/>
  <c r="U55" i="105"/>
  <c r="G80" i="119"/>
  <c r="H80" i="119" s="1"/>
  <c r="U21" i="105"/>
  <c r="G62" i="119"/>
  <c r="H62" i="119" s="1"/>
  <c r="U30" i="105"/>
  <c r="G66" i="119"/>
  <c r="H66" i="119" s="1"/>
  <c r="G70" i="119"/>
  <c r="H70" i="119" s="1"/>
  <c r="U53" i="105"/>
  <c r="G78" i="119"/>
  <c r="H78" i="119" s="1"/>
  <c r="U36" i="105"/>
  <c r="G69" i="119"/>
  <c r="H69" i="119" s="1"/>
  <c r="U45" i="105"/>
  <c r="G73" i="119"/>
  <c r="H73" i="119" s="1"/>
  <c r="U46" i="105"/>
  <c r="G74" i="119"/>
  <c r="H74" i="119" s="1"/>
  <c r="U14" i="105"/>
  <c r="S7" i="105"/>
  <c r="U3" i="106"/>
  <c r="U5" i="106" s="1"/>
  <c r="S5" i="106" s="1"/>
  <c r="U4" i="110"/>
  <c r="U6" i="110" s="1"/>
  <c r="S6" i="110" s="1"/>
  <c r="U5" i="112"/>
  <c r="S5" i="112" s="1"/>
  <c r="S4" i="109"/>
  <c r="M4" i="109" s="1"/>
  <c r="H11" i="88"/>
  <c r="H17" i="88"/>
  <c r="W57" i="106"/>
  <c r="V33" i="106"/>
  <c r="W23" i="106"/>
  <c r="V17" i="106"/>
  <c r="W75" i="106"/>
  <c r="U3" i="108"/>
  <c r="U5" i="108" s="1"/>
  <c r="T3" i="108"/>
  <c r="T5" i="108" s="1"/>
  <c r="S5" i="109"/>
  <c r="M5" i="109" s="1"/>
  <c r="T3" i="107"/>
  <c r="E9" i="88" s="1"/>
  <c r="U3" i="107"/>
  <c r="U5" i="107" s="1"/>
  <c r="E15" i="88"/>
  <c r="S4" i="105"/>
  <c r="E4" i="105" s="1"/>
  <c r="T4" i="105"/>
  <c r="T6" i="105" s="1"/>
  <c r="U13" i="105"/>
  <c r="U20" i="105"/>
  <c r="E12" i="88"/>
  <c r="E4" i="108"/>
  <c r="E4" i="107"/>
  <c r="E4" i="106"/>
  <c r="D59" i="95"/>
  <c r="T57" i="95"/>
  <c r="S57" i="95"/>
  <c r="T56" i="95"/>
  <c r="S56" i="95"/>
  <c r="T55" i="95"/>
  <c r="S55" i="95"/>
  <c r="T54" i="95"/>
  <c r="S54" i="95"/>
  <c r="T50" i="95"/>
  <c r="S50" i="95"/>
  <c r="T49" i="95"/>
  <c r="S49" i="95"/>
  <c r="T48" i="95"/>
  <c r="S48" i="95"/>
  <c r="T47" i="95"/>
  <c r="S47" i="95"/>
  <c r="T41" i="95"/>
  <c r="S41" i="95"/>
  <c r="T40" i="95"/>
  <c r="S40" i="95"/>
  <c r="T34" i="95"/>
  <c r="S34" i="95"/>
  <c r="T33" i="95"/>
  <c r="S33" i="95"/>
  <c r="T25" i="95"/>
  <c r="S25" i="95"/>
  <c r="T24" i="95"/>
  <c r="S24" i="95"/>
  <c r="T18" i="95"/>
  <c r="S18" i="95"/>
  <c r="T17" i="95"/>
  <c r="S17" i="95"/>
  <c r="T39" i="95"/>
  <c r="S39" i="95"/>
  <c r="T38" i="95"/>
  <c r="S38" i="95"/>
  <c r="T32" i="95"/>
  <c r="S32" i="95"/>
  <c r="T31" i="95"/>
  <c r="S31" i="95"/>
  <c r="T23" i="95"/>
  <c r="S23" i="95"/>
  <c r="T22" i="95"/>
  <c r="S22" i="95"/>
  <c r="T16" i="95"/>
  <c r="S16" i="95"/>
  <c r="T15" i="95"/>
  <c r="S15" i="95"/>
  <c r="G81" i="119" s="1"/>
  <c r="H81" i="119" s="1"/>
  <c r="D14" i="88"/>
  <c r="D7" i="88"/>
  <c r="H2" i="88"/>
  <c r="S4" i="106" l="1"/>
  <c r="M4" i="106" s="1"/>
  <c r="I81" i="119"/>
  <c r="J81" i="119"/>
  <c r="I77" i="119"/>
  <c r="J77" i="119"/>
  <c r="J65" i="119"/>
  <c r="I65" i="119"/>
  <c r="I69" i="119"/>
  <c r="J69" i="119"/>
  <c r="I73" i="119"/>
  <c r="J73" i="119"/>
  <c r="J78" i="119"/>
  <c r="I78" i="119"/>
  <c r="I80" i="119"/>
  <c r="J80" i="119"/>
  <c r="I79" i="119"/>
  <c r="J79" i="119"/>
  <c r="J74" i="119"/>
  <c r="I74" i="119"/>
  <c r="J75" i="119"/>
  <c r="I75" i="119"/>
  <c r="I72" i="119"/>
  <c r="J72" i="119"/>
  <c r="I71" i="119"/>
  <c r="J71" i="119"/>
  <c r="I66" i="119"/>
  <c r="J66" i="119"/>
  <c r="I70" i="119"/>
  <c r="J70" i="119"/>
  <c r="I68" i="119"/>
  <c r="J68" i="119"/>
  <c r="I67" i="119"/>
  <c r="J67" i="119"/>
  <c r="I60" i="119"/>
  <c r="J60" i="119"/>
  <c r="I59" i="119"/>
  <c r="J59" i="119"/>
  <c r="I64" i="119"/>
  <c r="J64" i="119"/>
  <c r="I63" i="119"/>
  <c r="J63" i="119"/>
  <c r="I62" i="119"/>
  <c r="J62" i="119"/>
  <c r="U38" i="95"/>
  <c r="G93" i="119"/>
  <c r="H93" i="119" s="1"/>
  <c r="U24" i="95"/>
  <c r="G87" i="119"/>
  <c r="H87" i="119" s="1"/>
  <c r="U56" i="95"/>
  <c r="G103" i="119"/>
  <c r="H103" i="119" s="1"/>
  <c r="U32" i="95"/>
  <c r="G90" i="119"/>
  <c r="H90" i="119" s="1"/>
  <c r="U34" i="95"/>
  <c r="G92" i="119"/>
  <c r="H92" i="119" s="1"/>
  <c r="U33" i="95"/>
  <c r="G91" i="119"/>
  <c r="H91" i="119" s="1"/>
  <c r="U40" i="95"/>
  <c r="G95" i="119"/>
  <c r="H95" i="119" s="1"/>
  <c r="U22" i="95"/>
  <c r="G85" i="119"/>
  <c r="H85" i="119" s="1"/>
  <c r="U49" i="95"/>
  <c r="G99" i="119"/>
  <c r="H99" i="119" s="1"/>
  <c r="U16" i="95"/>
  <c r="G82" i="119"/>
  <c r="H82" i="119" s="1"/>
  <c r="U18" i="95"/>
  <c r="G84" i="119"/>
  <c r="H84" i="119" s="1"/>
  <c r="U55" i="95"/>
  <c r="G102" i="119"/>
  <c r="H102" i="119" s="1"/>
  <c r="U31" i="95"/>
  <c r="G89" i="119"/>
  <c r="H89" i="119" s="1"/>
  <c r="U17" i="95"/>
  <c r="G83" i="119"/>
  <c r="H83" i="119" s="1"/>
  <c r="U47" i="95"/>
  <c r="G97" i="119"/>
  <c r="H97" i="119" s="1"/>
  <c r="U54" i="95"/>
  <c r="G101" i="119"/>
  <c r="H101" i="119" s="1"/>
  <c r="U23" i="95"/>
  <c r="G86" i="119"/>
  <c r="H86" i="119" s="1"/>
  <c r="U39" i="95"/>
  <c r="G94" i="119"/>
  <c r="H94" i="119" s="1"/>
  <c r="U25" i="95"/>
  <c r="G88" i="119"/>
  <c r="H88" i="119" s="1"/>
  <c r="U41" i="95"/>
  <c r="G96" i="119"/>
  <c r="H96" i="119" s="1"/>
  <c r="U50" i="95"/>
  <c r="G100" i="119"/>
  <c r="H100" i="119" s="1"/>
  <c r="U57" i="95"/>
  <c r="G104" i="119"/>
  <c r="H104" i="119" s="1"/>
  <c r="U48" i="95"/>
  <c r="G98" i="119"/>
  <c r="H98" i="119" s="1"/>
  <c r="H12" i="88"/>
  <c r="S5" i="110"/>
  <c r="S7" i="95"/>
  <c r="H15" i="88"/>
  <c r="H10" i="88"/>
  <c r="T4" i="95"/>
  <c r="E14" i="88" s="1"/>
  <c r="S5" i="108"/>
  <c r="M5" i="108" s="1"/>
  <c r="S4" i="108"/>
  <c r="E10" i="88"/>
  <c r="E13" i="88"/>
  <c r="S4" i="107"/>
  <c r="T5" i="107"/>
  <c r="S5" i="107" s="1"/>
  <c r="M5" i="107" s="1"/>
  <c r="H9" i="88"/>
  <c r="U4" i="105"/>
  <c r="U15" i="95"/>
  <c r="S4" i="95"/>
  <c r="U16" i="88" s="1"/>
  <c r="Q16" i="88" s="1"/>
  <c r="J96" i="119" l="1"/>
  <c r="I96" i="119"/>
  <c r="I86" i="119"/>
  <c r="J86" i="119"/>
  <c r="I93" i="119"/>
  <c r="J93" i="119"/>
  <c r="J94" i="119"/>
  <c r="I94" i="119"/>
  <c r="I83" i="119"/>
  <c r="J83" i="119"/>
  <c r="J82" i="119"/>
  <c r="I82" i="119"/>
  <c r="I87" i="119"/>
  <c r="J87" i="119"/>
  <c r="I101" i="119"/>
  <c r="J101" i="119"/>
  <c r="J85" i="119"/>
  <c r="I85" i="119"/>
  <c r="J89" i="119"/>
  <c r="I89" i="119"/>
  <c r="I88" i="119"/>
  <c r="J88" i="119"/>
  <c r="I97" i="119"/>
  <c r="J97" i="119"/>
  <c r="I84" i="119"/>
  <c r="J84" i="119"/>
  <c r="J95" i="119"/>
  <c r="I95" i="119"/>
  <c r="I103" i="119"/>
  <c r="J103" i="119"/>
  <c r="J104" i="119"/>
  <c r="I104" i="119"/>
  <c r="I102" i="119"/>
  <c r="J102" i="119"/>
  <c r="I100" i="119"/>
  <c r="J100" i="119"/>
  <c r="I99" i="119"/>
  <c r="J99" i="119"/>
  <c r="I98" i="119"/>
  <c r="J98" i="119"/>
  <c r="I92" i="119"/>
  <c r="J92" i="119"/>
  <c r="I91" i="119"/>
  <c r="J91" i="119"/>
  <c r="I90" i="119"/>
  <c r="J90" i="119"/>
  <c r="E23" i="88"/>
  <c r="E25" i="88" s="1"/>
  <c r="E27" i="88" s="1"/>
  <c r="U4" i="95"/>
  <c r="H14" i="88" s="1"/>
  <c r="M4" i="108"/>
  <c r="M4" i="107"/>
  <c r="U6" i="105"/>
  <c r="S5" i="105"/>
  <c r="M4" i="105" s="1"/>
  <c r="H13" i="88"/>
  <c r="M5" i="110"/>
  <c r="M4" i="110"/>
  <c r="S5" i="95"/>
  <c r="M4" i="95" s="1"/>
  <c r="E4" i="95"/>
  <c r="H23" i="88" l="1"/>
  <c r="H25" i="88" s="1"/>
  <c r="H27" i="88" s="1"/>
  <c r="U6" i="95"/>
  <c r="S6" i="105"/>
  <c r="M5" i="105" s="1"/>
  <c r="M5" i="112"/>
  <c r="M5" i="106"/>
  <c r="T6" i="95" l="1"/>
  <c r="S6" i="95" l="1"/>
  <c r="M5" i="95" s="1"/>
  <c r="M5" i="117"/>
  <c r="M5" i="113"/>
</calcChain>
</file>

<file path=xl/comments1.xml><?xml version="1.0" encoding="utf-8"?>
<comments xmlns="http://schemas.openxmlformats.org/spreadsheetml/2006/main">
  <authors>
    <author>mvandeh</author>
  </authors>
  <commentList>
    <comment ref="T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<sst xmlns="http://schemas.openxmlformats.org/spreadsheetml/2006/main" count="4464" uniqueCount="610">
  <si>
    <t xml:space="preserve"> </t>
  </si>
  <si>
    <t>Maggie Vandehey</t>
  </si>
  <si>
    <t>does not apply</t>
  </si>
  <si>
    <t>Post filing</t>
  </si>
  <si>
    <t xml:space="preserve">Public comment email box </t>
  </si>
  <si>
    <t>Email folder</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</si>
  <si>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</si>
  <si>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</si>
  <si>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</si>
  <si>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</si>
  <si>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</si>
  <si>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</si>
  <si>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</si>
  <si>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</si>
  <si>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</si>
  <si>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</si>
  <si>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</si>
  <si>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</si>
  <si>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</si>
  <si>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</si>
  <si>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</si>
  <si>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</si>
  <si>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</si>
  <si>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</si>
  <si>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</si>
  <si>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</si>
  <si>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</si>
  <si>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</si>
  <si>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</si>
  <si>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</si>
  <si>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</si>
  <si>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</si>
  <si>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</si>
  <si>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</si>
  <si>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</si>
  <si>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</si>
  <si>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</si>
  <si>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</si>
  <si>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</si>
  <si>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</si>
  <si>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</si>
  <si>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</si>
  <si>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</si>
  <si>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</si>
  <si>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</si>
  <si>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</si>
  <si>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</si>
  <si>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</si>
  <si>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</si>
  <si>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</si>
  <si>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</si>
  <si>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</si>
  <si>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</si>
  <si>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</si>
  <si>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</si>
  <si>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</si>
  <si>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</si>
  <si>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</si>
  <si>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</si>
  <si>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</si>
  <si>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</si>
  <si>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</si>
  <si>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</si>
  <si>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</si>
  <si>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</si>
  <si>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</si>
  <si>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</si>
  <si>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</si>
  <si>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</si>
  <si>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</si>
  <si>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</si>
  <si>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</si>
  <si>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</si>
  <si>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</si>
  <si>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</si>
  <si>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</si>
  <si>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</si>
  <si>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</si>
  <si>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</si>
  <si>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</si>
  <si>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</si>
  <si>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</si>
  <si>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</si>
  <si>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</si>
  <si>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</si>
  <si>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</si>
  <si>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</si>
  <si>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</si>
  <si>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</si>
  <si>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</si>
  <si>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</si>
  <si>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</si>
  <si>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</si>
  <si>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</si>
  <si>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</si>
  <si>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</si>
  <si>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</si>
  <si>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</si>
  <si>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</si>
  <si>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</si>
  <si>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</si>
  <si>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</si>
  <si>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</si>
  <si>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</si>
  <si>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</si>
  <si>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</si>
  <si>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</si>
  <si>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</si>
  <si>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</si>
  <si>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</si>
  <si>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</si>
  <si>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</si>
  <si>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</si>
  <si>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</si>
  <si>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</si>
  <si>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</si>
  <si>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</si>
  <si>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</si>
  <si>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</si>
  <si>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</si>
  <si>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</si>
  <si>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</si>
  <si>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</si>
  <si>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</si>
  <si>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</si>
  <si>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</si>
  <si>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</si>
  <si>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</si>
  <si>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</si>
  <si>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</si>
  <si>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</si>
  <si>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</si>
  <si>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</si>
  <si>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</si>
  <si>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</si>
  <si>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</si>
  <si>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</si>
  <si>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</si>
  <si>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</si>
  <si>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</si>
  <si>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</si>
  <si>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</si>
  <si>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</si>
  <si>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</si>
  <si>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</si>
  <si>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</si>
  <si>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</si>
  <si>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</si>
  <si>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</si>
  <si>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</si>
  <si>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Public notice document review and communication plan strategy</t>
  </si>
  <si>
    <t>Posting program page and required public notice documents to proposed rulemaking page.</t>
  </si>
  <si>
    <t>Post to adopted rules page and archive notices to Q-Net.</t>
  </si>
  <si>
    <t>Risks</t>
  </si>
  <si>
    <t>Low</t>
  </si>
  <si>
    <t xml:space="preserve">##### </t>
  </si>
  <si>
    <t>Shortened names</t>
  </si>
  <si>
    <t>Division</t>
  </si>
  <si>
    <t xml:space="preserve">Central rulemaking file, then offsite Archives </t>
  </si>
  <si>
    <t>Project number</t>
  </si>
  <si>
    <t>######</t>
  </si>
  <si>
    <t>Y</t>
  </si>
  <si>
    <t>N</t>
  </si>
  <si>
    <t>Work off plate</t>
  </si>
  <si>
    <t>SIP Coordinator</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</si>
  <si>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</si>
  <si>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</si>
  <si>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</si>
  <si>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</si>
  <si>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</si>
  <si>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</si>
  <si>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</si>
  <si>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</si>
  <si>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</si>
  <si>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</si>
  <si>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</si>
  <si>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</si>
  <si>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</si>
  <si>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</si>
  <si>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</si>
  <si>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</si>
  <si>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</si>
  <si>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</si>
  <si>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</si>
  <si>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</si>
  <si>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</si>
  <si>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</si>
  <si>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</si>
  <si>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</si>
  <si>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</si>
  <si>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</si>
  <si>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</si>
  <si>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</si>
  <si>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</si>
  <si>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</si>
  <si>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</si>
  <si>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</si>
  <si>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</si>
  <si>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</si>
  <si>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</si>
  <si>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</si>
  <si>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</si>
  <si>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</si>
  <si>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</si>
  <si>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</si>
  <si>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</si>
  <si>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</si>
  <si>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</si>
  <si>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</si>
  <si>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</si>
  <si>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</si>
  <si>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</si>
  <si>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</si>
  <si>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</si>
  <si>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</si>
  <si>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</si>
  <si>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</si>
  <si>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</si>
  <si>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</si>
  <si>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</si>
  <si>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</si>
  <si>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</si>
  <si>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</si>
  <si>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</si>
  <si>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</si>
  <si>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</si>
  <si>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</si>
  <si>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</si>
  <si>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</si>
  <si>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</si>
  <si>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</si>
  <si>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</si>
  <si>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</si>
  <si>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</si>
  <si>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</si>
  <si>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</si>
  <si>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</si>
  <si>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</si>
  <si>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</si>
  <si>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</si>
  <si>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</si>
  <si>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</si>
  <si>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</si>
  <si>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</si>
  <si>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</si>
  <si>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</si>
  <si>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</si>
  <si>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</si>
  <si>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</si>
  <si>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</si>
  <si>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</si>
  <si>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</si>
  <si>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</si>
  <si>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</si>
  <si>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</si>
  <si>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</si>
  <si>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</si>
  <si>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</si>
  <si>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</si>
  <si>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</si>
  <si>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</si>
  <si>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</si>
  <si>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</si>
  <si>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</si>
  <si>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</si>
  <si>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</si>
  <si>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</si>
  <si>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</si>
  <si>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</si>
  <si>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</si>
  <si>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</si>
  <si>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</si>
  <si>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</si>
  <si>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</si>
  <si>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</si>
  <si>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</si>
  <si>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</si>
  <si>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</si>
  <si>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</si>
  <si>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</si>
  <si>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</si>
  <si>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</si>
  <si>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</si>
  <si>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</si>
  <si>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</si>
  <si>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</si>
  <si>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</si>
  <si>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</si>
  <si>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</si>
  <si>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</si>
  <si>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</si>
  <si>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</si>
  <si>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</si>
  <si>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</si>
  <si>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</si>
  <si>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</si>
  <si>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</si>
  <si>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</si>
  <si>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</si>
  <si>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</si>
  <si>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</si>
  <si>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</si>
  <si>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</si>
  <si>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</si>
  <si>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</si>
  <si>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</si>
  <si>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</si>
  <si>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</si>
  <si>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</si>
  <si>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</si>
  <si>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</si>
  <si>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</si>
  <si>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</si>
  <si>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</si>
  <si>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</si>
  <si>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</si>
  <si>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</si>
  <si>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</si>
  <si>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</si>
  <si>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</si>
  <si>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</si>
  <si>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</si>
  <si>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</si>
  <si>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</si>
  <si>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</si>
  <si>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</si>
  <si>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</si>
  <si>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</si>
  <si>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</si>
  <si>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</si>
  <si>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</si>
  <si>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</si>
  <si>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</si>
  <si>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</si>
  <si>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</si>
  <si>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</si>
  <si>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</si>
  <si>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</si>
  <si>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</si>
  <si>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</si>
  <si>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</si>
  <si>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</si>
  <si>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</si>
  <si>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</si>
  <si>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</si>
  <si>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</si>
  <si>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</si>
  <si>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</si>
  <si>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</si>
  <si>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</si>
  <si>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</si>
  <si>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</si>
  <si>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</si>
  <si>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</si>
  <si>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</si>
  <si>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</si>
  <si>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</si>
  <si>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</si>
  <si>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</si>
  <si>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</si>
  <si>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</si>
  <si>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</si>
  <si>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</si>
  <si>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</si>
  <si>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</si>
  <si>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</si>
  <si>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</si>
  <si>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</si>
  <si>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</si>
  <si>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</si>
  <si>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</si>
  <si>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</si>
  <si>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</si>
  <si>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</si>
  <si>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</si>
  <si>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</si>
  <si>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</si>
  <si>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</si>
  <si>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</si>
  <si>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</si>
  <si>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</si>
  <si>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</si>
  <si>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</si>
  <si>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</si>
  <si>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</si>
  <si>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</si>
  <si>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</si>
  <si>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</si>
  <si>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</si>
  <si>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</si>
  <si>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</si>
  <si>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</si>
  <si>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</si>
  <si>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</si>
  <si>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</si>
  <si>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</si>
  <si>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</si>
  <si>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</si>
  <si>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</si>
  <si>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</si>
  <si>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</si>
  <si>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</si>
  <si>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</si>
  <si>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</si>
  <si>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</si>
  <si>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</si>
  <si>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</si>
  <si>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</si>
  <si>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</si>
  <si>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</si>
  <si>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</si>
  <si>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</si>
  <si>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</si>
  <si>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</si>
  <si>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</si>
  <si>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</si>
  <si>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</si>
  <si>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</si>
  <si>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</si>
  <si>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</si>
  <si>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</si>
  <si>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</si>
  <si>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</si>
  <si>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</si>
  <si>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</si>
  <si>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</si>
  <si>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</si>
  <si>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</si>
  <si>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</si>
  <si>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</si>
  <si>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</si>
  <si>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</si>
  <si>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</si>
  <si>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</si>
  <si>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</si>
  <si>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</si>
  <si>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</si>
  <si>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</si>
  <si>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</si>
  <si>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</si>
  <si>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</si>
  <si>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</si>
  <si>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</si>
  <si>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</si>
  <si>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</si>
  <si>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</si>
  <si>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</si>
  <si>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</si>
  <si>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</si>
  <si>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</si>
  <si>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</si>
  <si>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</si>
  <si>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</si>
  <si>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</si>
  <si>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</si>
  <si>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</si>
  <si>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</si>
  <si>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</si>
  <si>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</si>
  <si>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</si>
  <si>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</si>
  <si>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</si>
  <si>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</si>
  <si>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</si>
  <si>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</si>
  <si>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</si>
  <si>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</si>
  <si>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</si>
  <si>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</si>
  <si>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</si>
  <si>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</si>
  <si>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</si>
  <si>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</si>
  <si>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</si>
  <si>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</si>
  <si>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</si>
  <si>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</si>
  <si>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</si>
  <si>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</si>
  <si>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</si>
  <si>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</si>
  <si>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</si>
  <si>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</si>
  <si>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</si>
  <si>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</si>
  <si>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</si>
  <si>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</si>
  <si>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</si>
  <si>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</si>
  <si>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</si>
  <si>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</si>
  <si>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</si>
  <si>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</si>
  <si>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</si>
  <si>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</si>
  <si>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</si>
  <si>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</si>
  <si>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</si>
  <si>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</si>
  <si>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</si>
  <si>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</si>
  <si>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</si>
  <si>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</si>
  <si>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</si>
  <si>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</si>
  <si>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</si>
  <si>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</si>
  <si>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</si>
  <si>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</si>
  <si>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</si>
  <si>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</si>
  <si>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</si>
  <si>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</si>
  <si>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</si>
  <si>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</si>
  <si>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</si>
  <si>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</si>
  <si>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</si>
  <si>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</si>
  <si>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</si>
  <si>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</si>
  <si>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</si>
  <si>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</si>
  <si>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</si>
  <si>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</si>
  <si>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</si>
  <si>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</si>
  <si>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</si>
  <si>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</si>
  <si>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</si>
  <si>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</si>
  <si>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</si>
  <si>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</si>
  <si>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</si>
  <si>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</si>
  <si>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</si>
  <si>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</si>
  <si>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</si>
  <si>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</si>
  <si>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</si>
  <si>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</si>
  <si>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</si>
  <si>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</si>
  <si>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</si>
  <si>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</si>
  <si>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</si>
  <si>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</si>
  <si>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</si>
  <si>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</si>
  <si>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</si>
  <si>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</si>
  <si>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</si>
  <si>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</si>
  <si>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</si>
  <si>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</si>
  <si>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</si>
  <si>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</si>
  <si>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</si>
  <si>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</si>
  <si>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</si>
  <si>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</si>
  <si>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</si>
  <si>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</si>
  <si>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</si>
  <si>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</si>
  <si>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</si>
  <si>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</si>
  <si>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</si>
  <si>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</si>
  <si>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</si>
  <si>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</si>
  <si>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</si>
  <si>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</si>
  <si>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</si>
  <si>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</si>
  <si>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</si>
  <si>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</si>
  <si>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</si>
  <si>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</si>
  <si>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</si>
  <si>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</si>
  <si>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</si>
  <si>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Year place on the plan</t>
  </si>
  <si>
    <t>Enter link</t>
  </si>
  <si>
    <t>Enter project descriptor</t>
  </si>
  <si>
    <t>Q-time for developing this plan</t>
  </si>
  <si>
    <t>Leadership Team</t>
  </si>
  <si>
    <r>
      <t xml:space="preserve">The lead manager is a contributing member on the team who:  
     Keeps the </t>
    </r>
    <r>
      <rPr>
        <sz val="10"/>
        <rFont val="Cambria"/>
        <family val="1"/>
        <scheme val="minor"/>
      </rPr>
      <t>lead administrator updted on rulemaking progress</t>
    </r>
    <r>
      <rPr>
        <sz val="10"/>
        <color theme="1"/>
        <rFont val="Cambria"/>
        <family val="1"/>
        <scheme val="minor"/>
      </rPr>
      <t xml:space="preserve"> and potential issues
     Stops/delays work product if the rough drafts are out of sync with current section or program priorities
     Participates in team work sessions as needed 
     Reviews/approves fee approvals, notice, rules and EQC staff report documents for program content
     Ensures Subject Expert has support needed  
   </t>
    </r>
  </si>
  <si>
    <t>AQ</t>
  </si>
  <si>
    <t>Aida's office</t>
  </si>
  <si>
    <t>David Collier</t>
  </si>
  <si>
    <t>Uri Papish</t>
  </si>
  <si>
    <t>Andrea Gartenbaum</t>
  </si>
  <si>
    <t>Chris Swab</t>
  </si>
  <si>
    <t>Emissions Inventory - Technical Analysis</t>
  </si>
  <si>
    <t>Paul Garrahan</t>
  </si>
  <si>
    <t xml:space="preserve">Claudia Davis, Wayne Kauzlarich </t>
  </si>
  <si>
    <t>No longer resourced</t>
  </si>
  <si>
    <t>Brian White</t>
  </si>
  <si>
    <t>Michelle Thompson</t>
  </si>
  <si>
    <t>Lucy Edmondson</t>
  </si>
  <si>
    <t>Rouge Valley Council of Governments</t>
  </si>
  <si>
    <t>Dan Moore</t>
  </si>
  <si>
    <t xml:space="preserve">Project manager, reviews for technical and federal requirements for SIP </t>
  </si>
  <si>
    <t>GPLMP</t>
  </si>
  <si>
    <t>Brian Finneran</t>
  </si>
  <si>
    <t>Brandy Albertson and Wes Risher</t>
  </si>
  <si>
    <t xml:space="preserve"> Technical review</t>
  </si>
  <si>
    <t>Grants Pass Limited Maintenance Plans for CO and PM10</t>
  </si>
  <si>
    <t>GrantsPassLMP</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</si>
</sst>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7">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102" fillId="2" borderId="0" xfId="0" applyFont="1" applyFill="1" applyBorder="1" applyAlignment="1">
      <alignment horizontal="left" vertic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18" fillId="2" borderId="2" xfId="1" applyNumberFormat="1" applyFont="1" applyFill="1" applyBorder="1" applyAlignment="1" applyProtection="1">
      <alignment horizontal="left" vertical="center"/>
    </xf>
    <xf numFmtId="0" fontId="1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style="medium">
          <color theme="0" tint="-0.499984740745262"/>
        </left>
        <right/>
        <top/>
        <bottom/>
      </border>
      <protection locked="0" hidden="0"/>
    </dxf>
    <dxf>
      <alignment horizontal="center" vertical="bottom" textRotation="0" wrapText="0" relativeIndent="0" justifyLastLine="0" shrinkToFit="0" readingOrder="0"/>
      <protection locked="0" hidden="0"/>
    </dxf>
    <dxf>
      <alignment horizontal="center" vertical="bottom" textRotation="0" wrapText="0" relativeIndent="0" justifyLastLine="0" shrinkToFit="0" readingOrder="0"/>
      <protection locked="0" hidden="0"/>
    </dxf>
    <dxf>
      <alignment vertical="top" textRotation="0" indent="0" justifyLastLine="0" shrinkToFit="0" readingOrder="0"/>
      <protection locked="0" hidden="0"/>
    </dxf>
    <dxf>
      <alignment vertical="top" textRotation="0" indent="0" justifyLastLine="0" shrinkToFit="0" readingOrder="0"/>
      <protection locked="0" hidden="0"/>
    </dxf>
    <dxf>
      <numFmt numFmtId="1" formatCode="0"/>
      <alignment horizontal="center" vertical="top" textRotation="0" wrapText="0" relativeIndent="0" justifyLastLine="0" shrinkToFit="0" readingOrder="0"/>
    </dxf>
    <dxf>
      <numFmt numFmtId="1" formatCode="0"/>
      <alignment horizontal="center" vertical="top" textRotation="0" wrapText="0" relativeIndent="0" justifyLastLine="0" shrinkToFit="0" readingOrder="0"/>
    </dxf>
    <dxf>
      <numFmt numFmtId="1" formatCode="0"/>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64" formatCode="[$-409]mmmm\ d\,\ yyyy;@"/>
      <alignment horizontal="left" vertical="top" textRotation="0" wrapText="0" indent="0" justifyLastLine="0" shrinkToFit="0" readingOrder="0"/>
    </dxf>
    <dxf>
      <alignment vertical="top" textRotation="0" indent="0" justifyLastLine="0" shrinkToFit="0" readingOrder="0"/>
    </dxf>
    <dxf>
      <numFmt numFmtId="0" formatCode="General"/>
      <alignment vertical="top" textRotation="0" indent="0" justifyLastLine="0" shrinkToFit="0" readingOrder="0"/>
    </dxf>
    <dxf>
      <alignment vertical="top" textRotation="0" indent="0" justifyLastLine="0" shrinkToFit="0" readingOrder="0"/>
    </dxf>
    <dxf>
      <alignment horizontal="center" vertical="top" textRotation="0" wrapText="0" indent="0" justifyLastLine="0" shrinkToFit="0" readingOrder="0"/>
    </dxf>
    <dxf>
      <numFmt numFmtId="164" formatCode="[$-409]mmmm\ d\,\ yyyy;@"/>
      <alignment horizontal="center" vertical="top" textRotation="0" wrapText="0" indent="0" justifyLastLine="0" shrinkToFit="0" readingOrder="0"/>
    </dxf>
    <dxf>
      <alignment vertical="top" textRotation="0" indent="0"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170" formatCode="m/d/yy;@"/>
    </dxf>
    <dxf>
      <numFmt numFmtId="164" formatCode="[$-409]mmmm\ d\,\ yyyy;@"/>
      <alignment horizontal="general" vertical="bottom" textRotation="0" wrapText="1" relativeIndent="0" justifyLastLine="0" shrinkToFit="0" readingOrder="0"/>
    </dxf>
    <dxf>
      <alignment horizontal="general" vertical="bottom" textRotation="0" wrapText="1" relativeIndent="0" justifyLastLine="0" shrinkToFit="0" readingOrder="0"/>
    </dxf>
    <dxf>
      <alignment horizontal="general" vertical="bottom" textRotation="0" wrapText="1" relativeIndent="0" justifyLastLine="0" shrinkToFit="0" readingOrder="0"/>
    </dxf>
    <dxf>
      <numFmt numFmtId="1" formatCode="0"/>
    </dxf>
    <dxf>
      <numFmt numFmtId="170" formatCode="m/d/yy;@"/>
    </dxf>
    <dxf>
      <numFmt numFmtId="1" formatCode="0"/>
      <alignment horizontal="center" vertical="bottom" textRotation="0" wrapText="0" relativeIndent="0" justifyLastLine="0" shrinkToFit="0" readingOrder="0"/>
    </dxf>
    <dxf>
      <numFmt numFmtId="169" formatCode="0.0"/>
    </dxf>
    <dxf>
      <numFmt numFmtId="1" formatCode="0"/>
      <alignment horizontal="center" vertical="center" textRotation="0" wrapTex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8</xdr:col>
          <xdr:colOff>0</xdr:colOff>
          <xdr:row>11</xdr:row>
          <xdr:rowOff>0</xdr:rowOff>
        </xdr:to>
        <xdr:sp macro="" textlink="">
          <xdr:nvSpPr>
            <xdr:cNvPr id="128002" name="Group Box 2" hidden="1">
              <a:extLst>
                <a:ext uri="{63B3BB69-23CF-44E3-9099-C40C66FF867C}">
                  <a14:compatExt spid="_x0000_s1280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xdr:row>
          <xdr:rowOff>9525</xdr:rowOff>
        </xdr:from>
        <xdr:to>
          <xdr:col>3</xdr:col>
          <xdr:colOff>981075</xdr:colOff>
          <xdr:row>5</xdr:row>
          <xdr:rowOff>352425</xdr:rowOff>
        </xdr:to>
        <xdr:sp macro="" textlink="">
          <xdr:nvSpPr>
            <xdr:cNvPr id="128004" name="Option Button 4" hidden="1">
              <a:extLst>
                <a:ext uri="{63B3BB69-23CF-44E3-9099-C40C66FF867C}">
                  <a14:compatExt spid="_x0000_s128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1743075</xdr:colOff>
          <xdr:row>5</xdr:row>
          <xdr:rowOff>9525</xdr:rowOff>
        </xdr:from>
        <xdr:to>
          <xdr:col>4</xdr:col>
          <xdr:colOff>161925</xdr:colOff>
          <xdr:row>5</xdr:row>
          <xdr:rowOff>352425</xdr:rowOff>
        </xdr:to>
        <xdr:sp macro="" textlink="">
          <xdr:nvSpPr>
            <xdr:cNvPr id="128005" name="Option Button 5" hidden="1">
              <a:extLst>
                <a:ext uri="{63B3BB69-23CF-44E3-9099-C40C66FF867C}">
                  <a14:compatExt spid="_x0000_s128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5</xdr:row>
          <xdr:rowOff>9525</xdr:rowOff>
        </xdr:from>
        <xdr:to>
          <xdr:col>5</xdr:col>
          <xdr:colOff>1266825</xdr:colOff>
          <xdr:row>5</xdr:row>
          <xdr:rowOff>342900</xdr:rowOff>
        </xdr:to>
        <xdr:sp macro="" textlink="">
          <xdr:nvSpPr>
            <xdr:cNvPr id="128006" name="Option Button 6" hidden="1">
              <a:extLst>
                <a:ext uri="{63B3BB69-23CF-44E3-9099-C40C66FF867C}">
                  <a14:compatExt spid="_x0000_s128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5</xdr:row>
          <xdr:rowOff>9525</xdr:rowOff>
        </xdr:from>
        <xdr:to>
          <xdr:col>7</xdr:col>
          <xdr:colOff>504825</xdr:colOff>
          <xdr:row>5</xdr:row>
          <xdr:rowOff>352425</xdr:rowOff>
        </xdr:to>
        <xdr:sp macro="" textlink="">
          <xdr:nvSpPr>
            <xdr:cNvPr id="128007" name="Option Button 7" hidden="1">
              <a:extLst>
                <a:ext uri="{63B3BB69-23CF-44E3-9099-C40C66FF867C}">
                  <a14:compatExt spid="_x0000_s128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1333500</xdr:colOff>
          <xdr:row>5</xdr:row>
          <xdr:rowOff>9525</xdr:rowOff>
        </xdr:from>
        <xdr:to>
          <xdr:col>7</xdr:col>
          <xdr:colOff>1876425</xdr:colOff>
          <xdr:row>5</xdr:row>
          <xdr:rowOff>352425</xdr:rowOff>
        </xdr:to>
        <xdr:sp macro="" textlink="">
          <xdr:nvSpPr>
            <xdr:cNvPr id="128008" name="Option Button 8" hidden="1">
              <a:extLst>
                <a:ext uri="{63B3BB69-23CF-44E3-9099-C40C66FF867C}">
                  <a14:compatExt spid="_x0000_s128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10</xdr:row>
          <xdr:rowOff>38100</xdr:rowOff>
        </xdr:from>
        <xdr:to>
          <xdr:col>3</xdr:col>
          <xdr:colOff>866775</xdr:colOff>
          <xdr:row>10</xdr:row>
          <xdr:rowOff>352425</xdr:rowOff>
        </xdr:to>
        <xdr:sp macro="" textlink="">
          <xdr:nvSpPr>
            <xdr:cNvPr id="128009" name="Option Button 9" hidden="1">
              <a:extLst>
                <a:ext uri="{63B3BB69-23CF-44E3-9099-C40C66FF867C}">
                  <a14:compatExt spid="_x0000_s128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1781175</xdr:colOff>
          <xdr:row>10</xdr:row>
          <xdr:rowOff>57150</xdr:rowOff>
        </xdr:from>
        <xdr:to>
          <xdr:col>4</xdr:col>
          <xdr:colOff>104775</xdr:colOff>
          <xdr:row>10</xdr:row>
          <xdr:rowOff>333375</xdr:rowOff>
        </xdr:to>
        <xdr:sp macro="" textlink="">
          <xdr:nvSpPr>
            <xdr:cNvPr id="128010" name="Option Button 10" hidden="1">
              <a:extLst>
                <a:ext uri="{63B3BB69-23CF-44E3-9099-C40C66FF867C}">
                  <a14:compatExt spid="_x0000_s128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10</xdr:row>
          <xdr:rowOff>38100</xdr:rowOff>
        </xdr:from>
        <xdr:to>
          <xdr:col>5</xdr:col>
          <xdr:colOff>1190625</xdr:colOff>
          <xdr:row>10</xdr:row>
          <xdr:rowOff>352425</xdr:rowOff>
        </xdr:to>
        <xdr:sp macro="" textlink="">
          <xdr:nvSpPr>
            <xdr:cNvPr id="128011" name="Option Button 11" hidden="1">
              <a:extLst>
                <a:ext uri="{63B3BB69-23CF-44E3-9099-C40C66FF867C}">
                  <a14:compatExt spid="_x0000_s128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57150</xdr:rowOff>
        </xdr:from>
        <xdr:to>
          <xdr:col>7</xdr:col>
          <xdr:colOff>352425</xdr:colOff>
          <xdr:row>10</xdr:row>
          <xdr:rowOff>333375</xdr:rowOff>
        </xdr:to>
        <xdr:sp macro="" textlink="">
          <xdr:nvSpPr>
            <xdr:cNvPr id="128012" name="Option Button 12" hidden="1">
              <a:extLst>
                <a:ext uri="{63B3BB69-23CF-44E3-9099-C40C66FF867C}">
                  <a14:compatExt spid="_x0000_s128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1314450</xdr:colOff>
          <xdr:row>10</xdr:row>
          <xdr:rowOff>9525</xdr:rowOff>
        </xdr:from>
        <xdr:to>
          <xdr:col>7</xdr:col>
          <xdr:colOff>1790700</xdr:colOff>
          <xdr:row>11</xdr:row>
          <xdr:rowOff>0</xdr:rowOff>
        </xdr:to>
        <xdr:sp macro="" textlink="">
          <xdr:nvSpPr>
            <xdr:cNvPr id="128013" name="Option Button 13" hidden="1">
              <a:extLst>
                <a:ext uri="{63B3BB69-23CF-44E3-9099-C40C66FF867C}">
                  <a14:compatExt spid="_x0000_s128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15</xdr:row>
          <xdr:rowOff>66675</xdr:rowOff>
        </xdr:from>
        <xdr:to>
          <xdr:col>3</xdr:col>
          <xdr:colOff>876300</xdr:colOff>
          <xdr:row>15</xdr:row>
          <xdr:rowOff>352425</xdr:rowOff>
        </xdr:to>
        <xdr:sp macro="" textlink="">
          <xdr:nvSpPr>
            <xdr:cNvPr id="128014" name="Option Button 14" hidden="1">
              <a:extLst>
                <a:ext uri="{63B3BB69-23CF-44E3-9099-C40C66FF867C}">
                  <a14:compatExt spid="_x0000_s128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1752600</xdr:colOff>
          <xdr:row>15</xdr:row>
          <xdr:rowOff>28575</xdr:rowOff>
        </xdr:from>
        <xdr:to>
          <xdr:col>4</xdr:col>
          <xdr:colOff>142875</xdr:colOff>
          <xdr:row>15</xdr:row>
          <xdr:rowOff>342900</xdr:rowOff>
        </xdr:to>
        <xdr:sp macro="" textlink="">
          <xdr:nvSpPr>
            <xdr:cNvPr id="128015" name="Option Button 15" hidden="1">
              <a:extLst>
                <a:ext uri="{63B3BB69-23CF-44E3-9099-C40C66FF867C}">
                  <a14:compatExt spid="_x0000_s128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15</xdr:row>
          <xdr:rowOff>38100</xdr:rowOff>
        </xdr:from>
        <xdr:to>
          <xdr:col>5</xdr:col>
          <xdr:colOff>1076325</xdr:colOff>
          <xdr:row>15</xdr:row>
          <xdr:rowOff>352425</xdr:rowOff>
        </xdr:to>
        <xdr:sp macro="" textlink="">
          <xdr:nvSpPr>
            <xdr:cNvPr id="128016" name="Option Button 16" hidden="1">
              <a:extLst>
                <a:ext uri="{63B3BB69-23CF-44E3-9099-C40C66FF867C}">
                  <a14:compatExt spid="_x0000_s128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66675</xdr:rowOff>
        </xdr:from>
        <xdr:to>
          <xdr:col>7</xdr:col>
          <xdr:colOff>323850</xdr:colOff>
          <xdr:row>15</xdr:row>
          <xdr:rowOff>333375</xdr:rowOff>
        </xdr:to>
        <xdr:sp macro="" textlink="">
          <xdr:nvSpPr>
            <xdr:cNvPr id="128017" name="Option Button 17" hidden="1">
              <a:extLst>
                <a:ext uri="{63B3BB69-23CF-44E3-9099-C40C66FF867C}">
                  <a14:compatExt spid="_x0000_s128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1362075</xdr:colOff>
          <xdr:row>15</xdr:row>
          <xdr:rowOff>38100</xdr:rowOff>
        </xdr:from>
        <xdr:to>
          <xdr:col>7</xdr:col>
          <xdr:colOff>1809750</xdr:colOff>
          <xdr:row>15</xdr:row>
          <xdr:rowOff>352425</xdr:rowOff>
        </xdr:to>
        <xdr:sp macro="" textlink="">
          <xdr:nvSpPr>
            <xdr:cNvPr id="128018" name="Option Button 18" hidden="1">
              <a:extLst>
                <a:ext uri="{63B3BB69-23CF-44E3-9099-C40C66FF867C}">
                  <a14:compatExt spid="_x0000_s128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9525</xdr:rowOff>
        </xdr:from>
        <xdr:to>
          <xdr:col>8</xdr:col>
          <xdr:colOff>9525</xdr:colOff>
          <xdr:row>11</xdr:row>
          <xdr:rowOff>0</xdr:rowOff>
        </xdr:to>
        <xdr:sp macro="" textlink="">
          <xdr:nvSpPr>
            <xdr:cNvPr id="128020" name="Group Box 20" hidden="1">
              <a:extLst>
                <a:ext uri="{63B3BB69-23CF-44E3-9099-C40C66FF867C}">
                  <a14:compatExt spid="_x0000_s1280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8</xdr:col>
          <xdr:colOff>0</xdr:colOff>
          <xdr:row>15</xdr:row>
          <xdr:rowOff>371475</xdr:rowOff>
        </xdr:to>
        <xdr:sp macro="" textlink="">
          <xdr:nvSpPr>
            <xdr:cNvPr id="128021" name="Group Box 21" hidden="1">
              <a:extLst>
                <a:ext uri="{63B3BB69-23CF-44E3-9099-C40C66FF867C}">
                  <a14:compatExt spid="_x0000_s1280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mailto:Comment-AaaaAaaa@deq.state.or.us" TargetMode="External"/><Relationship Id="rId7" Type="http://schemas.openxmlformats.org/officeDocument/2006/relationships/comments" Target="../comments2.xml"/><Relationship Id="rId2" Type="http://schemas.openxmlformats.org/officeDocument/2006/relationships/hyperlink" Target="file://DEQ001/StandardBuild/Configuration/DEQApplications" TargetMode="External"/><Relationship Id="rId1" Type="http://schemas.openxmlformats.org/officeDocument/2006/relationships/hyperlink" Target="mailto:Comment-AaaaAaaa@dep.state.or.u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311"/>
  <sheetViews>
    <sheetView topLeftCell="A11" workbookViewId="0">
      <selection activeCell="A35" sqref="A35"/>
    </sheetView>
  </sheetViews>
  <sheetFormatPr defaultColWidth="9" defaultRowHeight="15.75" x14ac:dyDescent="0.25"/>
  <cols>
    <col min="1" max="1" width="42.125" style="17" customWidth="1"/>
    <col min="2" max="2" width="26.875" style="17" customWidth="1"/>
    <col min="3" max="3" width="25.5" style="5" customWidth="1"/>
    <col min="4" max="4" width="17.25" style="5" customWidth="1"/>
    <col min="5" max="5" width="9.375" style="5" customWidth="1"/>
    <col min="6" max="6" width="15" style="5" bestFit="1" customWidth="1"/>
    <col min="7" max="16384" width="9" style="5"/>
  </cols>
  <sheetData>
    <row r="1" spans="1:6" x14ac:dyDescent="0.25">
      <c r="A1" s="14"/>
      <c r="B1" s="14"/>
      <c r="C1" s="10"/>
      <c r="D1" s="10"/>
      <c r="E1" s="10"/>
    </row>
    <row r="2" spans="1:6" x14ac:dyDescent="0.25">
      <c r="A2" s="14"/>
      <c r="B2" s="14"/>
      <c r="C2" s="10"/>
      <c r="D2" s="10"/>
      <c r="E2" s="10"/>
    </row>
    <row r="3" spans="1:6" ht="22.5" x14ac:dyDescent="0.3">
      <c r="A3" s="16" t="s">
        <v>10</v>
      </c>
      <c r="B3" s="14"/>
      <c r="C3" s="10"/>
      <c r="D3" s="10"/>
      <c r="E3" s="10"/>
    </row>
    <row r="4" spans="1:6" x14ac:dyDescent="0.25">
      <c r="A4" s="15" t="s">
        <v>69</v>
      </c>
      <c r="B4" s="13" t="s">
        <v>23</v>
      </c>
      <c r="C4" s="10" t="s">
        <v>0</v>
      </c>
      <c r="D4" s="10"/>
      <c r="E4" s="10"/>
    </row>
    <row r="5" spans="1:6" x14ac:dyDescent="0.25">
      <c r="A5" s="20" t="s">
        <v>2</v>
      </c>
      <c r="B5" s="21">
        <v>0</v>
      </c>
      <c r="C5" s="10"/>
      <c r="D5" s="10"/>
      <c r="E5" s="10"/>
    </row>
    <row r="6" spans="1:6" x14ac:dyDescent="0.25">
      <c r="A6" s="20" t="s">
        <v>18</v>
      </c>
      <c r="B6" s="21">
        <v>2</v>
      </c>
      <c r="C6" s="10"/>
      <c r="D6" s="10"/>
      <c r="E6" s="10"/>
    </row>
    <row r="7" spans="1:6" x14ac:dyDescent="0.25">
      <c r="A7" s="20" t="s">
        <v>19</v>
      </c>
      <c r="B7" s="21">
        <v>4</v>
      </c>
      <c r="C7" s="10"/>
      <c r="D7" s="10"/>
      <c r="E7" s="10"/>
    </row>
    <row r="8" spans="1:6" x14ac:dyDescent="0.25">
      <c r="A8" s="20" t="s">
        <v>20</v>
      </c>
      <c r="B8" s="21">
        <v>6</v>
      </c>
      <c r="C8" s="10"/>
      <c r="D8" s="10"/>
      <c r="E8" s="10"/>
    </row>
    <row r="9" spans="1:6" x14ac:dyDescent="0.25">
      <c r="A9" s="20" t="s">
        <v>21</v>
      </c>
      <c r="B9" s="21">
        <v>8</v>
      </c>
      <c r="C9" s="10"/>
      <c r="D9" s="10"/>
      <c r="E9" s="10"/>
    </row>
    <row r="10" spans="1:6" x14ac:dyDescent="0.25">
      <c r="A10" s="20" t="s">
        <v>22</v>
      </c>
      <c r="B10" s="21">
        <v>10</v>
      </c>
      <c r="C10" s="10"/>
      <c r="D10" s="10"/>
      <c r="E10" s="10"/>
    </row>
    <row r="11" spans="1:6" x14ac:dyDescent="0.25">
      <c r="A11" s="18" t="s">
        <v>11</v>
      </c>
      <c r="B11" s="19"/>
      <c r="C11" s="10"/>
      <c r="D11" s="10"/>
      <c r="E11" s="10"/>
    </row>
    <row r="12" spans="1:6" x14ac:dyDescent="0.25">
      <c r="A12" s="14"/>
      <c r="B12" s="14"/>
      <c r="C12" s="10"/>
      <c r="D12" s="10"/>
      <c r="E12" s="10"/>
    </row>
    <row r="13" spans="1:6" x14ac:dyDescent="0.25">
      <c r="A13" s="14"/>
      <c r="B13" s="14" t="s">
        <v>311</v>
      </c>
      <c r="C13" s="10"/>
      <c r="D13" s="10"/>
      <c r="E13" s="10"/>
      <c r="F13" s="526"/>
    </row>
    <row r="14" spans="1:6" x14ac:dyDescent="0.25">
      <c r="A14" s="15" t="s">
        <v>70</v>
      </c>
      <c r="B14" s="164" t="s">
        <v>71</v>
      </c>
      <c r="C14" s="164" t="s">
        <v>24</v>
      </c>
      <c r="D14" s="164" t="s">
        <v>25</v>
      </c>
      <c r="E14" s="10"/>
      <c r="F14" s="526"/>
    </row>
    <row r="15" spans="1:6" x14ac:dyDescent="0.25">
      <c r="A15" s="20" t="s">
        <v>217</v>
      </c>
      <c r="B15" s="21">
        <v>0</v>
      </c>
      <c r="C15" s="21">
        <v>0</v>
      </c>
      <c r="D15" s="21">
        <v>0</v>
      </c>
      <c r="E15" s="10"/>
      <c r="F15" s="526"/>
    </row>
    <row r="16" spans="1:6" x14ac:dyDescent="0.25">
      <c r="A16" s="20" t="s">
        <v>219</v>
      </c>
      <c r="B16" s="21">
        <v>1</v>
      </c>
      <c r="C16" s="21">
        <v>1</v>
      </c>
      <c r="D16" s="21">
        <v>8</v>
      </c>
      <c r="E16" s="10"/>
      <c r="F16" s="526"/>
    </row>
    <row r="17" spans="1:6" x14ac:dyDescent="0.25">
      <c r="A17" s="20" t="s">
        <v>220</v>
      </c>
      <c r="B17" s="21">
        <v>2</v>
      </c>
      <c r="C17" s="21">
        <v>8</v>
      </c>
      <c r="D17" s="21">
        <v>40</v>
      </c>
      <c r="E17" s="10"/>
      <c r="F17" s="526"/>
    </row>
    <row r="18" spans="1:6" x14ac:dyDescent="0.25">
      <c r="A18" s="20" t="s">
        <v>221</v>
      </c>
      <c r="B18" s="21">
        <v>3</v>
      </c>
      <c r="C18" s="21">
        <v>40</v>
      </c>
      <c r="D18" s="21">
        <v>80</v>
      </c>
      <c r="E18" s="10"/>
      <c r="F18" s="526"/>
    </row>
    <row r="19" spans="1:6" x14ac:dyDescent="0.25">
      <c r="A19" s="20" t="s">
        <v>222</v>
      </c>
      <c r="B19" s="21">
        <v>4</v>
      </c>
      <c r="C19" s="21">
        <v>80</v>
      </c>
      <c r="D19" s="21">
        <v>170</v>
      </c>
      <c r="E19" s="10"/>
      <c r="F19" s="526"/>
    </row>
    <row r="20" spans="1:6" x14ac:dyDescent="0.25">
      <c r="A20" s="20" t="s">
        <v>223</v>
      </c>
      <c r="B20" s="21">
        <v>5</v>
      </c>
      <c r="C20" s="21">
        <v>170</v>
      </c>
      <c r="D20" s="21">
        <v>340</v>
      </c>
      <c r="E20" s="10"/>
      <c r="F20" s="526"/>
    </row>
    <row r="21" spans="1:6" x14ac:dyDescent="0.25">
      <c r="A21" s="20" t="s">
        <v>224</v>
      </c>
      <c r="B21" s="21">
        <v>6</v>
      </c>
      <c r="C21" s="21">
        <v>340</v>
      </c>
      <c r="D21" s="21">
        <v>680</v>
      </c>
      <c r="E21" s="10"/>
      <c r="F21" s="526">
        <v>25</v>
      </c>
    </row>
    <row r="22" spans="1:6" x14ac:dyDescent="0.25">
      <c r="A22" s="20" t="s">
        <v>225</v>
      </c>
      <c r="B22" s="21">
        <v>7</v>
      </c>
      <c r="C22" s="21">
        <v>680</v>
      </c>
      <c r="D22" s="21">
        <v>1020</v>
      </c>
      <c r="E22" s="10"/>
      <c r="F22" s="527">
        <v>0.5</v>
      </c>
    </row>
    <row r="23" spans="1:6" x14ac:dyDescent="0.25">
      <c r="A23" s="20" t="s">
        <v>226</v>
      </c>
      <c r="B23" s="21">
        <v>8</v>
      </c>
      <c r="C23" s="21">
        <v>1020</v>
      </c>
      <c r="D23" s="21">
        <v>1360</v>
      </c>
      <c r="E23" s="10"/>
      <c r="F23" s="526"/>
    </row>
    <row r="24" spans="1:6" x14ac:dyDescent="0.25">
      <c r="A24" s="20" t="s">
        <v>218</v>
      </c>
      <c r="B24" s="21">
        <v>9</v>
      </c>
      <c r="C24" s="21">
        <v>1360</v>
      </c>
      <c r="D24" s="21">
        <v>2080</v>
      </c>
      <c r="E24" s="10"/>
      <c r="F24" s="526"/>
    </row>
    <row r="25" spans="1:6" x14ac:dyDescent="0.25">
      <c r="A25" s="20" t="s">
        <v>227</v>
      </c>
      <c r="B25" s="21">
        <v>10</v>
      </c>
      <c r="C25" s="21">
        <v>2080</v>
      </c>
      <c r="D25" s="213" t="s">
        <v>86</v>
      </c>
      <c r="E25" s="10"/>
      <c r="F25" s="526"/>
    </row>
    <row r="26" spans="1:6" x14ac:dyDescent="0.25">
      <c r="A26" s="18" t="s">
        <v>11</v>
      </c>
      <c r="B26" s="19"/>
      <c r="C26" s="10"/>
      <c r="D26" s="10"/>
      <c r="E26" s="10"/>
      <c r="F26" s="526"/>
    </row>
    <row r="27" spans="1:6" x14ac:dyDescent="0.25">
      <c r="A27" s="14"/>
      <c r="B27" s="14"/>
      <c r="C27" s="10"/>
      <c r="D27" s="10"/>
      <c r="E27" s="10"/>
    </row>
    <row r="28" spans="1:6" x14ac:dyDescent="0.25">
      <c r="A28" s="14"/>
      <c r="B28" s="14"/>
      <c r="C28" s="10"/>
      <c r="D28" s="10"/>
      <c r="E28" s="10"/>
    </row>
    <row r="29" spans="1:6" x14ac:dyDescent="0.25">
      <c r="A29" s="15" t="s">
        <v>72</v>
      </c>
      <c r="B29" s="51"/>
      <c r="C29" s="10" t="s">
        <v>0</v>
      </c>
      <c r="D29" s="10"/>
      <c r="E29" s="10"/>
    </row>
    <row r="30" spans="1:6" x14ac:dyDescent="0.25">
      <c r="A30" s="20" t="s">
        <v>0</v>
      </c>
      <c r="B30" s="51"/>
      <c r="C30" s="10"/>
      <c r="D30" s="10"/>
      <c r="E30" s="10"/>
    </row>
    <row r="31" spans="1:6" x14ac:dyDescent="0.25">
      <c r="A31" s="20" t="s">
        <v>12</v>
      </c>
      <c r="B31" s="51"/>
      <c r="C31" s="10"/>
      <c r="D31" s="10"/>
      <c r="E31" s="10"/>
    </row>
    <row r="32" spans="1:6" x14ac:dyDescent="0.25">
      <c r="A32" s="20" t="s">
        <v>13</v>
      </c>
      <c r="B32" s="51"/>
      <c r="C32" s="10"/>
      <c r="D32" s="10"/>
      <c r="E32" s="10"/>
    </row>
    <row r="33" spans="1:5" x14ac:dyDescent="0.25">
      <c r="A33" s="20" t="s">
        <v>540</v>
      </c>
      <c r="B33" s="51"/>
      <c r="C33" s="51"/>
      <c r="D33" s="51"/>
      <c r="E33" s="51"/>
    </row>
    <row r="34" spans="1:5" x14ac:dyDescent="0.25">
      <c r="A34" s="20" t="s">
        <v>541</v>
      </c>
      <c r="B34" s="51"/>
      <c r="C34" s="51"/>
      <c r="D34" s="51"/>
      <c r="E34" s="51"/>
    </row>
    <row r="35" spans="1:5" x14ac:dyDescent="0.25">
      <c r="A35" s="20" t="s">
        <v>14</v>
      </c>
      <c r="B35" s="51"/>
      <c r="C35" s="10"/>
      <c r="D35" s="10"/>
      <c r="E35" s="10"/>
    </row>
    <row r="36" spans="1:5" x14ac:dyDescent="0.25">
      <c r="A36" s="18" t="s">
        <v>11</v>
      </c>
      <c r="B36" s="19"/>
      <c r="C36" s="10"/>
      <c r="D36" s="10"/>
      <c r="E36" s="10"/>
    </row>
    <row r="37" spans="1:5" x14ac:dyDescent="0.25">
      <c r="A37" s="14"/>
      <c r="B37" s="14"/>
      <c r="C37" s="10"/>
      <c r="D37" s="10"/>
      <c r="E37" s="10"/>
    </row>
    <row r="38" spans="1:5" x14ac:dyDescent="0.25">
      <c r="A38" s="14"/>
      <c r="B38" s="14"/>
      <c r="C38" s="51"/>
      <c r="D38" s="51"/>
      <c r="E38" s="51"/>
    </row>
    <row r="39" spans="1:5" x14ac:dyDescent="0.25">
      <c r="A39" s="15" t="s">
        <v>192</v>
      </c>
      <c r="B39" s="51"/>
      <c r="C39" s="51" t="s">
        <v>0</v>
      </c>
      <c r="D39" s="51"/>
      <c r="E39" s="51"/>
    </row>
    <row r="40" spans="1:5" x14ac:dyDescent="0.25">
      <c r="A40" s="20" t="s">
        <v>50</v>
      </c>
      <c r="B40" s="51"/>
      <c r="C40" s="51"/>
      <c r="D40" s="51"/>
      <c r="E40" s="51"/>
    </row>
    <row r="41" spans="1:5" x14ac:dyDescent="0.25">
      <c r="A41" s="20" t="s">
        <v>49</v>
      </c>
      <c r="B41" s="51"/>
      <c r="C41" s="51"/>
      <c r="D41" s="51"/>
      <c r="E41" s="51"/>
    </row>
    <row r="42" spans="1:5" x14ac:dyDescent="0.25">
      <c r="A42" s="18" t="s">
        <v>11</v>
      </c>
      <c r="B42" s="19"/>
      <c r="C42" s="51"/>
      <c r="D42" s="51"/>
      <c r="E42" s="51"/>
    </row>
    <row r="43" spans="1:5" x14ac:dyDescent="0.25">
      <c r="A43" s="14"/>
      <c r="B43" s="14"/>
      <c r="C43" s="51"/>
      <c r="D43" s="51"/>
      <c r="E43" s="51"/>
    </row>
    <row r="44" spans="1:5" x14ac:dyDescent="0.25">
      <c r="A44" s="14"/>
      <c r="B44" s="14"/>
      <c r="C44" s="51"/>
      <c r="D44" s="51"/>
      <c r="E44" s="51"/>
    </row>
    <row r="45" spans="1:5" x14ac:dyDescent="0.25">
      <c r="A45" s="15" t="s">
        <v>193</v>
      </c>
      <c r="B45" s="50"/>
      <c r="C45" s="50"/>
      <c r="D45" s="50"/>
      <c r="E45" s="50"/>
    </row>
    <row r="46" spans="1:5" x14ac:dyDescent="0.25">
      <c r="A46" s="522" t="s">
        <v>244</v>
      </c>
      <c r="B46" s="50"/>
      <c r="C46" s="50"/>
      <c r="D46" s="50"/>
      <c r="E46" s="50"/>
    </row>
    <row r="47" spans="1:5" x14ac:dyDescent="0.25">
      <c r="A47" s="522" t="s">
        <v>195</v>
      </c>
      <c r="B47" s="50"/>
      <c r="C47" s="50"/>
      <c r="D47" s="50"/>
      <c r="E47" s="50"/>
    </row>
    <row r="48" spans="1:5" x14ac:dyDescent="0.25">
      <c r="A48" s="522" t="s">
        <v>245</v>
      </c>
      <c r="B48" s="50"/>
      <c r="C48" s="50"/>
      <c r="D48" s="50"/>
      <c r="E48" s="50"/>
    </row>
    <row r="49" spans="1:5" x14ac:dyDescent="0.25">
      <c r="A49" s="522" t="s">
        <v>246</v>
      </c>
      <c r="B49" s="50"/>
      <c r="C49" s="50"/>
      <c r="D49" s="50"/>
      <c r="E49" s="50"/>
    </row>
    <row r="50" spans="1:5" x14ac:dyDescent="0.25">
      <c r="A50" s="522" t="s">
        <v>247</v>
      </c>
      <c r="B50" s="50"/>
      <c r="C50" s="50"/>
      <c r="D50" s="50"/>
      <c r="E50" s="50"/>
    </row>
    <row r="51" spans="1:5" x14ac:dyDescent="0.25">
      <c r="A51" s="522" t="s">
        <v>248</v>
      </c>
      <c r="B51" s="50"/>
      <c r="C51" s="50"/>
      <c r="D51" s="50"/>
      <c r="E51" s="50"/>
    </row>
    <row r="52" spans="1:5" x14ac:dyDescent="0.25">
      <c r="A52" s="522" t="s">
        <v>249</v>
      </c>
      <c r="B52" s="50"/>
      <c r="C52" s="50"/>
      <c r="D52" s="50"/>
      <c r="E52" s="50"/>
    </row>
    <row r="53" spans="1:5" x14ac:dyDescent="0.25">
      <c r="A53" s="522" t="s">
        <v>250</v>
      </c>
      <c r="B53" s="50"/>
      <c r="C53" s="50"/>
      <c r="D53" s="50"/>
      <c r="E53" s="50"/>
    </row>
    <row r="54" spans="1:5" x14ac:dyDescent="0.25">
      <c r="A54" s="522" t="s">
        <v>251</v>
      </c>
      <c r="B54" s="50"/>
      <c r="C54" s="50"/>
      <c r="D54" s="50"/>
      <c r="E54" s="50"/>
    </row>
    <row r="55" spans="1:5" x14ac:dyDescent="0.25">
      <c r="A55" s="522" t="s">
        <v>252</v>
      </c>
      <c r="B55" s="50"/>
      <c r="C55" s="50"/>
      <c r="D55" s="50"/>
      <c r="E55" s="50"/>
    </row>
    <row r="56" spans="1:5" x14ac:dyDescent="0.25">
      <c r="A56" s="522" t="s">
        <v>253</v>
      </c>
      <c r="B56" s="50"/>
      <c r="C56" s="50"/>
      <c r="D56" s="50"/>
      <c r="E56" s="50"/>
    </row>
    <row r="57" spans="1:5" x14ac:dyDescent="0.25">
      <c r="A57" s="522" t="s">
        <v>254</v>
      </c>
      <c r="B57" s="50"/>
      <c r="C57" s="50"/>
      <c r="D57" s="50"/>
      <c r="E57" s="50"/>
    </row>
    <row r="58" spans="1:5" x14ac:dyDescent="0.25">
      <c r="A58" s="522" t="s">
        <v>255</v>
      </c>
      <c r="B58" s="50"/>
      <c r="C58" s="50"/>
      <c r="D58" s="50"/>
      <c r="E58" s="50"/>
    </row>
    <row r="59" spans="1:5" customFormat="1" x14ac:dyDescent="0.25">
      <c r="A59" s="522" t="s">
        <v>177</v>
      </c>
      <c r="B59" s="50"/>
      <c r="C59" s="50"/>
      <c r="D59" s="50"/>
      <c r="E59" s="50"/>
    </row>
    <row r="60" spans="1:5" x14ac:dyDescent="0.25">
      <c r="A60" s="18" t="s">
        <v>11</v>
      </c>
      <c r="B60" s="19"/>
      <c r="C60" s="51"/>
      <c r="D60" s="51"/>
      <c r="E60" s="51"/>
    </row>
    <row r="61" spans="1:5" x14ac:dyDescent="0.25">
      <c r="A61" s="14"/>
      <c r="B61" s="14"/>
      <c r="C61" s="51"/>
      <c r="D61" s="51"/>
      <c r="E61" s="51"/>
    </row>
    <row r="62" spans="1:5" x14ac:dyDescent="0.25">
      <c r="A62" s="15" t="s">
        <v>214</v>
      </c>
      <c r="B62" s="51"/>
      <c r="C62" s="51" t="s">
        <v>0</v>
      </c>
      <c r="D62" s="51"/>
      <c r="E62" s="51"/>
    </row>
    <row r="63" spans="1:5" x14ac:dyDescent="0.25">
      <c r="A63" s="20" t="s">
        <v>161</v>
      </c>
      <c r="B63" s="51"/>
      <c r="C63" s="51"/>
      <c r="D63" s="51"/>
      <c r="E63" s="51"/>
    </row>
    <row r="64" spans="1:5" x14ac:dyDescent="0.25">
      <c r="A64" s="20" t="s">
        <v>162</v>
      </c>
      <c r="B64" s="51"/>
      <c r="C64" s="51"/>
      <c r="D64" s="51"/>
      <c r="E64" s="51"/>
    </row>
    <row r="65" spans="1:5" x14ac:dyDescent="0.25">
      <c r="A65" s="20" t="s">
        <v>215</v>
      </c>
      <c r="B65" s="51"/>
      <c r="C65" s="51"/>
      <c r="D65" s="51"/>
      <c r="E65" s="51"/>
    </row>
    <row r="66" spans="1:5" x14ac:dyDescent="0.25">
      <c r="A66" s="20" t="s">
        <v>216</v>
      </c>
      <c r="B66" s="51"/>
      <c r="C66" s="51"/>
      <c r="D66" s="51"/>
      <c r="E66" s="51"/>
    </row>
    <row r="67" spans="1:5" x14ac:dyDescent="0.25">
      <c r="A67" s="18" t="s">
        <v>11</v>
      </c>
      <c r="B67" s="19"/>
      <c r="C67" s="51"/>
      <c r="D67" s="51"/>
      <c r="E67" s="51"/>
    </row>
    <row r="68" spans="1:5" x14ac:dyDescent="0.25">
      <c r="A68" s="14"/>
      <c r="B68" s="14"/>
      <c r="C68" s="51"/>
      <c r="D68" s="51"/>
      <c r="E68" s="51"/>
    </row>
    <row r="69" spans="1:5" customFormat="1" ht="14.25" x14ac:dyDescent="0.2"/>
    <row r="70" spans="1:5" customFormat="1" ht="14.25" x14ac:dyDescent="0.2"/>
    <row r="71" spans="1:5" customFormat="1" ht="14.25" x14ac:dyDescent="0.2"/>
    <row r="72" spans="1:5" customFormat="1" ht="14.25" x14ac:dyDescent="0.2"/>
    <row r="73" spans="1:5" customFormat="1" ht="14.25" x14ac:dyDescent="0.2"/>
    <row r="74" spans="1:5" customFormat="1" ht="14.25" x14ac:dyDescent="0.2"/>
    <row r="75" spans="1:5" customFormat="1" ht="14.25" x14ac:dyDescent="0.2"/>
    <row r="76" spans="1:5" customFormat="1" ht="14.25" x14ac:dyDescent="0.2"/>
    <row r="77" spans="1:5" customFormat="1" ht="14.25" x14ac:dyDescent="0.2"/>
    <row r="78" spans="1:5" customFormat="1" ht="14.25" x14ac:dyDescent="0.2"/>
    <row r="79" spans="1:5" customFormat="1" ht="14.25" x14ac:dyDescent="0.2"/>
    <row r="80" spans="1:5" customFormat="1" ht="14.25" x14ac:dyDescent="0.2"/>
    <row r="81" customFormat="1" ht="14.25" x14ac:dyDescent="0.2"/>
    <row r="82" customFormat="1" ht="14.25" x14ac:dyDescent="0.2"/>
    <row r="83" customFormat="1" ht="14.25" x14ac:dyDescent="0.2"/>
    <row r="84" customFormat="1" ht="14.25" x14ac:dyDescent="0.2"/>
    <row r="85" customFormat="1" ht="14.25" x14ac:dyDescent="0.2"/>
    <row r="86" customFormat="1" ht="14.25" x14ac:dyDescent="0.2"/>
    <row r="87" customFormat="1" ht="14.25" x14ac:dyDescent="0.2"/>
    <row r="88" customFormat="1" ht="14.25" x14ac:dyDescent="0.2"/>
    <row r="89" customFormat="1" ht="14.25" x14ac:dyDescent="0.2"/>
    <row r="90" customFormat="1" ht="14.25" x14ac:dyDescent="0.2"/>
    <row r="91" customFormat="1" ht="14.25" x14ac:dyDescent="0.2"/>
    <row r="92" customFormat="1" ht="14.25" x14ac:dyDescent="0.2"/>
    <row r="93" customFormat="1" ht="14.25" x14ac:dyDescent="0.2"/>
    <row r="94" customFormat="1" ht="14.25" x14ac:dyDescent="0.2"/>
    <row r="95" customFormat="1" ht="14.25" x14ac:dyDescent="0.2"/>
    <row r="96" customFormat="1" ht="14.25" x14ac:dyDescent="0.2"/>
    <row r="97" customFormat="1" ht="14.25" x14ac:dyDescent="0.2"/>
    <row r="98" customFormat="1" ht="14.25" x14ac:dyDescent="0.2"/>
    <row r="99" customFormat="1" ht="14.25" x14ac:dyDescent="0.2"/>
    <row r="100" customFormat="1" ht="14.25" x14ac:dyDescent="0.2"/>
    <row r="101" customFormat="1" ht="14.25" x14ac:dyDescent="0.2"/>
    <row r="102" customFormat="1" ht="14.25" x14ac:dyDescent="0.2"/>
    <row r="103" customFormat="1" ht="14.25" x14ac:dyDescent="0.2"/>
    <row r="104" customFormat="1" ht="14.25" x14ac:dyDescent="0.2"/>
    <row r="105" customFormat="1" ht="14.25" x14ac:dyDescent="0.2"/>
    <row r="106" customFormat="1" ht="14.25" x14ac:dyDescent="0.2"/>
    <row r="107" customFormat="1" ht="14.25" x14ac:dyDescent="0.2"/>
    <row r="108" customFormat="1" ht="14.25" x14ac:dyDescent="0.2"/>
    <row r="109" customFormat="1" ht="14.25" x14ac:dyDescent="0.2"/>
    <row r="110" customFormat="1" ht="14.25" x14ac:dyDescent="0.2"/>
    <row r="111" customFormat="1" ht="14.25" x14ac:dyDescent="0.2"/>
    <row r="112" customFormat="1" ht="14.25" x14ac:dyDescent="0.2"/>
    <row r="113" customFormat="1" ht="14.25" x14ac:dyDescent="0.2"/>
    <row r="114" customFormat="1" ht="14.25" x14ac:dyDescent="0.2"/>
    <row r="115" customFormat="1" ht="14.25" x14ac:dyDescent="0.2"/>
    <row r="116" customFormat="1" ht="14.25" x14ac:dyDescent="0.2"/>
    <row r="117" customFormat="1" ht="14.25" x14ac:dyDescent="0.2"/>
    <row r="118" customFormat="1" ht="14.25" x14ac:dyDescent="0.2"/>
    <row r="119" customFormat="1" ht="14.25" x14ac:dyDescent="0.2"/>
    <row r="120" customFormat="1" ht="14.25" x14ac:dyDescent="0.2"/>
    <row r="121" customFormat="1" ht="14.25" x14ac:dyDescent="0.2"/>
    <row r="122" customFormat="1" ht="14.25" x14ac:dyDescent="0.2"/>
    <row r="123" customFormat="1" ht="14.25" x14ac:dyDescent="0.2"/>
    <row r="124" customFormat="1" ht="14.25" x14ac:dyDescent="0.2"/>
    <row r="125" customFormat="1" ht="14.25" x14ac:dyDescent="0.2"/>
    <row r="126" customFormat="1" ht="14.25" x14ac:dyDescent="0.2"/>
    <row r="127" customFormat="1" ht="14.25" x14ac:dyDescent="0.2"/>
    <row r="128" customFormat="1" ht="14.25" x14ac:dyDescent="0.2"/>
    <row r="129" customFormat="1" ht="14.25" x14ac:dyDescent="0.2"/>
    <row r="130" customFormat="1" ht="14.25" x14ac:dyDescent="0.2"/>
    <row r="131" customFormat="1" ht="14.25" x14ac:dyDescent="0.2"/>
    <row r="132" customFormat="1" ht="14.25" x14ac:dyDescent="0.2"/>
    <row r="133" customFormat="1" ht="14.25" x14ac:dyDescent="0.2"/>
    <row r="134" customFormat="1" ht="14.25" x14ac:dyDescent="0.2"/>
    <row r="135" customFormat="1" ht="14.25" x14ac:dyDescent="0.2"/>
    <row r="136" customFormat="1" ht="14.25" x14ac:dyDescent="0.2"/>
    <row r="137" customFormat="1" ht="14.25" x14ac:dyDescent="0.2"/>
    <row r="138" customFormat="1" ht="14.25" x14ac:dyDescent="0.2"/>
    <row r="139" customFormat="1" ht="14.25" x14ac:dyDescent="0.2"/>
    <row r="140" customFormat="1" ht="14.25" x14ac:dyDescent="0.2"/>
    <row r="141" customFormat="1" ht="14.25" x14ac:dyDescent="0.2"/>
    <row r="142" customFormat="1" ht="14.25" x14ac:dyDescent="0.2"/>
    <row r="143" customFormat="1" ht="14.25" x14ac:dyDescent="0.2"/>
    <row r="144" customFormat="1" ht="14.25" x14ac:dyDescent="0.2"/>
    <row r="145" customFormat="1" ht="14.25" x14ac:dyDescent="0.2"/>
    <row r="146" customFormat="1" ht="14.25" x14ac:dyDescent="0.2"/>
    <row r="147" customFormat="1" ht="14.25" x14ac:dyDescent="0.2"/>
    <row r="148" customFormat="1" ht="14.25" x14ac:dyDescent="0.2"/>
    <row r="149" customFormat="1" ht="14.25" x14ac:dyDescent="0.2"/>
    <row r="150" customFormat="1" ht="14.25" x14ac:dyDescent="0.2"/>
    <row r="151" customFormat="1" ht="14.25" x14ac:dyDescent="0.2"/>
    <row r="152" customFormat="1" ht="14.25" x14ac:dyDescent="0.2"/>
    <row r="153" customFormat="1" ht="14.25" x14ac:dyDescent="0.2"/>
    <row r="154" customFormat="1" ht="14.25" x14ac:dyDescent="0.2"/>
    <row r="155" customFormat="1" ht="14.25" x14ac:dyDescent="0.2"/>
    <row r="156" customFormat="1" ht="14.25" x14ac:dyDescent="0.2"/>
    <row r="157" customFormat="1" ht="14.25" x14ac:dyDescent="0.2"/>
    <row r="158" customFormat="1" ht="14.25" x14ac:dyDescent="0.2"/>
    <row r="159" customFormat="1" ht="14.25" x14ac:dyDescent="0.2"/>
    <row r="160" customFormat="1" ht="14.25" x14ac:dyDescent="0.2"/>
    <row r="161" customFormat="1" ht="14.25" x14ac:dyDescent="0.2"/>
    <row r="162" customFormat="1" ht="14.25" x14ac:dyDescent="0.2"/>
    <row r="163" customFormat="1" ht="14.25" x14ac:dyDescent="0.2"/>
    <row r="164" customFormat="1" ht="14.25" x14ac:dyDescent="0.2"/>
    <row r="165" customFormat="1" ht="14.25" x14ac:dyDescent="0.2"/>
    <row r="166" customFormat="1" ht="14.25" x14ac:dyDescent="0.2"/>
    <row r="167" customFormat="1" ht="14.25" x14ac:dyDescent="0.2"/>
    <row r="168" customFormat="1" ht="14.25" x14ac:dyDescent="0.2"/>
    <row r="169" customFormat="1" ht="14.25" x14ac:dyDescent="0.2"/>
    <row r="170" customFormat="1" ht="14.25" x14ac:dyDescent="0.2"/>
    <row r="171" customFormat="1" ht="14.25" x14ac:dyDescent="0.2"/>
    <row r="172" customFormat="1" ht="14.25" x14ac:dyDescent="0.2"/>
    <row r="173" customFormat="1" ht="14.25" x14ac:dyDescent="0.2"/>
    <row r="174" customFormat="1" ht="14.25" x14ac:dyDescent="0.2"/>
    <row r="175" customFormat="1" ht="14.25" x14ac:dyDescent="0.2"/>
    <row r="176" customFormat="1" ht="14.25" x14ac:dyDescent="0.2"/>
    <row r="177" customFormat="1" ht="14.25" x14ac:dyDescent="0.2"/>
    <row r="178" customFormat="1" ht="14.25" x14ac:dyDescent="0.2"/>
    <row r="179" customFormat="1" ht="14.25" x14ac:dyDescent="0.2"/>
    <row r="180" customFormat="1" ht="14.25" x14ac:dyDescent="0.2"/>
    <row r="181" customFormat="1" ht="14.25" x14ac:dyDescent="0.2"/>
    <row r="182" customFormat="1" ht="14.25" x14ac:dyDescent="0.2"/>
    <row r="183" customFormat="1" ht="14.25" x14ac:dyDescent="0.2"/>
    <row r="184" customFormat="1" ht="14.25" x14ac:dyDescent="0.2"/>
    <row r="185" customFormat="1" ht="14.25" x14ac:dyDescent="0.2"/>
    <row r="186" customFormat="1" ht="14.25" x14ac:dyDescent="0.2"/>
    <row r="187" customFormat="1" ht="14.25" x14ac:dyDescent="0.2"/>
    <row r="188" customFormat="1" ht="14.25" x14ac:dyDescent="0.2"/>
    <row r="189" customFormat="1" ht="14.25" x14ac:dyDescent="0.2"/>
    <row r="190" customFormat="1" ht="14.25" x14ac:dyDescent="0.2"/>
    <row r="191" customFormat="1" ht="14.25" x14ac:dyDescent="0.2"/>
    <row r="192" customFormat="1" ht="14.25" x14ac:dyDescent="0.2"/>
    <row r="193" customFormat="1" ht="14.25" x14ac:dyDescent="0.2"/>
    <row r="194" customFormat="1" ht="14.25" x14ac:dyDescent="0.2"/>
    <row r="195" customFormat="1" ht="14.25" x14ac:dyDescent="0.2"/>
    <row r="196" customFormat="1" ht="14.25" x14ac:dyDescent="0.2"/>
    <row r="197" customFormat="1" ht="14.25" x14ac:dyDescent="0.2"/>
    <row r="198" customFormat="1" ht="14.25" x14ac:dyDescent="0.2"/>
    <row r="199" customFormat="1" ht="14.25" x14ac:dyDescent="0.2"/>
    <row r="200" customFormat="1" ht="14.25" x14ac:dyDescent="0.2"/>
    <row r="201" customFormat="1" ht="14.25" x14ac:dyDescent="0.2"/>
    <row r="202" customFormat="1" ht="14.25" x14ac:dyDescent="0.2"/>
    <row r="203" customFormat="1" ht="14.25" x14ac:dyDescent="0.2"/>
    <row r="204" customFormat="1" ht="14.25" x14ac:dyDescent="0.2"/>
    <row r="205" customFormat="1" ht="14.25" x14ac:dyDescent="0.2"/>
    <row r="206" customFormat="1" ht="14.25" x14ac:dyDescent="0.2"/>
    <row r="207" customFormat="1" ht="14.25" x14ac:dyDescent="0.2"/>
    <row r="208" customFormat="1" ht="14.25" x14ac:dyDescent="0.2"/>
    <row r="209" customFormat="1" ht="14.25" x14ac:dyDescent="0.2"/>
    <row r="210" customFormat="1" ht="14.25" x14ac:dyDescent="0.2"/>
    <row r="211" customFormat="1" ht="14.25" x14ac:dyDescent="0.2"/>
    <row r="212" customFormat="1" ht="14.25" x14ac:dyDescent="0.2"/>
    <row r="213" customFormat="1" ht="14.25" x14ac:dyDescent="0.2"/>
    <row r="214" customFormat="1" ht="14.25" x14ac:dyDescent="0.2"/>
    <row r="215" customFormat="1" ht="14.25" x14ac:dyDescent="0.2"/>
    <row r="216" customFormat="1" ht="14.25" x14ac:dyDescent="0.2"/>
    <row r="217" customFormat="1" ht="14.25" x14ac:dyDescent="0.2"/>
    <row r="218" customFormat="1" ht="14.25" x14ac:dyDescent="0.2"/>
    <row r="219" customFormat="1" ht="14.25" x14ac:dyDescent="0.2"/>
    <row r="220" customFormat="1" ht="14.25" x14ac:dyDescent="0.2"/>
    <row r="221" customFormat="1" ht="14.25" x14ac:dyDescent="0.2"/>
    <row r="222" customFormat="1" ht="14.25" x14ac:dyDescent="0.2"/>
    <row r="223" customFormat="1" ht="14.25" x14ac:dyDescent="0.2"/>
    <row r="224" customFormat="1" ht="14.25" x14ac:dyDescent="0.2"/>
    <row r="225" customFormat="1" ht="14.25" x14ac:dyDescent="0.2"/>
    <row r="226" customFormat="1" ht="14.25" x14ac:dyDescent="0.2"/>
    <row r="227" customFormat="1" ht="14.25" x14ac:dyDescent="0.2"/>
    <row r="228" customFormat="1" ht="14.25" x14ac:dyDescent="0.2"/>
    <row r="229" customFormat="1" ht="14.25" x14ac:dyDescent="0.2"/>
    <row r="230" customFormat="1" ht="14.25" x14ac:dyDescent="0.2"/>
    <row r="231" customFormat="1" ht="14.25" x14ac:dyDescent="0.2"/>
    <row r="232" customFormat="1" ht="14.25" x14ac:dyDescent="0.2"/>
    <row r="233" customFormat="1" ht="14.25" x14ac:dyDescent="0.2"/>
    <row r="234" customFormat="1" ht="14.25" x14ac:dyDescent="0.2"/>
    <row r="235" customFormat="1" ht="14.25" x14ac:dyDescent="0.2"/>
    <row r="236" customFormat="1" ht="14.25" x14ac:dyDescent="0.2"/>
    <row r="237" customFormat="1" ht="14.25" x14ac:dyDescent="0.2"/>
    <row r="238" customFormat="1" ht="14.25" x14ac:dyDescent="0.2"/>
    <row r="239" customFormat="1" ht="14.25" x14ac:dyDescent="0.2"/>
    <row r="240" customFormat="1" ht="14.25" x14ac:dyDescent="0.2"/>
    <row r="241" customFormat="1" ht="14.25" x14ac:dyDescent="0.2"/>
    <row r="242" customFormat="1" ht="14.25" x14ac:dyDescent="0.2"/>
    <row r="243" customFormat="1" ht="14.25" x14ac:dyDescent="0.2"/>
    <row r="244" customFormat="1" ht="14.25" x14ac:dyDescent="0.2"/>
    <row r="245" customFormat="1" ht="14.25" x14ac:dyDescent="0.2"/>
    <row r="246" customFormat="1" ht="14.25" x14ac:dyDescent="0.2"/>
    <row r="247" customFormat="1" ht="14.25" x14ac:dyDescent="0.2"/>
    <row r="248" customFormat="1" ht="14.25" x14ac:dyDescent="0.2"/>
    <row r="249" customFormat="1" ht="14.25" x14ac:dyDescent="0.2"/>
    <row r="250" customFormat="1" ht="14.25" x14ac:dyDescent="0.2"/>
    <row r="251" customFormat="1" ht="14.25" x14ac:dyDescent="0.2"/>
    <row r="252" customFormat="1" ht="14.25" x14ac:dyDescent="0.2"/>
    <row r="253" customFormat="1" ht="14.25" x14ac:dyDescent="0.2"/>
    <row r="254" customFormat="1" ht="14.25" x14ac:dyDescent="0.2"/>
    <row r="255" customFormat="1" ht="14.25" x14ac:dyDescent="0.2"/>
    <row r="256" customFormat="1" ht="14.25" x14ac:dyDescent="0.2"/>
    <row r="257" customFormat="1" ht="14.25" x14ac:dyDescent="0.2"/>
    <row r="258" customFormat="1" ht="14.25" x14ac:dyDescent="0.2"/>
    <row r="259" customFormat="1" ht="14.25" x14ac:dyDescent="0.2"/>
    <row r="260" customFormat="1" ht="14.25" x14ac:dyDescent="0.2"/>
    <row r="261" customFormat="1" ht="14.25" x14ac:dyDescent="0.2"/>
    <row r="262" customFormat="1" ht="14.25" x14ac:dyDescent="0.2"/>
    <row r="263" customFormat="1" ht="14.25" x14ac:dyDescent="0.2"/>
    <row r="264" customFormat="1" ht="14.25" x14ac:dyDescent="0.2"/>
    <row r="265" customFormat="1" ht="14.25" x14ac:dyDescent="0.2"/>
    <row r="266" customFormat="1" ht="14.25" x14ac:dyDescent="0.2"/>
    <row r="267" customFormat="1" ht="14.25" x14ac:dyDescent="0.2"/>
    <row r="268" customFormat="1" ht="14.25" x14ac:dyDescent="0.2"/>
    <row r="269" customFormat="1" ht="14.25" x14ac:dyDescent="0.2"/>
    <row r="270" customFormat="1" ht="14.25" x14ac:dyDescent="0.2"/>
    <row r="271" customFormat="1" ht="14.25" x14ac:dyDescent="0.2"/>
    <row r="272" customFormat="1" ht="14.25" x14ac:dyDescent="0.2"/>
    <row r="273" customFormat="1" ht="14.25" x14ac:dyDescent="0.2"/>
    <row r="274" customFormat="1" ht="14.25" x14ac:dyDescent="0.2"/>
    <row r="275" customFormat="1" ht="14.25" x14ac:dyDescent="0.2"/>
    <row r="276" customFormat="1" ht="14.25" x14ac:dyDescent="0.2"/>
    <row r="277" customFormat="1" ht="14.25" x14ac:dyDescent="0.2"/>
    <row r="278" customFormat="1" ht="14.25" x14ac:dyDescent="0.2"/>
    <row r="279" customFormat="1" ht="14.25" x14ac:dyDescent="0.2"/>
    <row r="280" customFormat="1" ht="14.25" x14ac:dyDescent="0.2"/>
    <row r="281" customFormat="1" ht="14.25" x14ac:dyDescent="0.2"/>
    <row r="282" customFormat="1" ht="14.25" x14ac:dyDescent="0.2"/>
    <row r="283" customFormat="1" ht="14.25" x14ac:dyDescent="0.2"/>
    <row r="284" customFormat="1" ht="14.25" x14ac:dyDescent="0.2"/>
    <row r="285" customFormat="1" ht="14.25" x14ac:dyDescent="0.2"/>
    <row r="286" customFormat="1" ht="14.25" x14ac:dyDescent="0.2"/>
    <row r="287" customFormat="1" ht="14.25" x14ac:dyDescent="0.2"/>
    <row r="288" customFormat="1" ht="14.25" x14ac:dyDescent="0.2"/>
    <row r="289" customFormat="1" ht="14.25" x14ac:dyDescent="0.2"/>
    <row r="290" customFormat="1" ht="14.25" x14ac:dyDescent="0.2"/>
    <row r="291" customFormat="1" ht="14.25" x14ac:dyDescent="0.2"/>
    <row r="292" customFormat="1" ht="14.25" x14ac:dyDescent="0.2"/>
    <row r="293" customFormat="1" ht="14.25" x14ac:dyDescent="0.2"/>
    <row r="294" customFormat="1" ht="14.25" x14ac:dyDescent="0.2"/>
    <row r="295" customFormat="1" ht="14.25" x14ac:dyDescent="0.2"/>
    <row r="296" customFormat="1" ht="14.25" x14ac:dyDescent="0.2"/>
    <row r="297" customFormat="1" ht="14.25" x14ac:dyDescent="0.2"/>
    <row r="298" customFormat="1" ht="14.25" x14ac:dyDescent="0.2"/>
    <row r="299" customFormat="1" ht="14.25" x14ac:dyDescent="0.2"/>
    <row r="300" customFormat="1" ht="14.25" x14ac:dyDescent="0.2"/>
    <row r="301" customFormat="1" ht="14.25" x14ac:dyDescent="0.2"/>
    <row r="302" customFormat="1" ht="14.25" x14ac:dyDescent="0.2"/>
    <row r="303" customFormat="1" ht="14.25" x14ac:dyDescent="0.2"/>
    <row r="304" customFormat="1" ht="14.25" x14ac:dyDescent="0.2"/>
    <row r="305" customFormat="1" ht="14.25" x14ac:dyDescent="0.2"/>
    <row r="306" customFormat="1" ht="14.25" x14ac:dyDescent="0.2"/>
    <row r="307" customFormat="1" ht="14.25" x14ac:dyDescent="0.2"/>
    <row r="308" customFormat="1" ht="14.25" x14ac:dyDescent="0.2"/>
    <row r="309" customFormat="1" ht="14.25" x14ac:dyDescent="0.2"/>
    <row r="310" customFormat="1" ht="14.25" x14ac:dyDescent="0.2"/>
    <row r="311" customFormat="1" ht="14.25" x14ac:dyDescent="0.2"/>
    <row r="312" customFormat="1" ht="14.25" x14ac:dyDescent="0.2"/>
    <row r="313" customFormat="1" ht="14.25" x14ac:dyDescent="0.2"/>
    <row r="314" customFormat="1" ht="14.25" x14ac:dyDescent="0.2"/>
    <row r="315" customFormat="1" ht="14.25" x14ac:dyDescent="0.2"/>
    <row r="316" customFormat="1" ht="14.25" x14ac:dyDescent="0.2"/>
    <row r="317" customFormat="1" ht="14.25" x14ac:dyDescent="0.2"/>
    <row r="318" customFormat="1" ht="14.25" x14ac:dyDescent="0.2"/>
    <row r="319" customFormat="1" ht="14.25" x14ac:dyDescent="0.2"/>
    <row r="320" customFormat="1" ht="14.25" x14ac:dyDescent="0.2"/>
    <row r="321" customFormat="1" ht="14.25" x14ac:dyDescent="0.2"/>
    <row r="322" customFormat="1" ht="14.25" x14ac:dyDescent="0.2"/>
    <row r="323" customFormat="1" ht="14.25" x14ac:dyDescent="0.2"/>
    <row r="324" customFormat="1" ht="14.25" x14ac:dyDescent="0.2"/>
    <row r="325" customFormat="1" ht="14.25" x14ac:dyDescent="0.2"/>
    <row r="326" customFormat="1" ht="14.25" x14ac:dyDescent="0.2"/>
    <row r="327" customFormat="1" ht="14.25" x14ac:dyDescent="0.2"/>
    <row r="328" customFormat="1" ht="14.25" x14ac:dyDescent="0.2"/>
    <row r="329" customFormat="1" ht="14.25" x14ac:dyDescent="0.2"/>
    <row r="330" customFormat="1" ht="14.25" x14ac:dyDescent="0.2"/>
    <row r="331" customFormat="1" ht="14.25" x14ac:dyDescent="0.2"/>
    <row r="332" customFormat="1" ht="14.25" x14ac:dyDescent="0.2"/>
    <row r="333" customFormat="1" ht="14.25" x14ac:dyDescent="0.2"/>
    <row r="334" customFormat="1" ht="14.25" x14ac:dyDescent="0.2"/>
    <row r="335" customFormat="1" ht="14.25" x14ac:dyDescent="0.2"/>
    <row r="336" customFormat="1" ht="14.25" x14ac:dyDescent="0.2"/>
    <row r="337" customFormat="1" ht="14.25" x14ac:dyDescent="0.2"/>
    <row r="338" customFormat="1" ht="14.25" x14ac:dyDescent="0.2"/>
    <row r="339" customFormat="1" ht="14.25" x14ac:dyDescent="0.2"/>
    <row r="340" customFormat="1" ht="14.25" x14ac:dyDescent="0.2"/>
    <row r="341" customFormat="1" ht="14.25" x14ac:dyDescent="0.2"/>
    <row r="342" customFormat="1" ht="14.25" x14ac:dyDescent="0.2"/>
    <row r="343" customFormat="1" ht="14.25" x14ac:dyDescent="0.2"/>
    <row r="344" customFormat="1" ht="14.25" x14ac:dyDescent="0.2"/>
    <row r="345" customFormat="1" ht="14.25" x14ac:dyDescent="0.2"/>
    <row r="346" customFormat="1" ht="14.25" x14ac:dyDescent="0.2"/>
    <row r="347" customFormat="1" ht="14.25" x14ac:dyDescent="0.2"/>
    <row r="348" customFormat="1" ht="14.25" x14ac:dyDescent="0.2"/>
    <row r="349" customFormat="1" ht="14.25" x14ac:dyDescent="0.2"/>
    <row r="350" customFormat="1" ht="14.25" x14ac:dyDescent="0.2"/>
    <row r="351" customFormat="1" ht="14.25" x14ac:dyDescent="0.2"/>
    <row r="352" customFormat="1" ht="14.25" x14ac:dyDescent="0.2"/>
    <row r="353" customFormat="1" ht="14.25" x14ac:dyDescent="0.2"/>
    <row r="354" customFormat="1" ht="14.25" x14ac:dyDescent="0.2"/>
    <row r="355" customFormat="1" ht="14.25" x14ac:dyDescent="0.2"/>
    <row r="356" customFormat="1" ht="14.25" x14ac:dyDescent="0.2"/>
    <row r="357" customFormat="1" ht="14.25" x14ac:dyDescent="0.2"/>
    <row r="358" customFormat="1" ht="14.25" x14ac:dyDescent="0.2"/>
    <row r="359" customFormat="1" ht="14.25" x14ac:dyDescent="0.2"/>
    <row r="360" customFormat="1" ht="14.25" x14ac:dyDescent="0.2"/>
    <row r="361" customFormat="1" ht="14.25" x14ac:dyDescent="0.2"/>
    <row r="362" customFormat="1" ht="14.25" x14ac:dyDescent="0.2"/>
    <row r="363" customFormat="1" ht="14.25" x14ac:dyDescent="0.2"/>
    <row r="364" customFormat="1" ht="14.25" x14ac:dyDescent="0.2"/>
    <row r="365" customFormat="1" ht="14.25" x14ac:dyDescent="0.2"/>
    <row r="366" customFormat="1" ht="14.25" x14ac:dyDescent="0.2"/>
    <row r="367" customFormat="1" ht="14.25" x14ac:dyDescent="0.2"/>
    <row r="368" customFormat="1" ht="14.25" x14ac:dyDescent="0.2"/>
    <row r="369" customFormat="1" ht="14.25" x14ac:dyDescent="0.2"/>
    <row r="370" customFormat="1" ht="14.25" x14ac:dyDescent="0.2"/>
    <row r="371" customFormat="1" ht="14.25" x14ac:dyDescent="0.2"/>
    <row r="372" customFormat="1" ht="14.25" x14ac:dyDescent="0.2"/>
    <row r="373" customFormat="1" ht="14.25" x14ac:dyDescent="0.2"/>
    <row r="374" customFormat="1" ht="14.25" x14ac:dyDescent="0.2"/>
    <row r="375" customFormat="1" ht="14.25" x14ac:dyDescent="0.2"/>
    <row r="376" customFormat="1" ht="14.25" x14ac:dyDescent="0.2"/>
    <row r="377" customFormat="1" ht="14.25" x14ac:dyDescent="0.2"/>
    <row r="378" customFormat="1" ht="14.25" x14ac:dyDescent="0.2"/>
    <row r="379" customFormat="1" ht="14.25" x14ac:dyDescent="0.2"/>
    <row r="380" customFormat="1" ht="14.25" x14ac:dyDescent="0.2"/>
    <row r="381" customFormat="1" ht="14.25" x14ac:dyDescent="0.2"/>
    <row r="382" customFormat="1" ht="14.25" x14ac:dyDescent="0.2"/>
    <row r="383" customFormat="1" ht="14.25" x14ac:dyDescent="0.2"/>
    <row r="384" customFormat="1" ht="14.25" x14ac:dyDescent="0.2"/>
    <row r="385" customFormat="1" ht="14.25" x14ac:dyDescent="0.2"/>
    <row r="386" customFormat="1" ht="14.25" x14ac:dyDescent="0.2"/>
    <row r="387" customFormat="1" ht="14.25" x14ac:dyDescent="0.2"/>
    <row r="388" customFormat="1" ht="14.25" x14ac:dyDescent="0.2"/>
    <row r="389" customFormat="1" ht="14.25" x14ac:dyDescent="0.2"/>
    <row r="390" customFormat="1" ht="14.25" x14ac:dyDescent="0.2"/>
    <row r="391" customFormat="1" ht="14.25" x14ac:dyDescent="0.2"/>
    <row r="392" customFormat="1" ht="14.25" x14ac:dyDescent="0.2"/>
    <row r="393" customFormat="1" ht="14.25" x14ac:dyDescent="0.2"/>
    <row r="394" customFormat="1" ht="14.25" x14ac:dyDescent="0.2"/>
    <row r="395" customFormat="1" ht="14.25" x14ac:dyDescent="0.2"/>
    <row r="396" customFormat="1" ht="14.25" x14ac:dyDescent="0.2"/>
    <row r="397" customFormat="1" ht="14.25" x14ac:dyDescent="0.2"/>
    <row r="398" customFormat="1" ht="14.25" x14ac:dyDescent="0.2"/>
    <row r="399" customFormat="1" ht="14.25" x14ac:dyDescent="0.2"/>
    <row r="400" customFormat="1" ht="14.25" x14ac:dyDescent="0.2"/>
    <row r="401" customFormat="1" ht="14.25" x14ac:dyDescent="0.2"/>
    <row r="402" customFormat="1" ht="14.25" x14ac:dyDescent="0.2"/>
    <row r="403" customFormat="1" ht="14.25" x14ac:dyDescent="0.2"/>
    <row r="404" customFormat="1" ht="14.25" x14ac:dyDescent="0.2"/>
    <row r="405" customFormat="1" ht="14.25" x14ac:dyDescent="0.2"/>
    <row r="406" customFormat="1" ht="14.25" x14ac:dyDescent="0.2"/>
    <row r="407" customFormat="1" ht="14.25" x14ac:dyDescent="0.2"/>
    <row r="408" customFormat="1" ht="14.25" x14ac:dyDescent="0.2"/>
    <row r="409" customFormat="1" ht="14.25" x14ac:dyDescent="0.2"/>
    <row r="410" customFormat="1" ht="14.25" x14ac:dyDescent="0.2"/>
    <row r="411" customFormat="1" ht="14.25" x14ac:dyDescent="0.2"/>
    <row r="412" customFormat="1" ht="14.25" x14ac:dyDescent="0.2"/>
    <row r="413" customFormat="1" ht="14.25" x14ac:dyDescent="0.2"/>
    <row r="414" customFormat="1" ht="14.25" x14ac:dyDescent="0.2"/>
    <row r="415" customFormat="1" ht="14.25" x14ac:dyDescent="0.2"/>
    <row r="416" customFormat="1" ht="14.25" x14ac:dyDescent="0.2"/>
    <row r="417" customFormat="1" ht="14.25" x14ac:dyDescent="0.2"/>
    <row r="418" customFormat="1" ht="14.25" x14ac:dyDescent="0.2"/>
    <row r="419" customFormat="1" ht="14.25" x14ac:dyDescent="0.2"/>
    <row r="420" customFormat="1" ht="14.25" x14ac:dyDescent="0.2"/>
    <row r="421" customFormat="1" ht="14.25" x14ac:dyDescent="0.2"/>
    <row r="422" customFormat="1" ht="14.25" x14ac:dyDescent="0.2"/>
    <row r="423" customFormat="1" ht="14.25" x14ac:dyDescent="0.2"/>
    <row r="424" customFormat="1" ht="14.25" x14ac:dyDescent="0.2"/>
    <row r="425" customFormat="1" ht="14.25" x14ac:dyDescent="0.2"/>
    <row r="426" customFormat="1" ht="14.25" x14ac:dyDescent="0.2"/>
    <row r="427" customFormat="1" ht="14.25" x14ac:dyDescent="0.2"/>
    <row r="428" customFormat="1" ht="14.25" x14ac:dyDescent="0.2"/>
    <row r="429" customFormat="1" ht="14.25" x14ac:dyDescent="0.2"/>
    <row r="430" customFormat="1" ht="14.25" x14ac:dyDescent="0.2"/>
    <row r="431" customFormat="1" ht="14.25" x14ac:dyDescent="0.2"/>
    <row r="432" customFormat="1" ht="14.25" x14ac:dyDescent="0.2"/>
    <row r="433" customFormat="1" ht="14.25" x14ac:dyDescent="0.2"/>
    <row r="434" customFormat="1" ht="14.25" x14ac:dyDescent="0.2"/>
    <row r="435" customFormat="1" ht="14.25" x14ac:dyDescent="0.2"/>
    <row r="436" customFormat="1" ht="14.25" x14ac:dyDescent="0.2"/>
    <row r="437" customFormat="1" ht="14.25" x14ac:dyDescent="0.2"/>
    <row r="438" customFormat="1" ht="14.25" x14ac:dyDescent="0.2"/>
    <row r="439" customFormat="1" ht="14.25" x14ac:dyDescent="0.2"/>
    <row r="440" customFormat="1" ht="14.25" x14ac:dyDescent="0.2"/>
    <row r="441" customFormat="1" ht="14.25" x14ac:dyDescent="0.2"/>
    <row r="442" customFormat="1" ht="14.25" x14ac:dyDescent="0.2"/>
    <row r="443" customFormat="1" ht="14.25" x14ac:dyDescent="0.2"/>
    <row r="444" customFormat="1" ht="14.25" x14ac:dyDescent="0.2"/>
    <row r="445" customFormat="1" ht="14.25" x14ac:dyDescent="0.2"/>
    <row r="446" customFormat="1" ht="14.25" x14ac:dyDescent="0.2"/>
    <row r="447" customFormat="1" ht="14.25" x14ac:dyDescent="0.2"/>
    <row r="448" customFormat="1" ht="14.25" x14ac:dyDescent="0.2"/>
    <row r="449" customFormat="1" ht="14.25" x14ac:dyDescent="0.2"/>
    <row r="450" customFormat="1" ht="14.25" x14ac:dyDescent="0.2"/>
    <row r="451" customFormat="1" ht="14.25" x14ac:dyDescent="0.2"/>
    <row r="452" customFormat="1" ht="14.25" x14ac:dyDescent="0.2"/>
    <row r="453" customFormat="1" ht="14.25" x14ac:dyDescent="0.2"/>
    <row r="454" customFormat="1" ht="14.25" x14ac:dyDescent="0.2"/>
    <row r="455" customFormat="1" ht="14.25" x14ac:dyDescent="0.2"/>
    <row r="456" customFormat="1" ht="14.25" x14ac:dyDescent="0.2"/>
    <row r="457" customFormat="1" ht="14.25" x14ac:dyDescent="0.2"/>
    <row r="458" customFormat="1" ht="14.25" x14ac:dyDescent="0.2"/>
    <row r="459" customFormat="1" ht="14.25" x14ac:dyDescent="0.2"/>
    <row r="460" customFormat="1" ht="14.25" x14ac:dyDescent="0.2"/>
    <row r="461" customFormat="1" ht="14.25" x14ac:dyDescent="0.2"/>
    <row r="462" customFormat="1" ht="14.25" x14ac:dyDescent="0.2"/>
    <row r="463" customFormat="1" ht="14.25" x14ac:dyDescent="0.2"/>
    <row r="464" customFormat="1" ht="14.25" x14ac:dyDescent="0.2"/>
    <row r="465" customFormat="1" ht="14.25" x14ac:dyDescent="0.2"/>
    <row r="466" customFormat="1" ht="14.25" x14ac:dyDescent="0.2"/>
    <row r="467" customFormat="1" ht="14.25" x14ac:dyDescent="0.2"/>
    <row r="468" customFormat="1" ht="14.25" x14ac:dyDescent="0.2"/>
    <row r="469" customFormat="1" ht="14.25" x14ac:dyDescent="0.2"/>
    <row r="470" customFormat="1" ht="14.25" x14ac:dyDescent="0.2"/>
    <row r="471" customFormat="1" ht="14.25" x14ac:dyDescent="0.2"/>
    <row r="472" customFormat="1" ht="14.25" x14ac:dyDescent="0.2"/>
    <row r="473" customFormat="1" ht="14.25" x14ac:dyDescent="0.2"/>
    <row r="474" customFormat="1" ht="14.25" x14ac:dyDescent="0.2"/>
    <row r="475" customFormat="1" ht="14.25" x14ac:dyDescent="0.2"/>
    <row r="476" customFormat="1" ht="14.25" x14ac:dyDescent="0.2"/>
    <row r="477" customFormat="1" ht="14.25" x14ac:dyDescent="0.2"/>
    <row r="478" customFormat="1" ht="14.25" x14ac:dyDescent="0.2"/>
    <row r="479" customFormat="1" ht="14.25" x14ac:dyDescent="0.2"/>
    <row r="480" customFormat="1" ht="14.25" x14ac:dyDescent="0.2"/>
    <row r="481" customFormat="1" ht="14.25" x14ac:dyDescent="0.2"/>
    <row r="482" customFormat="1" ht="14.25" x14ac:dyDescent="0.2"/>
    <row r="483" customFormat="1" ht="14.25" x14ac:dyDescent="0.2"/>
    <row r="484" customFormat="1" ht="14.25" x14ac:dyDescent="0.2"/>
    <row r="485" customFormat="1" ht="14.25" x14ac:dyDescent="0.2"/>
    <row r="486" customFormat="1" ht="14.25" x14ac:dyDescent="0.2"/>
    <row r="487" customFormat="1" ht="14.25" x14ac:dyDescent="0.2"/>
    <row r="488" customFormat="1" ht="14.25" x14ac:dyDescent="0.2"/>
    <row r="489" customFormat="1" ht="14.25" x14ac:dyDescent="0.2"/>
    <row r="490" customFormat="1" ht="14.25" x14ac:dyDescent="0.2"/>
    <row r="491" customFormat="1" ht="14.25" x14ac:dyDescent="0.2"/>
    <row r="492" customFormat="1" ht="14.25" x14ac:dyDescent="0.2"/>
    <row r="493" customFormat="1" ht="14.25" x14ac:dyDescent="0.2"/>
    <row r="494" customFormat="1" ht="14.25" x14ac:dyDescent="0.2"/>
    <row r="495" customFormat="1" ht="14.25" x14ac:dyDescent="0.2"/>
    <row r="496" customFormat="1" ht="14.25" x14ac:dyDescent="0.2"/>
    <row r="497" customFormat="1" ht="14.25" x14ac:dyDescent="0.2"/>
    <row r="498" customFormat="1" ht="14.25" x14ac:dyDescent="0.2"/>
    <row r="499" customFormat="1" ht="14.25" x14ac:dyDescent="0.2"/>
    <row r="500" customFormat="1" ht="14.25" x14ac:dyDescent="0.2"/>
    <row r="501" customFormat="1" ht="14.25" x14ac:dyDescent="0.2"/>
    <row r="502" customFormat="1" ht="14.25" x14ac:dyDescent="0.2"/>
    <row r="503" customFormat="1" ht="14.25" x14ac:dyDescent="0.2"/>
    <row r="504" customFormat="1" ht="14.25" x14ac:dyDescent="0.2"/>
    <row r="505" customFormat="1" ht="14.25" x14ac:dyDescent="0.2"/>
    <row r="506" customFormat="1" ht="14.25" x14ac:dyDescent="0.2"/>
    <row r="507" customFormat="1" ht="14.25" x14ac:dyDescent="0.2"/>
    <row r="508" customFormat="1" ht="14.25" x14ac:dyDescent="0.2"/>
    <row r="509" customFormat="1" ht="14.25" x14ac:dyDescent="0.2"/>
    <row r="510" customFormat="1" ht="14.25" x14ac:dyDescent="0.2"/>
    <row r="511" customFormat="1" ht="14.25" x14ac:dyDescent="0.2"/>
    <row r="512" customFormat="1" ht="14.25" x14ac:dyDescent="0.2"/>
    <row r="513" customFormat="1" ht="14.25" x14ac:dyDescent="0.2"/>
    <row r="514" customFormat="1" ht="14.25" x14ac:dyDescent="0.2"/>
    <row r="515" customFormat="1" ht="14.25" x14ac:dyDescent="0.2"/>
    <row r="516" customFormat="1" ht="14.25" x14ac:dyDescent="0.2"/>
    <row r="517" customFormat="1" ht="14.25" x14ac:dyDescent="0.2"/>
    <row r="518" customFormat="1" ht="14.25" x14ac:dyDescent="0.2"/>
    <row r="519" customFormat="1" ht="14.25" x14ac:dyDescent="0.2"/>
    <row r="520" customFormat="1" ht="14.25" x14ac:dyDescent="0.2"/>
    <row r="521" customFormat="1" ht="14.25" x14ac:dyDescent="0.2"/>
    <row r="522" customFormat="1" ht="14.25" x14ac:dyDescent="0.2"/>
    <row r="523" customFormat="1" ht="14.25" x14ac:dyDescent="0.2"/>
    <row r="524" customFormat="1" ht="14.25" x14ac:dyDescent="0.2"/>
    <row r="525" customFormat="1" ht="14.25" x14ac:dyDescent="0.2"/>
    <row r="526" customFormat="1" ht="14.25" x14ac:dyDescent="0.2"/>
    <row r="527" customFormat="1" ht="14.25" x14ac:dyDescent="0.2"/>
    <row r="528" customFormat="1" ht="14.25" x14ac:dyDescent="0.2"/>
    <row r="529" customFormat="1" ht="14.25" x14ac:dyDescent="0.2"/>
    <row r="530" customFormat="1" ht="14.25" x14ac:dyDescent="0.2"/>
    <row r="531" customFormat="1" ht="14.25" x14ac:dyDescent="0.2"/>
    <row r="532" customFormat="1" ht="14.25" x14ac:dyDescent="0.2"/>
    <row r="533" customFormat="1" ht="14.25" x14ac:dyDescent="0.2"/>
    <row r="534" customFormat="1" ht="14.25" x14ac:dyDescent="0.2"/>
    <row r="535" customFormat="1" ht="14.25" x14ac:dyDescent="0.2"/>
    <row r="536" customFormat="1" ht="14.25" x14ac:dyDescent="0.2"/>
    <row r="537" customFormat="1" ht="14.25" x14ac:dyDescent="0.2"/>
    <row r="538" customFormat="1" ht="14.25" x14ac:dyDescent="0.2"/>
    <row r="539" customFormat="1" ht="14.25" x14ac:dyDescent="0.2"/>
    <row r="540" customFormat="1" ht="14.25" x14ac:dyDescent="0.2"/>
    <row r="541" customFormat="1" ht="14.25" x14ac:dyDescent="0.2"/>
    <row r="542" customFormat="1" ht="14.25" x14ac:dyDescent="0.2"/>
    <row r="543" customFormat="1" ht="14.25" x14ac:dyDescent="0.2"/>
    <row r="544" customFormat="1" ht="14.25" x14ac:dyDescent="0.2"/>
    <row r="545" customFormat="1" ht="14.25" x14ac:dyDescent="0.2"/>
    <row r="546" customFormat="1" ht="14.25" x14ac:dyDescent="0.2"/>
    <row r="547" customFormat="1" ht="14.25" x14ac:dyDescent="0.2"/>
    <row r="548" customFormat="1" ht="14.25" x14ac:dyDescent="0.2"/>
    <row r="549" customFormat="1" ht="14.25" x14ac:dyDescent="0.2"/>
    <row r="550" customFormat="1" ht="14.25" x14ac:dyDescent="0.2"/>
    <row r="551" customFormat="1" ht="14.25" x14ac:dyDescent="0.2"/>
    <row r="552" customFormat="1" ht="14.25" x14ac:dyDescent="0.2"/>
    <row r="553" customFormat="1" ht="14.25" x14ac:dyDescent="0.2"/>
    <row r="554" customFormat="1" ht="14.25" x14ac:dyDescent="0.2"/>
    <row r="555" customFormat="1" ht="14.25" x14ac:dyDescent="0.2"/>
    <row r="556" customFormat="1" ht="14.25" x14ac:dyDescent="0.2"/>
    <row r="557" customFormat="1" ht="14.25" x14ac:dyDescent="0.2"/>
    <row r="558" customFormat="1" ht="14.25" x14ac:dyDescent="0.2"/>
    <row r="559" customFormat="1" ht="14.25" x14ac:dyDescent="0.2"/>
    <row r="560" customFormat="1" ht="14.25" x14ac:dyDescent="0.2"/>
    <row r="561" customFormat="1" ht="14.25" x14ac:dyDescent="0.2"/>
    <row r="562" customFormat="1" ht="14.25" x14ac:dyDescent="0.2"/>
    <row r="563" customFormat="1" ht="14.25" x14ac:dyDescent="0.2"/>
    <row r="564" customFormat="1" ht="14.25" x14ac:dyDescent="0.2"/>
    <row r="565" customFormat="1" ht="14.25" x14ac:dyDescent="0.2"/>
    <row r="566" customFormat="1" ht="14.25" x14ac:dyDescent="0.2"/>
    <row r="567" customFormat="1" ht="14.25" x14ac:dyDescent="0.2"/>
    <row r="568" customFormat="1" ht="14.25" x14ac:dyDescent="0.2"/>
    <row r="569" customFormat="1" ht="14.25" x14ac:dyDescent="0.2"/>
    <row r="570" customFormat="1" ht="14.25" x14ac:dyDescent="0.2"/>
    <row r="571" customFormat="1" ht="14.25" x14ac:dyDescent="0.2"/>
    <row r="572" customFormat="1" ht="14.25" x14ac:dyDescent="0.2"/>
    <row r="573" customFormat="1" ht="14.25" x14ac:dyDescent="0.2"/>
    <row r="574" customFormat="1" ht="14.25" x14ac:dyDescent="0.2"/>
    <row r="575" customFormat="1" ht="14.25" x14ac:dyDescent="0.2"/>
    <row r="576" customFormat="1" ht="14.25" x14ac:dyDescent="0.2"/>
    <row r="577" customFormat="1" ht="14.25" x14ac:dyDescent="0.2"/>
    <row r="578" customFormat="1" ht="14.25" x14ac:dyDescent="0.2"/>
    <row r="579" customFormat="1" ht="14.25" x14ac:dyDescent="0.2"/>
    <row r="580" customFormat="1" ht="14.25" x14ac:dyDescent="0.2"/>
    <row r="581" customFormat="1" ht="14.25" x14ac:dyDescent="0.2"/>
    <row r="582" customFormat="1" ht="14.25" x14ac:dyDescent="0.2"/>
    <row r="583" customFormat="1" ht="14.25" x14ac:dyDescent="0.2"/>
    <row r="584" customFormat="1" ht="14.25" x14ac:dyDescent="0.2"/>
    <row r="585" customFormat="1" ht="14.25" x14ac:dyDescent="0.2"/>
    <row r="586" customFormat="1" ht="14.25" x14ac:dyDescent="0.2"/>
    <row r="587" customFormat="1" ht="14.25" x14ac:dyDescent="0.2"/>
    <row r="588" customFormat="1" ht="14.25" x14ac:dyDescent="0.2"/>
    <row r="589" customFormat="1" ht="14.25" x14ac:dyDescent="0.2"/>
    <row r="590" customFormat="1" ht="14.25" x14ac:dyDescent="0.2"/>
    <row r="591" customFormat="1" ht="14.25" x14ac:dyDescent="0.2"/>
    <row r="592" customFormat="1" ht="14.25" x14ac:dyDescent="0.2"/>
    <row r="593" customFormat="1" ht="14.25" x14ac:dyDescent="0.2"/>
    <row r="594" customFormat="1" ht="14.25" x14ac:dyDescent="0.2"/>
    <row r="595" customFormat="1" ht="14.25" x14ac:dyDescent="0.2"/>
    <row r="596" customFormat="1" ht="14.25" x14ac:dyDescent="0.2"/>
    <row r="597" customFormat="1" ht="14.25" x14ac:dyDescent="0.2"/>
    <row r="598" customFormat="1" ht="14.25" x14ac:dyDescent="0.2"/>
    <row r="599" customFormat="1" ht="14.25" x14ac:dyDescent="0.2"/>
    <row r="600" customFormat="1" ht="14.25" x14ac:dyDescent="0.2"/>
    <row r="601" customFormat="1" ht="14.25" x14ac:dyDescent="0.2"/>
    <row r="602" customFormat="1" ht="14.25" x14ac:dyDescent="0.2"/>
    <row r="603" customFormat="1" ht="14.25" x14ac:dyDescent="0.2"/>
    <row r="604" customFormat="1" ht="14.25" x14ac:dyDescent="0.2"/>
    <row r="605" customFormat="1" ht="14.25" x14ac:dyDescent="0.2"/>
    <row r="606" customFormat="1" ht="14.25" x14ac:dyDescent="0.2"/>
    <row r="607" customFormat="1" ht="14.25" x14ac:dyDescent="0.2"/>
    <row r="608" customFormat="1" ht="14.25" x14ac:dyDescent="0.2"/>
    <row r="609" customFormat="1" ht="14.25" x14ac:dyDescent="0.2"/>
    <row r="610" customFormat="1" ht="14.25" x14ac:dyDescent="0.2"/>
    <row r="611" customFormat="1" ht="14.25" x14ac:dyDescent="0.2"/>
    <row r="612" customFormat="1" ht="14.25" x14ac:dyDescent="0.2"/>
    <row r="613" customFormat="1" ht="14.25" x14ac:dyDescent="0.2"/>
    <row r="614" customFormat="1" ht="14.25" x14ac:dyDescent="0.2"/>
    <row r="615" customFormat="1" ht="14.25" x14ac:dyDescent="0.2"/>
    <row r="616" customFormat="1" ht="14.25" x14ac:dyDescent="0.2"/>
    <row r="617" customFormat="1" ht="14.25" x14ac:dyDescent="0.2"/>
    <row r="618" customFormat="1" ht="14.25" x14ac:dyDescent="0.2"/>
    <row r="619" customFormat="1" ht="14.25" x14ac:dyDescent="0.2"/>
    <row r="620" customFormat="1" ht="14.25" x14ac:dyDescent="0.2"/>
    <row r="621" customFormat="1" ht="14.25" x14ac:dyDescent="0.2"/>
    <row r="622" customFormat="1" ht="14.25" x14ac:dyDescent="0.2"/>
    <row r="623" customFormat="1" ht="14.25" x14ac:dyDescent="0.2"/>
    <row r="624" customFormat="1" ht="14.25" x14ac:dyDescent="0.2"/>
    <row r="625" customFormat="1" ht="14.25" x14ac:dyDescent="0.2"/>
    <row r="626" customFormat="1" ht="14.25" x14ac:dyDescent="0.2"/>
    <row r="627" customFormat="1" ht="14.25" x14ac:dyDescent="0.2"/>
    <row r="628" customFormat="1" ht="14.25" x14ac:dyDescent="0.2"/>
    <row r="629" customFormat="1" ht="14.25" x14ac:dyDescent="0.2"/>
    <row r="630" customFormat="1" ht="14.25" x14ac:dyDescent="0.2"/>
    <row r="631" customFormat="1" ht="14.25" x14ac:dyDescent="0.2"/>
    <row r="632" customFormat="1" ht="14.25" x14ac:dyDescent="0.2"/>
    <row r="633" customFormat="1" ht="14.25" x14ac:dyDescent="0.2"/>
    <row r="634" customFormat="1" ht="14.25" x14ac:dyDescent="0.2"/>
    <row r="635" customFormat="1" ht="14.25" x14ac:dyDescent="0.2"/>
    <row r="636" customFormat="1" ht="14.25" x14ac:dyDescent="0.2"/>
    <row r="637" customFormat="1" ht="14.25" x14ac:dyDescent="0.2"/>
    <row r="638" customFormat="1" ht="14.25" x14ac:dyDescent="0.2"/>
    <row r="639" customFormat="1" ht="14.25" x14ac:dyDescent="0.2"/>
    <row r="640" customFormat="1" ht="14.25" x14ac:dyDescent="0.2"/>
    <row r="641" customFormat="1" ht="14.25" x14ac:dyDescent="0.2"/>
    <row r="642" customFormat="1" ht="14.25" x14ac:dyDescent="0.2"/>
    <row r="643" customFormat="1" ht="14.25" x14ac:dyDescent="0.2"/>
    <row r="644" customFormat="1" ht="14.25" x14ac:dyDescent="0.2"/>
    <row r="645" customFormat="1" ht="14.25" x14ac:dyDescent="0.2"/>
    <row r="646" customFormat="1" ht="14.25" x14ac:dyDescent="0.2"/>
    <row r="647" customFormat="1" ht="14.25" x14ac:dyDescent="0.2"/>
    <row r="648" customFormat="1" ht="14.25" x14ac:dyDescent="0.2"/>
    <row r="649" customFormat="1" ht="14.25" x14ac:dyDescent="0.2"/>
    <row r="650" customFormat="1" ht="14.25" x14ac:dyDescent="0.2"/>
    <row r="651" customFormat="1" ht="14.25" x14ac:dyDescent="0.2"/>
    <row r="652" customFormat="1" ht="14.25" x14ac:dyDescent="0.2"/>
    <row r="653" customFormat="1" ht="14.25" x14ac:dyDescent="0.2"/>
    <row r="654" customFormat="1" ht="14.25" x14ac:dyDescent="0.2"/>
    <row r="655" customFormat="1" ht="14.25" x14ac:dyDescent="0.2"/>
    <row r="656" customFormat="1" ht="14.25" x14ac:dyDescent="0.2"/>
    <row r="657" customFormat="1" ht="14.25" x14ac:dyDescent="0.2"/>
    <row r="658" customFormat="1" ht="14.25" x14ac:dyDescent="0.2"/>
    <row r="659" customFormat="1" ht="14.25" x14ac:dyDescent="0.2"/>
    <row r="660" customFormat="1" ht="14.25" x14ac:dyDescent="0.2"/>
    <row r="661" customFormat="1" ht="14.25" x14ac:dyDescent="0.2"/>
    <row r="662" customFormat="1" ht="14.25" x14ac:dyDescent="0.2"/>
    <row r="663" customFormat="1" ht="14.25" x14ac:dyDescent="0.2"/>
    <row r="664" customFormat="1" ht="14.25" x14ac:dyDescent="0.2"/>
    <row r="665" customFormat="1" ht="14.25" x14ac:dyDescent="0.2"/>
    <row r="666" customFormat="1" ht="14.25" x14ac:dyDescent="0.2"/>
    <row r="667" customFormat="1" ht="14.25" x14ac:dyDescent="0.2"/>
    <row r="668" customFormat="1" ht="14.25" x14ac:dyDescent="0.2"/>
    <row r="669" customFormat="1" ht="14.25" x14ac:dyDescent="0.2"/>
    <row r="670" customFormat="1" ht="14.25" x14ac:dyDescent="0.2"/>
    <row r="671" customFormat="1" ht="14.25" x14ac:dyDescent="0.2"/>
    <row r="672" customFormat="1" ht="14.25" x14ac:dyDescent="0.2"/>
    <row r="673" customFormat="1" ht="14.25" x14ac:dyDescent="0.2"/>
    <row r="674" customFormat="1" ht="14.25" x14ac:dyDescent="0.2"/>
    <row r="675" customFormat="1" ht="14.25" x14ac:dyDescent="0.2"/>
    <row r="676" customFormat="1" ht="14.25" x14ac:dyDescent="0.2"/>
    <row r="677" customFormat="1" ht="14.25" x14ac:dyDescent="0.2"/>
    <row r="678" customFormat="1" ht="14.25" x14ac:dyDescent="0.2"/>
    <row r="679" customFormat="1" ht="14.25" x14ac:dyDescent="0.2"/>
    <row r="680" customFormat="1" ht="14.25" x14ac:dyDescent="0.2"/>
    <row r="681" customFormat="1" ht="14.25" x14ac:dyDescent="0.2"/>
    <row r="682" customFormat="1" ht="14.25" x14ac:dyDescent="0.2"/>
    <row r="683" customFormat="1" ht="14.25" x14ac:dyDescent="0.2"/>
    <row r="684" customFormat="1" ht="14.25" x14ac:dyDescent="0.2"/>
    <row r="685" customFormat="1" ht="14.25" x14ac:dyDescent="0.2"/>
    <row r="686" customFormat="1" ht="14.25" x14ac:dyDescent="0.2"/>
    <row r="687" customFormat="1" ht="14.25" x14ac:dyDescent="0.2"/>
    <row r="688" customFormat="1" ht="14.25" x14ac:dyDescent="0.2"/>
    <row r="689" customFormat="1" ht="14.25" x14ac:dyDescent="0.2"/>
    <row r="690" customFormat="1" ht="14.25" x14ac:dyDescent="0.2"/>
    <row r="691" customFormat="1" ht="14.25" x14ac:dyDescent="0.2"/>
    <row r="692" customFormat="1" ht="14.25" x14ac:dyDescent="0.2"/>
    <row r="693" customFormat="1" ht="14.25" x14ac:dyDescent="0.2"/>
    <row r="694" customFormat="1" ht="14.25" x14ac:dyDescent="0.2"/>
    <row r="695" customFormat="1" ht="14.25" x14ac:dyDescent="0.2"/>
    <row r="696" customFormat="1" ht="14.25" x14ac:dyDescent="0.2"/>
    <row r="697" customFormat="1" ht="14.25" x14ac:dyDescent="0.2"/>
    <row r="698" customFormat="1" ht="14.25" x14ac:dyDescent="0.2"/>
    <row r="699" customFormat="1" ht="14.25" x14ac:dyDescent="0.2"/>
    <row r="700" customFormat="1" ht="14.25" x14ac:dyDescent="0.2"/>
    <row r="701" customFormat="1" ht="14.25" x14ac:dyDescent="0.2"/>
    <row r="702" customFormat="1" ht="14.25" x14ac:dyDescent="0.2"/>
    <row r="703" customFormat="1" ht="14.25" x14ac:dyDescent="0.2"/>
    <row r="704" customFormat="1" ht="14.25" x14ac:dyDescent="0.2"/>
    <row r="705" customFormat="1" ht="14.25" x14ac:dyDescent="0.2"/>
    <row r="706" customFormat="1" ht="14.25" x14ac:dyDescent="0.2"/>
    <row r="707" customFormat="1" ht="14.25" x14ac:dyDescent="0.2"/>
    <row r="708" customFormat="1" ht="14.25" x14ac:dyDescent="0.2"/>
    <row r="709" customFormat="1" ht="14.25" x14ac:dyDescent="0.2"/>
    <row r="710" customFormat="1" ht="14.25" x14ac:dyDescent="0.2"/>
    <row r="711" customFormat="1" ht="14.25" x14ac:dyDescent="0.2"/>
    <row r="712" customFormat="1" ht="14.25" x14ac:dyDescent="0.2"/>
    <row r="713" customFormat="1" ht="14.25" x14ac:dyDescent="0.2"/>
    <row r="714" customFormat="1" ht="14.25" x14ac:dyDescent="0.2"/>
    <row r="715" customFormat="1" ht="14.25" x14ac:dyDescent="0.2"/>
    <row r="716" customFormat="1" ht="14.25" x14ac:dyDescent="0.2"/>
    <row r="717" customFormat="1" ht="14.25" x14ac:dyDescent="0.2"/>
    <row r="718" customFormat="1" ht="14.25" x14ac:dyDescent="0.2"/>
    <row r="719" customFormat="1" ht="14.25" x14ac:dyDescent="0.2"/>
    <row r="720" customFormat="1" ht="14.25" x14ac:dyDescent="0.2"/>
    <row r="721" customFormat="1" ht="14.25" x14ac:dyDescent="0.2"/>
    <row r="722" customFormat="1" ht="14.25" x14ac:dyDescent="0.2"/>
    <row r="723" customFormat="1" ht="14.25" x14ac:dyDescent="0.2"/>
    <row r="724" customFormat="1" ht="14.25" x14ac:dyDescent="0.2"/>
    <row r="725" customFormat="1" ht="14.25" x14ac:dyDescent="0.2"/>
    <row r="726" customFormat="1" ht="14.25" x14ac:dyDescent="0.2"/>
    <row r="727" customFormat="1" ht="14.25" x14ac:dyDescent="0.2"/>
    <row r="728" customFormat="1" ht="14.25" x14ac:dyDescent="0.2"/>
    <row r="729" customFormat="1" ht="14.25" x14ac:dyDescent="0.2"/>
    <row r="730" customFormat="1" ht="14.25" x14ac:dyDescent="0.2"/>
    <row r="731" customFormat="1" ht="14.25" x14ac:dyDescent="0.2"/>
    <row r="732" customFormat="1" ht="14.25" x14ac:dyDescent="0.2"/>
    <row r="733" customFormat="1" ht="14.25" x14ac:dyDescent="0.2"/>
    <row r="734" customFormat="1" ht="14.25" x14ac:dyDescent="0.2"/>
    <row r="735" customFormat="1" ht="14.25" x14ac:dyDescent="0.2"/>
    <row r="736" customFormat="1" ht="14.25" x14ac:dyDescent="0.2"/>
    <row r="737" customFormat="1" ht="14.25" x14ac:dyDescent="0.2"/>
    <row r="738" customFormat="1" ht="14.25" x14ac:dyDescent="0.2"/>
    <row r="739" customFormat="1" ht="14.25" x14ac:dyDescent="0.2"/>
    <row r="740" customFormat="1" ht="14.25" x14ac:dyDescent="0.2"/>
    <row r="741" customFormat="1" ht="14.25" x14ac:dyDescent="0.2"/>
    <row r="742" customFormat="1" ht="14.25" x14ac:dyDescent="0.2"/>
    <row r="743" customFormat="1" ht="14.25" x14ac:dyDescent="0.2"/>
    <row r="744" customFormat="1" ht="14.25" x14ac:dyDescent="0.2"/>
    <row r="745" customFormat="1" ht="14.25" x14ac:dyDescent="0.2"/>
    <row r="746" customFormat="1" ht="14.25" x14ac:dyDescent="0.2"/>
    <row r="747" customFormat="1" ht="14.25" x14ac:dyDescent="0.2"/>
    <row r="748" customFormat="1" ht="14.25" x14ac:dyDescent="0.2"/>
    <row r="749" customFormat="1" ht="14.25" x14ac:dyDescent="0.2"/>
    <row r="750" customFormat="1" ht="14.25" x14ac:dyDescent="0.2"/>
    <row r="751" customFormat="1" ht="14.25" x14ac:dyDescent="0.2"/>
    <row r="752" customFormat="1" ht="14.25" x14ac:dyDescent="0.2"/>
    <row r="753" customFormat="1" ht="14.25" x14ac:dyDescent="0.2"/>
    <row r="754" customFormat="1" ht="14.25" x14ac:dyDescent="0.2"/>
    <row r="755" customFormat="1" ht="14.25" x14ac:dyDescent="0.2"/>
    <row r="756" customFormat="1" ht="14.25" x14ac:dyDescent="0.2"/>
    <row r="757" customFormat="1" ht="14.25" x14ac:dyDescent="0.2"/>
    <row r="758" customFormat="1" ht="14.25" x14ac:dyDescent="0.2"/>
    <row r="759" customFormat="1" ht="14.25" x14ac:dyDescent="0.2"/>
    <row r="760" customFormat="1" ht="14.25" x14ac:dyDescent="0.2"/>
    <row r="761" customFormat="1" ht="14.25" x14ac:dyDescent="0.2"/>
    <row r="762" customFormat="1" ht="14.25" x14ac:dyDescent="0.2"/>
    <row r="763" customFormat="1" ht="14.25" x14ac:dyDescent="0.2"/>
    <row r="764" customFormat="1" ht="14.25" x14ac:dyDescent="0.2"/>
    <row r="765" customFormat="1" ht="14.25" x14ac:dyDescent="0.2"/>
    <row r="766" customFormat="1" ht="14.25" x14ac:dyDescent="0.2"/>
    <row r="767" customFormat="1" ht="14.25" x14ac:dyDescent="0.2"/>
    <row r="768" customFormat="1" ht="14.25" x14ac:dyDescent="0.2"/>
    <row r="769" customFormat="1" ht="14.25" x14ac:dyDescent="0.2"/>
    <row r="770" customFormat="1" ht="14.25" x14ac:dyDescent="0.2"/>
    <row r="771" customFormat="1" ht="14.25" x14ac:dyDescent="0.2"/>
    <row r="772" customFormat="1" ht="14.25" x14ac:dyDescent="0.2"/>
    <row r="773" customFormat="1" ht="14.25" x14ac:dyDescent="0.2"/>
    <row r="774" customFormat="1" ht="14.25" x14ac:dyDescent="0.2"/>
    <row r="775" customFormat="1" ht="14.25" x14ac:dyDescent="0.2"/>
    <row r="776" customFormat="1" ht="14.25" x14ac:dyDescent="0.2"/>
    <row r="777" customFormat="1" ht="14.25" x14ac:dyDescent="0.2"/>
    <row r="778" customFormat="1" ht="14.25" x14ac:dyDescent="0.2"/>
    <row r="779" customFormat="1" ht="14.25" x14ac:dyDescent="0.2"/>
    <row r="780" customFormat="1" ht="14.25" x14ac:dyDescent="0.2"/>
    <row r="781" customFormat="1" ht="14.25" x14ac:dyDescent="0.2"/>
    <row r="782" customFormat="1" ht="14.25" x14ac:dyDescent="0.2"/>
    <row r="783" customFormat="1" ht="14.25" x14ac:dyDescent="0.2"/>
    <row r="784" customFormat="1" ht="14.25" x14ac:dyDescent="0.2"/>
    <row r="785" customFormat="1" ht="14.25" x14ac:dyDescent="0.2"/>
    <row r="786" customFormat="1" ht="14.25" x14ac:dyDescent="0.2"/>
    <row r="787" customFormat="1" ht="14.25" x14ac:dyDescent="0.2"/>
    <row r="788" customFormat="1" ht="14.25" x14ac:dyDescent="0.2"/>
    <row r="789" customFormat="1" ht="14.25" x14ac:dyDescent="0.2"/>
    <row r="790" customFormat="1" ht="14.25" x14ac:dyDescent="0.2"/>
    <row r="791" customFormat="1" ht="14.25" x14ac:dyDescent="0.2"/>
    <row r="792" customFormat="1" ht="14.25" x14ac:dyDescent="0.2"/>
    <row r="793" customFormat="1" ht="14.25" x14ac:dyDescent="0.2"/>
    <row r="794" customFormat="1" ht="14.25" x14ac:dyDescent="0.2"/>
    <row r="795" customFormat="1" ht="14.25" x14ac:dyDescent="0.2"/>
    <row r="796" customFormat="1" ht="14.25" x14ac:dyDescent="0.2"/>
    <row r="797" customFormat="1" ht="14.25" x14ac:dyDescent="0.2"/>
    <row r="798" customFormat="1" ht="14.25" x14ac:dyDescent="0.2"/>
    <row r="799" customFormat="1" ht="14.25" x14ac:dyDescent="0.2"/>
    <row r="800" customFormat="1" ht="14.25" x14ac:dyDescent="0.2"/>
    <row r="801" customFormat="1" ht="14.25" x14ac:dyDescent="0.2"/>
    <row r="802" customFormat="1" ht="14.25" x14ac:dyDescent="0.2"/>
    <row r="803" customFormat="1" ht="14.25" x14ac:dyDescent="0.2"/>
    <row r="804" customFormat="1" ht="14.25" x14ac:dyDescent="0.2"/>
    <row r="805" customFormat="1" ht="14.25" x14ac:dyDescent="0.2"/>
    <row r="806" customFormat="1" ht="14.25" x14ac:dyDescent="0.2"/>
    <row r="807" customFormat="1" ht="14.25" x14ac:dyDescent="0.2"/>
    <row r="808" customFormat="1" ht="14.25" x14ac:dyDescent="0.2"/>
    <row r="809" customFormat="1" ht="14.25" x14ac:dyDescent="0.2"/>
    <row r="810" customFormat="1" ht="14.25" x14ac:dyDescent="0.2"/>
    <row r="811" customFormat="1" ht="14.25" x14ac:dyDescent="0.2"/>
    <row r="812" customFormat="1" ht="14.25" x14ac:dyDescent="0.2"/>
    <row r="813" customFormat="1" ht="14.25" x14ac:dyDescent="0.2"/>
    <row r="814" customFormat="1" ht="14.25" x14ac:dyDescent="0.2"/>
    <row r="815" customFormat="1" ht="14.25" x14ac:dyDescent="0.2"/>
    <row r="816" customFormat="1" ht="14.25" x14ac:dyDescent="0.2"/>
    <row r="817" customFormat="1" ht="14.25" x14ac:dyDescent="0.2"/>
    <row r="818" customFormat="1" ht="14.25" x14ac:dyDescent="0.2"/>
    <row r="819" customFormat="1" ht="14.25" x14ac:dyDescent="0.2"/>
    <row r="820" customFormat="1" ht="14.25" x14ac:dyDescent="0.2"/>
    <row r="821" customFormat="1" ht="14.25" x14ac:dyDescent="0.2"/>
    <row r="822" customFormat="1" ht="14.25" x14ac:dyDescent="0.2"/>
    <row r="823" customFormat="1" ht="14.25" x14ac:dyDescent="0.2"/>
    <row r="824" customFormat="1" ht="14.25" x14ac:dyDescent="0.2"/>
    <row r="825" customFormat="1" ht="14.25" x14ac:dyDescent="0.2"/>
    <row r="826" customFormat="1" ht="14.25" x14ac:dyDescent="0.2"/>
    <row r="827" customFormat="1" ht="14.25" x14ac:dyDescent="0.2"/>
    <row r="828" customFormat="1" ht="14.25" x14ac:dyDescent="0.2"/>
    <row r="829" customFormat="1" ht="14.25" x14ac:dyDescent="0.2"/>
    <row r="830" customFormat="1" ht="14.25" x14ac:dyDescent="0.2"/>
    <row r="831" customFormat="1" ht="14.25" x14ac:dyDescent="0.2"/>
    <row r="832" customFormat="1" ht="14.25" x14ac:dyDescent="0.2"/>
    <row r="833" customFormat="1" ht="14.25" x14ac:dyDescent="0.2"/>
    <row r="834" customFormat="1" ht="14.25" x14ac:dyDescent="0.2"/>
    <row r="835" customFormat="1" ht="14.25" x14ac:dyDescent="0.2"/>
    <row r="836" customFormat="1" ht="14.25" x14ac:dyDescent="0.2"/>
    <row r="837" customFormat="1" ht="14.25" x14ac:dyDescent="0.2"/>
    <row r="838" customFormat="1" ht="14.25" x14ac:dyDescent="0.2"/>
    <row r="839" customFormat="1" ht="14.25" x14ac:dyDescent="0.2"/>
    <row r="840" customFormat="1" ht="14.25" x14ac:dyDescent="0.2"/>
    <row r="841" customFormat="1" ht="14.25" x14ac:dyDescent="0.2"/>
    <row r="842" customFormat="1" ht="14.25" x14ac:dyDescent="0.2"/>
    <row r="843" customFormat="1" ht="14.25" x14ac:dyDescent="0.2"/>
    <row r="844" customFormat="1" ht="14.25" x14ac:dyDescent="0.2"/>
    <row r="845" customFormat="1" ht="14.25" x14ac:dyDescent="0.2"/>
    <row r="846" customFormat="1" ht="14.25" x14ac:dyDescent="0.2"/>
    <row r="847" customFormat="1" ht="14.25" x14ac:dyDescent="0.2"/>
    <row r="848" customFormat="1" ht="14.25" x14ac:dyDescent="0.2"/>
    <row r="849" customFormat="1" ht="14.25" x14ac:dyDescent="0.2"/>
    <row r="850" customFormat="1" ht="14.25" x14ac:dyDescent="0.2"/>
    <row r="851" customFormat="1" ht="14.25" x14ac:dyDescent="0.2"/>
    <row r="852" customFormat="1" ht="14.25" x14ac:dyDescent="0.2"/>
    <row r="853" customFormat="1" ht="14.25" x14ac:dyDescent="0.2"/>
    <row r="854" customFormat="1" ht="14.25" x14ac:dyDescent="0.2"/>
    <row r="855" customFormat="1" ht="14.25" x14ac:dyDescent="0.2"/>
    <row r="856" customFormat="1" ht="14.25" x14ac:dyDescent="0.2"/>
    <row r="857" customFormat="1" ht="14.25" x14ac:dyDescent="0.2"/>
    <row r="858" customFormat="1" ht="14.25" x14ac:dyDescent="0.2"/>
    <row r="859" customFormat="1" ht="14.25" x14ac:dyDescent="0.2"/>
    <row r="860" customFormat="1" ht="14.25" x14ac:dyDescent="0.2"/>
    <row r="861" customFormat="1" ht="14.25" x14ac:dyDescent="0.2"/>
    <row r="862" customFormat="1" ht="14.25" x14ac:dyDescent="0.2"/>
    <row r="863" customFormat="1" ht="14.25" x14ac:dyDescent="0.2"/>
    <row r="864" customFormat="1" ht="14.25" x14ac:dyDescent="0.2"/>
    <row r="865" customFormat="1" ht="14.25" x14ac:dyDescent="0.2"/>
    <row r="866" customFormat="1" ht="14.25" x14ac:dyDescent="0.2"/>
    <row r="867" customFormat="1" ht="14.25" x14ac:dyDescent="0.2"/>
    <row r="868" customFormat="1" ht="14.25" x14ac:dyDescent="0.2"/>
    <row r="869" customFormat="1" ht="14.25" x14ac:dyDescent="0.2"/>
    <row r="870" customFormat="1" ht="14.25" x14ac:dyDescent="0.2"/>
    <row r="871" customFormat="1" ht="14.25" x14ac:dyDescent="0.2"/>
    <row r="872" customFormat="1" ht="14.25" x14ac:dyDescent="0.2"/>
    <row r="873" customFormat="1" ht="14.25" x14ac:dyDescent="0.2"/>
    <row r="874" customFormat="1" ht="14.25" x14ac:dyDescent="0.2"/>
    <row r="875" customFormat="1" ht="14.25" x14ac:dyDescent="0.2"/>
    <row r="876" customFormat="1" ht="14.25" x14ac:dyDescent="0.2"/>
    <row r="877" customFormat="1" ht="14.25" x14ac:dyDescent="0.2"/>
    <row r="878" customFormat="1" ht="14.25" x14ac:dyDescent="0.2"/>
    <row r="879" customFormat="1" ht="14.25" x14ac:dyDescent="0.2"/>
    <row r="880" customFormat="1" ht="14.25" x14ac:dyDescent="0.2"/>
    <row r="881" customFormat="1" ht="14.25" x14ac:dyDescent="0.2"/>
    <row r="882" customFormat="1" ht="14.25" x14ac:dyDescent="0.2"/>
    <row r="883" customFormat="1" ht="14.25" x14ac:dyDescent="0.2"/>
    <row r="884" customFormat="1" ht="14.25" x14ac:dyDescent="0.2"/>
    <row r="885" customFormat="1" ht="14.25" x14ac:dyDescent="0.2"/>
    <row r="886" customFormat="1" ht="14.25" x14ac:dyDescent="0.2"/>
    <row r="887" customFormat="1" ht="14.25" x14ac:dyDescent="0.2"/>
    <row r="888" customFormat="1" ht="14.25" x14ac:dyDescent="0.2"/>
    <row r="889" customFormat="1" ht="14.25" x14ac:dyDescent="0.2"/>
    <row r="890" customFormat="1" ht="14.25" x14ac:dyDescent="0.2"/>
    <row r="891" customFormat="1" ht="14.25" x14ac:dyDescent="0.2"/>
    <row r="892" customFormat="1" ht="14.25" x14ac:dyDescent="0.2"/>
    <row r="893" customFormat="1" ht="14.25" x14ac:dyDescent="0.2"/>
    <row r="894" customFormat="1" ht="14.25" x14ac:dyDescent="0.2"/>
    <row r="895" customFormat="1" ht="14.25" x14ac:dyDescent="0.2"/>
    <row r="896" customFormat="1" ht="14.25" x14ac:dyDescent="0.2"/>
    <row r="897" customFormat="1" ht="14.25" x14ac:dyDescent="0.2"/>
    <row r="898" customFormat="1" ht="14.25" x14ac:dyDescent="0.2"/>
    <row r="899" customFormat="1" ht="14.25" x14ac:dyDescent="0.2"/>
    <row r="900" customFormat="1" ht="14.25" x14ac:dyDescent="0.2"/>
    <row r="901" customFormat="1" ht="14.25" x14ac:dyDescent="0.2"/>
    <row r="902" customFormat="1" ht="14.25" x14ac:dyDescent="0.2"/>
    <row r="903" customFormat="1" ht="14.25" x14ac:dyDescent="0.2"/>
    <row r="904" customFormat="1" ht="14.25" x14ac:dyDescent="0.2"/>
    <row r="905" customFormat="1" ht="14.25" x14ac:dyDescent="0.2"/>
    <row r="906" customFormat="1" ht="14.25" x14ac:dyDescent="0.2"/>
    <row r="907" customFormat="1" ht="14.25" x14ac:dyDescent="0.2"/>
    <row r="908" customFormat="1" ht="14.25" x14ac:dyDescent="0.2"/>
    <row r="909" customFormat="1" ht="14.25" x14ac:dyDescent="0.2"/>
    <row r="910" customFormat="1" ht="14.25" x14ac:dyDescent="0.2"/>
    <row r="911" customFormat="1" ht="14.25" x14ac:dyDescent="0.2"/>
    <row r="912" customFormat="1" ht="14.25" x14ac:dyDescent="0.2"/>
    <row r="913" customFormat="1" ht="14.25" x14ac:dyDescent="0.2"/>
    <row r="914" customFormat="1" ht="14.25" x14ac:dyDescent="0.2"/>
    <row r="915" customFormat="1" ht="14.25" x14ac:dyDescent="0.2"/>
    <row r="916" customFormat="1" ht="14.25" x14ac:dyDescent="0.2"/>
    <row r="917" customFormat="1" ht="14.25" x14ac:dyDescent="0.2"/>
    <row r="918" customFormat="1" ht="14.25" x14ac:dyDescent="0.2"/>
    <row r="919" customFormat="1" ht="14.25" x14ac:dyDescent="0.2"/>
    <row r="920" customFormat="1" ht="14.25" x14ac:dyDescent="0.2"/>
    <row r="921" customFormat="1" ht="14.25" x14ac:dyDescent="0.2"/>
    <row r="922" customFormat="1" ht="14.25" x14ac:dyDescent="0.2"/>
    <row r="923" customFormat="1" ht="14.25" x14ac:dyDescent="0.2"/>
    <row r="924" customFormat="1" ht="14.25" x14ac:dyDescent="0.2"/>
    <row r="925" customFormat="1" ht="14.25" x14ac:dyDescent="0.2"/>
    <row r="926" customFormat="1" ht="14.25" x14ac:dyDescent="0.2"/>
    <row r="927" customFormat="1" ht="14.25" x14ac:dyDescent="0.2"/>
    <row r="928" customFormat="1" ht="14.25" x14ac:dyDescent="0.2"/>
    <row r="929" customFormat="1" ht="14.25" x14ac:dyDescent="0.2"/>
    <row r="930" customFormat="1" ht="14.25" x14ac:dyDescent="0.2"/>
    <row r="931" customFormat="1" ht="14.25" x14ac:dyDescent="0.2"/>
    <row r="932" customFormat="1" ht="14.25" x14ac:dyDescent="0.2"/>
    <row r="933" customFormat="1" ht="14.25" x14ac:dyDescent="0.2"/>
    <row r="934" customFormat="1" ht="14.25" x14ac:dyDescent="0.2"/>
    <row r="935" customFormat="1" ht="14.25" x14ac:dyDescent="0.2"/>
    <row r="936" customFormat="1" ht="14.25" x14ac:dyDescent="0.2"/>
    <row r="937" customFormat="1" ht="14.25" x14ac:dyDescent="0.2"/>
    <row r="938" customFormat="1" ht="14.25" x14ac:dyDescent="0.2"/>
    <row r="939" customFormat="1" ht="14.25" x14ac:dyDescent="0.2"/>
    <row r="940" customFormat="1" ht="14.25" x14ac:dyDescent="0.2"/>
    <row r="941" customFormat="1" ht="14.25" x14ac:dyDescent="0.2"/>
    <row r="942" customFormat="1" ht="14.25" x14ac:dyDescent="0.2"/>
    <row r="943" customFormat="1" ht="14.25" x14ac:dyDescent="0.2"/>
    <row r="944" customFormat="1" ht="14.25" x14ac:dyDescent="0.2"/>
    <row r="945" customFormat="1" ht="14.25" x14ac:dyDescent="0.2"/>
    <row r="946" customFormat="1" ht="14.25" x14ac:dyDescent="0.2"/>
    <row r="947" customFormat="1" ht="14.25" x14ac:dyDescent="0.2"/>
    <row r="948" customFormat="1" ht="14.25" x14ac:dyDescent="0.2"/>
    <row r="949" customFormat="1" ht="14.25" x14ac:dyDescent="0.2"/>
    <row r="950" customFormat="1" ht="14.25" x14ac:dyDescent="0.2"/>
    <row r="951" customFormat="1" ht="14.25" x14ac:dyDescent="0.2"/>
    <row r="952" customFormat="1" ht="14.25" x14ac:dyDescent="0.2"/>
    <row r="953" customFormat="1" ht="14.25" x14ac:dyDescent="0.2"/>
    <row r="954" customFormat="1" ht="14.25" x14ac:dyDescent="0.2"/>
    <row r="955" customFormat="1" ht="14.25" x14ac:dyDescent="0.2"/>
    <row r="956" customFormat="1" ht="14.25" x14ac:dyDescent="0.2"/>
    <row r="957" customFormat="1" ht="14.25" x14ac:dyDescent="0.2"/>
    <row r="958" customFormat="1" ht="14.25" x14ac:dyDescent="0.2"/>
    <row r="959" customFormat="1" ht="14.25" x14ac:dyDescent="0.2"/>
    <row r="960" customFormat="1" ht="14.25" x14ac:dyDescent="0.2"/>
    <row r="961" customFormat="1" ht="14.25" x14ac:dyDescent="0.2"/>
    <row r="962" customFormat="1" ht="14.25" x14ac:dyDescent="0.2"/>
    <row r="963" customFormat="1" ht="14.25" x14ac:dyDescent="0.2"/>
    <row r="964" customFormat="1" ht="14.25" x14ac:dyDescent="0.2"/>
    <row r="965" customFormat="1" ht="14.25" x14ac:dyDescent="0.2"/>
    <row r="966" customFormat="1" ht="14.25" x14ac:dyDescent="0.2"/>
    <row r="967" customFormat="1" ht="14.25" x14ac:dyDescent="0.2"/>
    <row r="968" customFormat="1" ht="14.25" x14ac:dyDescent="0.2"/>
    <row r="969" customFormat="1" ht="14.25" x14ac:dyDescent="0.2"/>
    <row r="970" customFormat="1" ht="14.25" x14ac:dyDescent="0.2"/>
    <row r="971" customFormat="1" ht="14.25" x14ac:dyDescent="0.2"/>
    <row r="972" customFormat="1" ht="14.25" x14ac:dyDescent="0.2"/>
    <row r="973" customFormat="1" ht="14.25" x14ac:dyDescent="0.2"/>
    <row r="974" customFormat="1" ht="14.25" x14ac:dyDescent="0.2"/>
    <row r="975" customFormat="1" ht="14.25" x14ac:dyDescent="0.2"/>
    <row r="976" customFormat="1" ht="14.25" x14ac:dyDescent="0.2"/>
    <row r="977" customFormat="1" ht="14.25" x14ac:dyDescent="0.2"/>
    <row r="978" customFormat="1" ht="14.25" x14ac:dyDescent="0.2"/>
    <row r="979" customFormat="1" ht="14.25" x14ac:dyDescent="0.2"/>
    <row r="980" customFormat="1" ht="14.25" x14ac:dyDescent="0.2"/>
    <row r="981" customFormat="1" ht="14.25" x14ac:dyDescent="0.2"/>
    <row r="982" customFormat="1" ht="14.25" x14ac:dyDescent="0.2"/>
    <row r="983" customFormat="1" ht="14.25" x14ac:dyDescent="0.2"/>
    <row r="984" customFormat="1" ht="14.25" x14ac:dyDescent="0.2"/>
    <row r="985" customFormat="1" ht="14.25" x14ac:dyDescent="0.2"/>
    <row r="986" customFormat="1" ht="14.25" x14ac:dyDescent="0.2"/>
    <row r="987" customFormat="1" ht="14.25" x14ac:dyDescent="0.2"/>
    <row r="988" customFormat="1" ht="14.25" x14ac:dyDescent="0.2"/>
    <row r="989" customFormat="1" ht="14.25" x14ac:dyDescent="0.2"/>
    <row r="990" customFormat="1" ht="14.25" x14ac:dyDescent="0.2"/>
    <row r="991" customFormat="1" ht="14.25" x14ac:dyDescent="0.2"/>
    <row r="992" customFormat="1" ht="14.25" x14ac:dyDescent="0.2"/>
    <row r="993" customFormat="1" ht="14.25" x14ac:dyDescent="0.2"/>
    <row r="994" customFormat="1" ht="14.25" x14ac:dyDescent="0.2"/>
    <row r="995" customFormat="1" ht="14.25" x14ac:dyDescent="0.2"/>
    <row r="996" customFormat="1" ht="14.25" x14ac:dyDescent="0.2"/>
    <row r="997" customFormat="1" ht="14.25" x14ac:dyDescent="0.2"/>
    <row r="998" customFormat="1" ht="14.25" x14ac:dyDescent="0.2"/>
    <row r="999" customFormat="1" ht="14.25" x14ac:dyDescent="0.2"/>
    <row r="1000" customFormat="1" ht="14.25" x14ac:dyDescent="0.2"/>
    <row r="1001" customFormat="1" ht="14.25" x14ac:dyDescent="0.2"/>
    <row r="1002" customFormat="1" ht="14.25" x14ac:dyDescent="0.2"/>
    <row r="1003" customFormat="1" ht="14.25" x14ac:dyDescent="0.2"/>
    <row r="1004" customFormat="1" ht="14.25" x14ac:dyDescent="0.2"/>
    <row r="1005" customFormat="1" ht="14.25" x14ac:dyDescent="0.2"/>
    <row r="1006" customFormat="1" ht="14.25" x14ac:dyDescent="0.2"/>
    <row r="1007" customFormat="1" ht="14.25" x14ac:dyDescent="0.2"/>
    <row r="1008" customFormat="1" ht="14.25" x14ac:dyDescent="0.2"/>
    <row r="1009" customFormat="1" ht="14.25" x14ac:dyDescent="0.2"/>
    <row r="1010" customFormat="1" ht="14.25" x14ac:dyDescent="0.2"/>
    <row r="1011" customFormat="1" ht="14.25" x14ac:dyDescent="0.2"/>
    <row r="1012" customFormat="1" ht="14.25" x14ac:dyDescent="0.2"/>
    <row r="1013" customFormat="1" ht="14.25" x14ac:dyDescent="0.2"/>
    <row r="1014" customFormat="1" ht="14.25" x14ac:dyDescent="0.2"/>
    <row r="1015" customFormat="1" ht="14.25" x14ac:dyDescent="0.2"/>
    <row r="1016" customFormat="1" ht="14.25" x14ac:dyDescent="0.2"/>
    <row r="1017" customFormat="1" ht="14.25" x14ac:dyDescent="0.2"/>
    <row r="1018" customFormat="1" ht="14.25" x14ac:dyDescent="0.2"/>
    <row r="1019" customFormat="1" ht="14.25" x14ac:dyDescent="0.2"/>
    <row r="1020" customFormat="1" ht="14.25" x14ac:dyDescent="0.2"/>
    <row r="1021" customFormat="1" ht="14.25" x14ac:dyDescent="0.2"/>
    <row r="1022" customFormat="1" ht="14.25" x14ac:dyDescent="0.2"/>
    <row r="1023" customFormat="1" ht="14.25" x14ac:dyDescent="0.2"/>
    <row r="1024" customFormat="1" ht="14.25" x14ac:dyDescent="0.2"/>
    <row r="1025" customFormat="1" ht="14.25" x14ac:dyDescent="0.2"/>
    <row r="1026" customFormat="1" ht="14.25" x14ac:dyDescent="0.2"/>
    <row r="1027" customFormat="1" ht="14.25" x14ac:dyDescent="0.2"/>
    <row r="1028" customFormat="1" ht="14.25" x14ac:dyDescent="0.2"/>
    <row r="1029" customFormat="1" ht="14.25" x14ac:dyDescent="0.2"/>
    <row r="1030" customFormat="1" ht="14.25" x14ac:dyDescent="0.2"/>
    <row r="1031" customFormat="1" ht="14.25" x14ac:dyDescent="0.2"/>
    <row r="1032" customFormat="1" ht="14.25" x14ac:dyDescent="0.2"/>
    <row r="1033" customFormat="1" ht="14.25" x14ac:dyDescent="0.2"/>
    <row r="1034" customFormat="1" ht="14.25" x14ac:dyDescent="0.2"/>
    <row r="1035" customFormat="1" ht="14.25" x14ac:dyDescent="0.2"/>
    <row r="1036" customFormat="1" ht="14.25" x14ac:dyDescent="0.2"/>
    <row r="1037" customFormat="1" ht="14.25" x14ac:dyDescent="0.2"/>
    <row r="1038" customFormat="1" ht="14.25" x14ac:dyDescent="0.2"/>
    <row r="1039" customFormat="1" ht="14.25" x14ac:dyDescent="0.2"/>
    <row r="1040" customFormat="1" ht="14.25" x14ac:dyDescent="0.2"/>
    <row r="1041" customFormat="1" ht="14.25" x14ac:dyDescent="0.2"/>
    <row r="1042" customFormat="1" ht="14.25" x14ac:dyDescent="0.2"/>
    <row r="1043" customFormat="1" ht="14.25" x14ac:dyDescent="0.2"/>
    <row r="1044" customFormat="1" ht="14.25" x14ac:dyDescent="0.2"/>
    <row r="1045" customFormat="1" ht="14.25" x14ac:dyDescent="0.2"/>
    <row r="1046" customFormat="1" ht="14.25" x14ac:dyDescent="0.2"/>
    <row r="1047" customFormat="1" ht="14.25" x14ac:dyDescent="0.2"/>
    <row r="1048" customFormat="1" ht="14.25" x14ac:dyDescent="0.2"/>
    <row r="1049" customFormat="1" ht="14.25" x14ac:dyDescent="0.2"/>
    <row r="1050" customFormat="1" ht="14.25" x14ac:dyDescent="0.2"/>
    <row r="1051" customFormat="1" ht="14.25" x14ac:dyDescent="0.2"/>
    <row r="1052" customFormat="1" ht="14.25" x14ac:dyDescent="0.2"/>
    <row r="1053" customFormat="1" ht="14.25" x14ac:dyDescent="0.2"/>
    <row r="1054" customFormat="1" ht="14.25" x14ac:dyDescent="0.2"/>
    <row r="1055" customFormat="1" ht="14.25" x14ac:dyDescent="0.2"/>
    <row r="1056" customFormat="1" ht="14.25" x14ac:dyDescent="0.2"/>
    <row r="1057" customFormat="1" ht="14.25" x14ac:dyDescent="0.2"/>
    <row r="1058" customFormat="1" ht="14.25" x14ac:dyDescent="0.2"/>
    <row r="1059" customFormat="1" ht="14.25" x14ac:dyDescent="0.2"/>
    <row r="1060" customFormat="1" ht="14.25" x14ac:dyDescent="0.2"/>
    <row r="1061" customFormat="1" ht="14.25" x14ac:dyDescent="0.2"/>
    <row r="1062" customFormat="1" ht="14.25" x14ac:dyDescent="0.2"/>
    <row r="1063" customFormat="1" ht="14.25" x14ac:dyDescent="0.2"/>
    <row r="1064" customFormat="1" ht="14.25" x14ac:dyDescent="0.2"/>
    <row r="1065" customFormat="1" ht="14.25" x14ac:dyDescent="0.2"/>
    <row r="1066" customFormat="1" ht="14.25" x14ac:dyDescent="0.2"/>
    <row r="1067" customFormat="1" ht="14.25" x14ac:dyDescent="0.2"/>
    <row r="1068" customFormat="1" ht="14.25" x14ac:dyDescent="0.2"/>
    <row r="1069" customFormat="1" ht="14.25" x14ac:dyDescent="0.2"/>
    <row r="1070" customFormat="1" ht="14.25" x14ac:dyDescent="0.2"/>
    <row r="1071" customFormat="1" ht="14.25" x14ac:dyDescent="0.2"/>
    <row r="1072" customFormat="1" ht="14.25" x14ac:dyDescent="0.2"/>
    <row r="1073" customFormat="1" ht="14.25" x14ac:dyDescent="0.2"/>
    <row r="1074" customFormat="1" ht="14.25" x14ac:dyDescent="0.2"/>
    <row r="1075" customFormat="1" ht="14.25" x14ac:dyDescent="0.2"/>
    <row r="1076" customFormat="1" ht="14.25" x14ac:dyDescent="0.2"/>
    <row r="1077" customFormat="1" ht="14.25" x14ac:dyDescent="0.2"/>
    <row r="1078" customFormat="1" ht="14.25" x14ac:dyDescent="0.2"/>
    <row r="1079" customFormat="1" ht="14.25" x14ac:dyDescent="0.2"/>
    <row r="1080" customFormat="1" ht="14.25" x14ac:dyDescent="0.2"/>
    <row r="1081" customFormat="1" ht="14.25" x14ac:dyDescent="0.2"/>
    <row r="1082" customFormat="1" ht="14.25" x14ac:dyDescent="0.2"/>
    <row r="1083" customFormat="1" ht="14.25" x14ac:dyDescent="0.2"/>
    <row r="1084" customFormat="1" ht="14.25" x14ac:dyDescent="0.2"/>
    <row r="1085" customFormat="1" ht="14.25" x14ac:dyDescent="0.2"/>
    <row r="1086" customFormat="1" ht="14.25" x14ac:dyDescent="0.2"/>
    <row r="1087" customFormat="1" ht="14.25" x14ac:dyDescent="0.2"/>
    <row r="1088" customFormat="1" ht="14.25" x14ac:dyDescent="0.2"/>
    <row r="1089" customFormat="1" ht="14.25" x14ac:dyDescent="0.2"/>
    <row r="1090" customFormat="1" ht="14.25" x14ac:dyDescent="0.2"/>
    <row r="1091" customFormat="1" ht="14.25" x14ac:dyDescent="0.2"/>
    <row r="1092" customFormat="1" ht="14.25" x14ac:dyDescent="0.2"/>
    <row r="1093" customFormat="1" ht="14.25" x14ac:dyDescent="0.2"/>
    <row r="1094" customFormat="1" ht="14.25" x14ac:dyDescent="0.2"/>
    <row r="1095" customFormat="1" ht="14.25" x14ac:dyDescent="0.2"/>
    <row r="1096" customFormat="1" ht="14.25" x14ac:dyDescent="0.2"/>
    <row r="1097" customFormat="1" ht="14.25" x14ac:dyDescent="0.2"/>
    <row r="1098" customFormat="1" ht="14.25" x14ac:dyDescent="0.2"/>
    <row r="1099" customFormat="1" ht="14.25" x14ac:dyDescent="0.2"/>
    <row r="1100" customFormat="1" ht="14.25" x14ac:dyDescent="0.2"/>
    <row r="1101" customFormat="1" ht="14.25" x14ac:dyDescent="0.2"/>
    <row r="1102" customFormat="1" ht="14.25" x14ac:dyDescent="0.2"/>
    <row r="1103" customFormat="1" ht="14.25" x14ac:dyDescent="0.2"/>
    <row r="1104" customFormat="1" ht="14.25" x14ac:dyDescent="0.2"/>
    <row r="1105" customFormat="1" ht="14.25" x14ac:dyDescent="0.2"/>
    <row r="1106" customFormat="1" ht="14.25" x14ac:dyDescent="0.2"/>
    <row r="1107" customFormat="1" ht="14.25" x14ac:dyDescent="0.2"/>
    <row r="1108" customFormat="1" ht="14.25" x14ac:dyDescent="0.2"/>
    <row r="1109" customFormat="1" ht="14.25" x14ac:dyDescent="0.2"/>
    <row r="1110" customFormat="1" ht="14.25" x14ac:dyDescent="0.2"/>
    <row r="1111" customFormat="1" ht="14.25" x14ac:dyDescent="0.2"/>
    <row r="1112" customFormat="1" ht="14.25" x14ac:dyDescent="0.2"/>
    <row r="1113" customFormat="1" ht="14.25" x14ac:dyDescent="0.2"/>
    <row r="1114" customFormat="1" ht="14.25" x14ac:dyDescent="0.2"/>
    <row r="1115" customFormat="1" ht="14.25" x14ac:dyDescent="0.2"/>
    <row r="1116" customFormat="1" ht="14.25" x14ac:dyDescent="0.2"/>
    <row r="1117" customFormat="1" ht="14.25" x14ac:dyDescent="0.2"/>
    <row r="1118" customFormat="1" ht="14.25" x14ac:dyDescent="0.2"/>
    <row r="1119" customFormat="1" ht="14.25" x14ac:dyDescent="0.2"/>
    <row r="1120" customFormat="1" ht="14.25" x14ac:dyDescent="0.2"/>
    <row r="1121" customFormat="1" ht="14.25" x14ac:dyDescent="0.2"/>
    <row r="1122" customFormat="1" ht="14.25" x14ac:dyDescent="0.2"/>
    <row r="1123" customFormat="1" ht="14.25" x14ac:dyDescent="0.2"/>
    <row r="1124" customFormat="1" ht="14.25" x14ac:dyDescent="0.2"/>
    <row r="1125" customFormat="1" ht="14.25" x14ac:dyDescent="0.2"/>
    <row r="1126" customFormat="1" ht="14.25" x14ac:dyDescent="0.2"/>
    <row r="1127" customFormat="1" ht="14.25" x14ac:dyDescent="0.2"/>
    <row r="1128" customFormat="1" ht="14.25" x14ac:dyDescent="0.2"/>
    <row r="1129" customFormat="1" ht="14.25" x14ac:dyDescent="0.2"/>
    <row r="1130" customFormat="1" ht="14.25" x14ac:dyDescent="0.2"/>
    <row r="1131" customFormat="1" ht="14.25" x14ac:dyDescent="0.2"/>
    <row r="1132" customFormat="1" ht="14.25" x14ac:dyDescent="0.2"/>
    <row r="1133" customFormat="1" ht="14.25" x14ac:dyDescent="0.2"/>
    <row r="1134" customFormat="1" ht="14.25" x14ac:dyDescent="0.2"/>
    <row r="1135" customFormat="1" ht="14.25" x14ac:dyDescent="0.2"/>
    <row r="1136" customFormat="1" ht="14.25" x14ac:dyDescent="0.2"/>
    <row r="1137" customFormat="1" ht="14.25" x14ac:dyDescent="0.2"/>
    <row r="1138" customFormat="1" ht="14.25" x14ac:dyDescent="0.2"/>
    <row r="1139" customFormat="1" ht="14.25" x14ac:dyDescent="0.2"/>
    <row r="1140" customFormat="1" ht="14.25" x14ac:dyDescent="0.2"/>
    <row r="1141" customFormat="1" ht="14.25" x14ac:dyDescent="0.2"/>
    <row r="1142" customFormat="1" ht="14.25" x14ac:dyDescent="0.2"/>
    <row r="1143" customFormat="1" ht="14.25" x14ac:dyDescent="0.2"/>
    <row r="1144" customFormat="1" ht="14.25" x14ac:dyDescent="0.2"/>
    <row r="1145" customFormat="1" ht="14.25" x14ac:dyDescent="0.2"/>
    <row r="1146" customFormat="1" ht="14.25" x14ac:dyDescent="0.2"/>
    <row r="1147" customFormat="1" ht="14.25" x14ac:dyDescent="0.2"/>
    <row r="1148" customFormat="1" ht="14.25" x14ac:dyDescent="0.2"/>
    <row r="1149" customFormat="1" ht="14.25" x14ac:dyDescent="0.2"/>
    <row r="1150" customFormat="1" ht="14.25" x14ac:dyDescent="0.2"/>
    <row r="1151" customFormat="1" ht="14.25" x14ac:dyDescent="0.2"/>
    <row r="1152" customFormat="1" ht="14.25" x14ac:dyDescent="0.2"/>
    <row r="1153" customFormat="1" ht="14.25" x14ac:dyDescent="0.2"/>
    <row r="1154" customFormat="1" ht="14.25" x14ac:dyDescent="0.2"/>
    <row r="1155" customFormat="1" ht="14.25" x14ac:dyDescent="0.2"/>
    <row r="1156" customFormat="1" ht="14.25" x14ac:dyDescent="0.2"/>
    <row r="1157" customFormat="1" ht="14.25" x14ac:dyDescent="0.2"/>
    <row r="1158" customFormat="1" ht="14.25" x14ac:dyDescent="0.2"/>
    <row r="1159" customFormat="1" ht="14.25" x14ac:dyDescent="0.2"/>
    <row r="1160" customFormat="1" ht="14.25" x14ac:dyDescent="0.2"/>
    <row r="1161" customFormat="1" ht="14.25" x14ac:dyDescent="0.2"/>
    <row r="1162" customFormat="1" ht="14.25" x14ac:dyDescent="0.2"/>
    <row r="1163" customFormat="1" ht="14.25" x14ac:dyDescent="0.2"/>
    <row r="1164" customFormat="1" ht="14.25" x14ac:dyDescent="0.2"/>
    <row r="1165" customFormat="1" ht="14.25" x14ac:dyDescent="0.2"/>
    <row r="1166" customFormat="1" ht="14.25" x14ac:dyDescent="0.2"/>
    <row r="1167" customFormat="1" ht="14.25" x14ac:dyDescent="0.2"/>
    <row r="1168" customFormat="1" ht="14.25" x14ac:dyDescent="0.2"/>
    <row r="1169" customFormat="1" ht="14.25" x14ac:dyDescent="0.2"/>
    <row r="1170" customFormat="1" ht="14.25" x14ac:dyDescent="0.2"/>
    <row r="1171" customFormat="1" ht="14.25" x14ac:dyDescent="0.2"/>
    <row r="1172" customFormat="1" ht="14.25" x14ac:dyDescent="0.2"/>
    <row r="1173" customFormat="1" ht="14.25" x14ac:dyDescent="0.2"/>
    <row r="1174" customFormat="1" ht="14.25" x14ac:dyDescent="0.2"/>
    <row r="1175" customFormat="1" ht="14.25" x14ac:dyDescent="0.2"/>
    <row r="1176" customFormat="1" ht="14.25" x14ac:dyDescent="0.2"/>
    <row r="1177" customFormat="1" ht="14.25" x14ac:dyDescent="0.2"/>
    <row r="1178" customFormat="1" ht="14.25" x14ac:dyDescent="0.2"/>
    <row r="1179" customFormat="1" ht="14.25" x14ac:dyDescent="0.2"/>
    <row r="1180" customFormat="1" ht="14.25" x14ac:dyDescent="0.2"/>
    <row r="1181" customFormat="1" ht="14.25" x14ac:dyDescent="0.2"/>
    <row r="1182" customFormat="1" ht="14.25" x14ac:dyDescent="0.2"/>
    <row r="1183" customFormat="1" ht="14.25" x14ac:dyDescent="0.2"/>
    <row r="1184" customFormat="1" ht="14.25" x14ac:dyDescent="0.2"/>
    <row r="1185" customFormat="1" ht="14.25" x14ac:dyDescent="0.2"/>
    <row r="1186" customFormat="1" ht="14.25" x14ac:dyDescent="0.2"/>
    <row r="1187" customFormat="1" ht="14.25" x14ac:dyDescent="0.2"/>
    <row r="1188" customFormat="1" ht="14.25" x14ac:dyDescent="0.2"/>
    <row r="1189" customFormat="1" ht="14.25" x14ac:dyDescent="0.2"/>
    <row r="1190" customFormat="1" ht="14.25" x14ac:dyDescent="0.2"/>
    <row r="1191" customFormat="1" ht="14.25" x14ac:dyDescent="0.2"/>
    <row r="1192" customFormat="1" ht="14.25" x14ac:dyDescent="0.2"/>
    <row r="1193" customFormat="1" ht="14.25" x14ac:dyDescent="0.2"/>
    <row r="1194" customFormat="1" ht="14.25" x14ac:dyDescent="0.2"/>
    <row r="1195" customFormat="1" ht="14.25" x14ac:dyDescent="0.2"/>
    <row r="1196" customFormat="1" ht="14.25" x14ac:dyDescent="0.2"/>
    <row r="1197" customFormat="1" ht="14.25" x14ac:dyDescent="0.2"/>
    <row r="1198" customFormat="1" ht="14.25" x14ac:dyDescent="0.2"/>
    <row r="1199" customFormat="1" ht="14.25" x14ac:dyDescent="0.2"/>
    <row r="1200" customFormat="1" ht="14.25" x14ac:dyDescent="0.2"/>
    <row r="1201" customFormat="1" ht="14.25" x14ac:dyDescent="0.2"/>
    <row r="1202" customFormat="1" ht="14.25" x14ac:dyDescent="0.2"/>
    <row r="1203" customFormat="1" ht="14.25" x14ac:dyDescent="0.2"/>
    <row r="1204" customFormat="1" ht="14.25" x14ac:dyDescent="0.2"/>
    <row r="1205" customFormat="1" ht="14.25" x14ac:dyDescent="0.2"/>
    <row r="1206" customFormat="1" ht="14.25" x14ac:dyDescent="0.2"/>
    <row r="1207" customFormat="1" ht="14.25" x14ac:dyDescent="0.2"/>
    <row r="1208" customFormat="1" ht="14.25" x14ac:dyDescent="0.2"/>
    <row r="1209" customFormat="1" ht="14.25" x14ac:dyDescent="0.2"/>
    <row r="1210" customFormat="1" ht="14.25" x14ac:dyDescent="0.2"/>
    <row r="1211" customFormat="1" ht="14.25" x14ac:dyDescent="0.2"/>
    <row r="1212" customFormat="1" ht="14.25" x14ac:dyDescent="0.2"/>
    <row r="1213" customFormat="1" ht="14.25" x14ac:dyDescent="0.2"/>
    <row r="1214" customFormat="1" ht="14.25" x14ac:dyDescent="0.2"/>
    <row r="1215" customFormat="1" ht="14.25" x14ac:dyDescent="0.2"/>
    <row r="1216" customFormat="1" ht="14.25" x14ac:dyDescent="0.2"/>
    <row r="1217" customFormat="1" ht="14.25" x14ac:dyDescent="0.2"/>
    <row r="1218" customFormat="1" ht="14.25" x14ac:dyDescent="0.2"/>
    <row r="1219" customFormat="1" ht="14.25" x14ac:dyDescent="0.2"/>
    <row r="1220" customFormat="1" ht="14.25" x14ac:dyDescent="0.2"/>
    <row r="1221" customFormat="1" ht="14.25" x14ac:dyDescent="0.2"/>
    <row r="1222" customFormat="1" ht="14.25" x14ac:dyDescent="0.2"/>
    <row r="1223" customFormat="1" ht="14.25" x14ac:dyDescent="0.2"/>
    <row r="1224" customFormat="1" ht="14.25" x14ac:dyDescent="0.2"/>
    <row r="1225" customFormat="1" ht="14.25" x14ac:dyDescent="0.2"/>
    <row r="1226" customFormat="1" ht="14.25" x14ac:dyDescent="0.2"/>
    <row r="1227" customFormat="1" ht="14.25" x14ac:dyDescent="0.2"/>
    <row r="1228" customFormat="1" ht="14.25" x14ac:dyDescent="0.2"/>
    <row r="1229" customFormat="1" ht="14.25" x14ac:dyDescent="0.2"/>
    <row r="1230" customFormat="1" ht="14.25" x14ac:dyDescent="0.2"/>
    <row r="1231" customFormat="1" ht="14.25" x14ac:dyDescent="0.2"/>
    <row r="1232" customFormat="1" ht="14.25" x14ac:dyDescent="0.2"/>
    <row r="1233" customFormat="1" ht="14.25" x14ac:dyDescent="0.2"/>
    <row r="1234" customFormat="1" ht="14.25" x14ac:dyDescent="0.2"/>
    <row r="1235" customFormat="1" ht="14.25" x14ac:dyDescent="0.2"/>
    <row r="1236" customFormat="1" ht="14.25" x14ac:dyDescent="0.2"/>
    <row r="1237" customFormat="1" ht="14.25" x14ac:dyDescent="0.2"/>
    <row r="1238" customFormat="1" ht="14.25" x14ac:dyDescent="0.2"/>
    <row r="1239" customFormat="1" ht="14.25" x14ac:dyDescent="0.2"/>
    <row r="1240" customFormat="1" ht="14.25" x14ac:dyDescent="0.2"/>
    <row r="1241" customFormat="1" ht="14.25" x14ac:dyDescent="0.2"/>
    <row r="1242" customFormat="1" ht="14.25" x14ac:dyDescent="0.2"/>
    <row r="1243" customFormat="1" ht="14.25" x14ac:dyDescent="0.2"/>
    <row r="1244" customFormat="1" ht="14.25" x14ac:dyDescent="0.2"/>
    <row r="1245" customFormat="1" ht="14.25" x14ac:dyDescent="0.2"/>
    <row r="1246" customFormat="1" ht="14.25" x14ac:dyDescent="0.2"/>
    <row r="1247" customFormat="1" ht="14.25" x14ac:dyDescent="0.2"/>
    <row r="1248" customFormat="1" ht="14.25" x14ac:dyDescent="0.2"/>
    <row r="1249" customFormat="1" ht="14.25" x14ac:dyDescent="0.2"/>
    <row r="1250" customFormat="1" ht="14.25" x14ac:dyDescent="0.2"/>
    <row r="1251" customFormat="1" ht="14.25" x14ac:dyDescent="0.2"/>
    <row r="1252" customFormat="1" ht="14.25" x14ac:dyDescent="0.2"/>
    <row r="1253" customFormat="1" ht="14.25" x14ac:dyDescent="0.2"/>
    <row r="1254" customFormat="1" ht="14.25" x14ac:dyDescent="0.2"/>
    <row r="1255" customFormat="1" ht="14.25" x14ac:dyDescent="0.2"/>
    <row r="1256" customFormat="1" ht="14.25" x14ac:dyDescent="0.2"/>
    <row r="1257" customFormat="1" ht="14.25" x14ac:dyDescent="0.2"/>
    <row r="1258" customFormat="1" ht="14.25" x14ac:dyDescent="0.2"/>
    <row r="1259" customFormat="1" ht="14.25" x14ac:dyDescent="0.2"/>
    <row r="1260" customFormat="1" ht="14.25" x14ac:dyDescent="0.2"/>
    <row r="1261" customFormat="1" ht="14.25" x14ac:dyDescent="0.2"/>
    <row r="1262" customFormat="1" ht="14.25" x14ac:dyDescent="0.2"/>
    <row r="1263" customFormat="1" ht="14.25" x14ac:dyDescent="0.2"/>
    <row r="1264" customFormat="1" ht="14.25" x14ac:dyDescent="0.2"/>
    <row r="1265" customFormat="1" ht="14.25" x14ac:dyDescent="0.2"/>
    <row r="1266" customFormat="1" ht="14.25" x14ac:dyDescent="0.2"/>
    <row r="1267" customFormat="1" ht="14.25" x14ac:dyDescent="0.2"/>
    <row r="1268" customFormat="1" ht="14.25" x14ac:dyDescent="0.2"/>
    <row r="1269" customFormat="1" ht="14.25" x14ac:dyDescent="0.2"/>
    <row r="1270" customFormat="1" ht="14.25" x14ac:dyDescent="0.2"/>
    <row r="1271" customFormat="1" ht="14.25" x14ac:dyDescent="0.2"/>
    <row r="1272" customFormat="1" ht="14.25" x14ac:dyDescent="0.2"/>
    <row r="1273" customFormat="1" ht="14.25" x14ac:dyDescent="0.2"/>
    <row r="1274" customFormat="1" ht="14.25" x14ac:dyDescent="0.2"/>
    <row r="1275" customFormat="1" ht="14.25" x14ac:dyDescent="0.2"/>
    <row r="1276" customFormat="1" ht="14.25" x14ac:dyDescent="0.2"/>
    <row r="1277" customFormat="1" ht="14.25" x14ac:dyDescent="0.2"/>
    <row r="1278" customFormat="1" ht="14.25" x14ac:dyDescent="0.2"/>
    <row r="1279" customFormat="1" ht="14.25" x14ac:dyDescent="0.2"/>
    <row r="1280" customFormat="1" ht="14.25" x14ac:dyDescent="0.2"/>
    <row r="1281" customFormat="1" ht="14.25" x14ac:dyDescent="0.2"/>
    <row r="1282" customFormat="1" ht="14.25" x14ac:dyDescent="0.2"/>
    <row r="1283" customFormat="1" ht="14.25" x14ac:dyDescent="0.2"/>
    <row r="1284" customFormat="1" ht="14.25" x14ac:dyDescent="0.2"/>
    <row r="1285" customFormat="1" ht="14.25" x14ac:dyDescent="0.2"/>
    <row r="1286" customFormat="1" ht="14.25" x14ac:dyDescent="0.2"/>
    <row r="1287" customFormat="1" ht="14.25" x14ac:dyDescent="0.2"/>
    <row r="1288" customFormat="1" ht="14.25" x14ac:dyDescent="0.2"/>
    <row r="1289" customFormat="1" ht="14.25" x14ac:dyDescent="0.2"/>
    <row r="1290" customFormat="1" ht="14.25" x14ac:dyDescent="0.2"/>
    <row r="1291" customFormat="1" ht="14.25" x14ac:dyDescent="0.2"/>
    <row r="1292" customFormat="1" ht="14.25" x14ac:dyDescent="0.2"/>
    <row r="1293" customFormat="1" ht="14.25" x14ac:dyDescent="0.2"/>
    <row r="1294" customFormat="1" ht="14.25" x14ac:dyDescent="0.2"/>
    <row r="1295" customFormat="1" ht="14.25" x14ac:dyDescent="0.2"/>
    <row r="1296" customFormat="1" ht="14.25" x14ac:dyDescent="0.2"/>
    <row r="1297" customFormat="1" ht="14.25" x14ac:dyDescent="0.2"/>
    <row r="1298" customFormat="1" ht="14.25" x14ac:dyDescent="0.2"/>
    <row r="1299" customFormat="1" ht="14.25" x14ac:dyDescent="0.2"/>
    <row r="1300" customFormat="1" ht="14.25" x14ac:dyDescent="0.2"/>
    <row r="1301" customFormat="1" ht="14.25" x14ac:dyDescent="0.2"/>
    <row r="1302" customFormat="1" ht="14.25" x14ac:dyDescent="0.2"/>
    <row r="1303" customFormat="1" ht="14.25" x14ac:dyDescent="0.2"/>
    <row r="1304" customFormat="1" ht="14.25" x14ac:dyDescent="0.2"/>
    <row r="1305" customFormat="1" ht="14.25" x14ac:dyDescent="0.2"/>
    <row r="1306" customFormat="1" ht="14.25" x14ac:dyDescent="0.2"/>
    <row r="1307" customFormat="1" ht="14.25" x14ac:dyDescent="0.2"/>
    <row r="1308" customFormat="1" ht="14.25" x14ac:dyDescent="0.2"/>
    <row r="1309" customFormat="1" ht="14.25" x14ac:dyDescent="0.2"/>
    <row r="1310" customFormat="1" ht="14.25" x14ac:dyDescent="0.2"/>
    <row r="1311" customFormat="1" ht="14.25" x14ac:dyDescent="0.2"/>
    <row r="1312" customFormat="1" ht="14.25" x14ac:dyDescent="0.2"/>
    <row r="1313" customFormat="1" ht="14.25" x14ac:dyDescent="0.2"/>
    <row r="1314" customFormat="1" ht="14.25" x14ac:dyDescent="0.2"/>
    <row r="1315" customFormat="1" ht="14.25" x14ac:dyDescent="0.2"/>
    <row r="1316" customFormat="1" ht="14.25" x14ac:dyDescent="0.2"/>
    <row r="1317" customFormat="1" ht="14.25" x14ac:dyDescent="0.2"/>
    <row r="1318" customFormat="1" ht="14.25" x14ac:dyDescent="0.2"/>
    <row r="1319" customFormat="1" ht="14.25" x14ac:dyDescent="0.2"/>
    <row r="1320" customFormat="1" ht="14.25" x14ac:dyDescent="0.2"/>
    <row r="1321" customFormat="1" ht="14.25" x14ac:dyDescent="0.2"/>
    <row r="1322" customFormat="1" ht="14.25" x14ac:dyDescent="0.2"/>
    <row r="1323" customFormat="1" ht="14.25" x14ac:dyDescent="0.2"/>
    <row r="1324" customFormat="1" ht="14.25" x14ac:dyDescent="0.2"/>
    <row r="1325" customFormat="1" ht="14.25" x14ac:dyDescent="0.2"/>
    <row r="1326" customFormat="1" ht="14.25" x14ac:dyDescent="0.2"/>
    <row r="1327" customFormat="1" ht="14.25" x14ac:dyDescent="0.2"/>
    <row r="1328" customFormat="1" ht="14.25" x14ac:dyDescent="0.2"/>
    <row r="1329" customFormat="1" ht="14.25" x14ac:dyDescent="0.2"/>
    <row r="1330" customFormat="1" ht="14.25" x14ac:dyDescent="0.2"/>
    <row r="1331" customFormat="1" ht="14.25" x14ac:dyDescent="0.2"/>
    <row r="1332" customFormat="1" ht="14.25" x14ac:dyDescent="0.2"/>
    <row r="1333" customFormat="1" ht="14.25" x14ac:dyDescent="0.2"/>
    <row r="1334" customFormat="1" ht="14.25" x14ac:dyDescent="0.2"/>
    <row r="1335" customFormat="1" ht="14.25" x14ac:dyDescent="0.2"/>
    <row r="1336" customFormat="1" ht="14.25" x14ac:dyDescent="0.2"/>
    <row r="1337" customFormat="1" ht="14.25" x14ac:dyDescent="0.2"/>
    <row r="1338" customFormat="1" ht="14.25" x14ac:dyDescent="0.2"/>
    <row r="1339" customFormat="1" ht="14.25" x14ac:dyDescent="0.2"/>
    <row r="1340" customFormat="1" ht="14.25" x14ac:dyDescent="0.2"/>
    <row r="1341" customFormat="1" ht="14.25" x14ac:dyDescent="0.2"/>
    <row r="1342" customFormat="1" ht="14.25" x14ac:dyDescent="0.2"/>
    <row r="1343" customFormat="1" ht="14.25" x14ac:dyDescent="0.2"/>
    <row r="1344" customFormat="1" ht="14.25" x14ac:dyDescent="0.2"/>
    <row r="1345" customFormat="1" ht="14.25" x14ac:dyDescent="0.2"/>
    <row r="1346" customFormat="1" ht="14.25" x14ac:dyDescent="0.2"/>
    <row r="1347" customFormat="1" ht="14.25" x14ac:dyDescent="0.2"/>
    <row r="1348" customFormat="1" ht="14.25" x14ac:dyDescent="0.2"/>
    <row r="1349" customFormat="1" ht="14.25" x14ac:dyDescent="0.2"/>
    <row r="1350" customFormat="1" ht="14.25" x14ac:dyDescent="0.2"/>
    <row r="1351" customFormat="1" ht="14.25" x14ac:dyDescent="0.2"/>
    <row r="1352" customFormat="1" ht="14.25" x14ac:dyDescent="0.2"/>
    <row r="1353" customFormat="1" ht="14.25" x14ac:dyDescent="0.2"/>
    <row r="1354" customFormat="1" ht="14.25" x14ac:dyDescent="0.2"/>
    <row r="1355" customFormat="1" ht="14.25" x14ac:dyDescent="0.2"/>
    <row r="1356" customFormat="1" ht="14.25" x14ac:dyDescent="0.2"/>
    <row r="1357" customFormat="1" ht="14.25" x14ac:dyDescent="0.2"/>
    <row r="1358" customFormat="1" ht="14.25" x14ac:dyDescent="0.2"/>
    <row r="1359" customFormat="1" ht="14.25" x14ac:dyDescent="0.2"/>
    <row r="1360" customFormat="1" ht="14.25" x14ac:dyDescent="0.2"/>
    <row r="1361" customFormat="1" ht="14.25" x14ac:dyDescent="0.2"/>
    <row r="1362" customFormat="1" ht="14.25" x14ac:dyDescent="0.2"/>
    <row r="1363" customFormat="1" ht="14.25" x14ac:dyDescent="0.2"/>
    <row r="1364" customFormat="1" ht="14.25" x14ac:dyDescent="0.2"/>
    <row r="1365" customFormat="1" ht="14.25" x14ac:dyDescent="0.2"/>
    <row r="1366" customFormat="1" ht="14.25" x14ac:dyDescent="0.2"/>
    <row r="1367" customFormat="1" ht="14.25" x14ac:dyDescent="0.2"/>
    <row r="1368" customFormat="1" ht="14.25" x14ac:dyDescent="0.2"/>
    <row r="1369" customFormat="1" ht="14.25" x14ac:dyDescent="0.2"/>
    <row r="1370" customFormat="1" ht="14.25" x14ac:dyDescent="0.2"/>
    <row r="1371" customFormat="1" ht="14.25" x14ac:dyDescent="0.2"/>
    <row r="1372" customFormat="1" ht="14.25" x14ac:dyDescent="0.2"/>
    <row r="1373" customFormat="1" ht="14.25" x14ac:dyDescent="0.2"/>
    <row r="1374" customFormat="1" ht="14.25" x14ac:dyDescent="0.2"/>
    <row r="1375" customFormat="1" ht="14.25" x14ac:dyDescent="0.2"/>
    <row r="1376" customFormat="1" ht="14.25" x14ac:dyDescent="0.2"/>
    <row r="1377" customFormat="1" ht="14.25" x14ac:dyDescent="0.2"/>
    <row r="1378" customFormat="1" ht="14.25" x14ac:dyDescent="0.2"/>
    <row r="1379" customFormat="1" ht="14.25" x14ac:dyDescent="0.2"/>
    <row r="1380" customFormat="1" ht="14.25" x14ac:dyDescent="0.2"/>
    <row r="1381" customFormat="1" ht="14.25" x14ac:dyDescent="0.2"/>
    <row r="1382" customFormat="1" ht="14.25" x14ac:dyDescent="0.2"/>
    <row r="1383" customFormat="1" ht="14.25" x14ac:dyDescent="0.2"/>
    <row r="1384" customFormat="1" ht="14.25" x14ac:dyDescent="0.2"/>
    <row r="1385" customFormat="1" ht="14.25" x14ac:dyDescent="0.2"/>
    <row r="1386" customFormat="1" ht="14.25" x14ac:dyDescent="0.2"/>
    <row r="1387" customFormat="1" ht="14.25" x14ac:dyDescent="0.2"/>
    <row r="1388" customFormat="1" ht="14.25" x14ac:dyDescent="0.2"/>
    <row r="1389" customFormat="1" ht="14.25" x14ac:dyDescent="0.2"/>
    <row r="1390" customFormat="1" ht="14.25" x14ac:dyDescent="0.2"/>
    <row r="1391" customFormat="1" ht="14.25" x14ac:dyDescent="0.2"/>
    <row r="1392" customFormat="1" ht="14.25" x14ac:dyDescent="0.2"/>
    <row r="1393" customFormat="1" ht="14.25" x14ac:dyDescent="0.2"/>
    <row r="1394" customFormat="1" ht="14.25" x14ac:dyDescent="0.2"/>
    <row r="1395" customFormat="1" ht="14.25" x14ac:dyDescent="0.2"/>
    <row r="1396" customFormat="1" ht="14.25" x14ac:dyDescent="0.2"/>
    <row r="1397" customFormat="1" ht="14.25" x14ac:dyDescent="0.2"/>
    <row r="1398" customFormat="1" ht="14.25" x14ac:dyDescent="0.2"/>
    <row r="1399" customFormat="1" ht="14.25" x14ac:dyDescent="0.2"/>
    <row r="1400" customFormat="1" ht="14.25" x14ac:dyDescent="0.2"/>
    <row r="1401" customFormat="1" ht="14.25" x14ac:dyDescent="0.2"/>
    <row r="1402" customFormat="1" ht="14.25" x14ac:dyDescent="0.2"/>
    <row r="1403" customFormat="1" ht="14.25" x14ac:dyDescent="0.2"/>
    <row r="1404" customFormat="1" ht="14.25" x14ac:dyDescent="0.2"/>
    <row r="1405" customFormat="1" ht="14.25" x14ac:dyDescent="0.2"/>
    <row r="1406" customFormat="1" ht="14.25" x14ac:dyDescent="0.2"/>
    <row r="1407" customFormat="1" ht="14.25" x14ac:dyDescent="0.2"/>
    <row r="1408" customFormat="1" ht="14.25" x14ac:dyDescent="0.2"/>
    <row r="1409" customFormat="1" ht="14.25" x14ac:dyDescent="0.2"/>
    <row r="1410" customFormat="1" ht="14.25" x14ac:dyDescent="0.2"/>
    <row r="1411" customFormat="1" ht="14.25" x14ac:dyDescent="0.2"/>
    <row r="1412" customFormat="1" ht="14.25" x14ac:dyDescent="0.2"/>
    <row r="1413" customFormat="1" ht="14.25" x14ac:dyDescent="0.2"/>
    <row r="1414" customFormat="1" ht="14.25" x14ac:dyDescent="0.2"/>
    <row r="1415" customFormat="1" ht="14.25" x14ac:dyDescent="0.2"/>
    <row r="1416" customFormat="1" ht="14.25" x14ac:dyDescent="0.2"/>
    <row r="1417" customFormat="1" ht="14.25" x14ac:dyDescent="0.2"/>
    <row r="1418" customFormat="1" ht="14.25" x14ac:dyDescent="0.2"/>
    <row r="1419" customFormat="1" ht="14.25" x14ac:dyDescent="0.2"/>
    <row r="1420" customFormat="1" ht="14.25" x14ac:dyDescent="0.2"/>
    <row r="1421" customFormat="1" ht="14.25" x14ac:dyDescent="0.2"/>
    <row r="1422" customFormat="1" ht="14.25" x14ac:dyDescent="0.2"/>
    <row r="1423" customFormat="1" ht="14.25" x14ac:dyDescent="0.2"/>
    <row r="1424" customFormat="1" ht="14.25" x14ac:dyDescent="0.2"/>
    <row r="1425" customFormat="1" ht="14.25" x14ac:dyDescent="0.2"/>
    <row r="1426" customFormat="1" ht="14.25" x14ac:dyDescent="0.2"/>
    <row r="1427" customFormat="1" ht="14.25" x14ac:dyDescent="0.2"/>
    <row r="1428" customFormat="1" ht="14.25" x14ac:dyDescent="0.2"/>
    <row r="1429" customFormat="1" ht="14.25" x14ac:dyDescent="0.2"/>
    <row r="1430" customFormat="1" ht="14.25" x14ac:dyDescent="0.2"/>
    <row r="1431" customFormat="1" ht="14.25" x14ac:dyDescent="0.2"/>
    <row r="1432" customFormat="1" ht="14.25" x14ac:dyDescent="0.2"/>
    <row r="1433" customFormat="1" ht="14.25" x14ac:dyDescent="0.2"/>
    <row r="1434" customFormat="1" ht="14.25" x14ac:dyDescent="0.2"/>
    <row r="1435" customFormat="1" ht="14.25" x14ac:dyDescent="0.2"/>
    <row r="1436" customFormat="1" ht="14.25" x14ac:dyDescent="0.2"/>
    <row r="1437" customFormat="1" ht="14.25" x14ac:dyDescent="0.2"/>
    <row r="1438" customFormat="1" ht="14.25" x14ac:dyDescent="0.2"/>
    <row r="1439" customFormat="1" ht="14.25" x14ac:dyDescent="0.2"/>
    <row r="1440" customFormat="1" ht="14.25" x14ac:dyDescent="0.2"/>
    <row r="1441" customFormat="1" ht="14.25" x14ac:dyDescent="0.2"/>
    <row r="1442" customFormat="1" ht="14.25" x14ac:dyDescent="0.2"/>
    <row r="1443" customFormat="1" ht="14.25" x14ac:dyDescent="0.2"/>
    <row r="1444" customFormat="1" ht="14.25" x14ac:dyDescent="0.2"/>
    <row r="1445" customFormat="1" ht="14.25" x14ac:dyDescent="0.2"/>
    <row r="1446" customFormat="1" ht="14.25" x14ac:dyDescent="0.2"/>
    <row r="1447" customFormat="1" ht="14.25" x14ac:dyDescent="0.2"/>
    <row r="1448" customFormat="1" ht="14.25" x14ac:dyDescent="0.2"/>
    <row r="1449" customFormat="1" ht="14.25" x14ac:dyDescent="0.2"/>
    <row r="1450" customFormat="1" ht="14.25" x14ac:dyDescent="0.2"/>
    <row r="1451" customFormat="1" ht="14.25" x14ac:dyDescent="0.2"/>
    <row r="1452" customFormat="1" ht="14.25" x14ac:dyDescent="0.2"/>
    <row r="1453" customFormat="1" ht="14.25" x14ac:dyDescent="0.2"/>
    <row r="1454" customFormat="1" ht="14.25" x14ac:dyDescent="0.2"/>
    <row r="1455" customFormat="1" ht="14.25" x14ac:dyDescent="0.2"/>
    <row r="1456" customFormat="1" ht="14.25" x14ac:dyDescent="0.2"/>
    <row r="1457" customFormat="1" ht="14.25" x14ac:dyDescent="0.2"/>
    <row r="1458" customFormat="1" ht="14.25" x14ac:dyDescent="0.2"/>
    <row r="1459" customFormat="1" ht="14.25" x14ac:dyDescent="0.2"/>
    <row r="1460" customFormat="1" ht="14.25" x14ac:dyDescent="0.2"/>
    <row r="1461" customFormat="1" ht="14.25" x14ac:dyDescent="0.2"/>
    <row r="1462" customFormat="1" ht="14.25" x14ac:dyDescent="0.2"/>
    <row r="1463" customFormat="1" ht="14.25" x14ac:dyDescent="0.2"/>
    <row r="1464" customFormat="1" ht="14.25" x14ac:dyDescent="0.2"/>
    <row r="1465" customFormat="1" ht="14.25" x14ac:dyDescent="0.2"/>
    <row r="1466" customFormat="1" ht="14.25" x14ac:dyDescent="0.2"/>
    <row r="1467" customFormat="1" ht="14.25" x14ac:dyDescent="0.2"/>
    <row r="1468" customFormat="1" ht="14.25" x14ac:dyDescent="0.2"/>
    <row r="1469" customFormat="1" ht="14.25" x14ac:dyDescent="0.2"/>
    <row r="1470" customFormat="1" ht="14.25" x14ac:dyDescent="0.2"/>
    <row r="1471" customFormat="1" ht="14.25" x14ac:dyDescent="0.2"/>
    <row r="1472" customFormat="1" ht="14.25" x14ac:dyDescent="0.2"/>
    <row r="1473" customFormat="1" ht="14.25" x14ac:dyDescent="0.2"/>
    <row r="1474" customFormat="1" ht="14.25" x14ac:dyDescent="0.2"/>
    <row r="1475" customFormat="1" ht="14.25" x14ac:dyDescent="0.2"/>
    <row r="1476" customFormat="1" ht="14.25" x14ac:dyDescent="0.2"/>
    <row r="1477" customFormat="1" ht="14.25" x14ac:dyDescent="0.2"/>
    <row r="1478" customFormat="1" ht="14.25" x14ac:dyDescent="0.2"/>
    <row r="1479" customFormat="1" ht="14.25" x14ac:dyDescent="0.2"/>
    <row r="1480" customFormat="1" ht="14.25" x14ac:dyDescent="0.2"/>
    <row r="1481" customFormat="1" ht="14.25" x14ac:dyDescent="0.2"/>
    <row r="1482" customFormat="1" ht="14.25" x14ac:dyDescent="0.2"/>
    <row r="1483" customFormat="1" ht="14.25" x14ac:dyDescent="0.2"/>
    <row r="1484" customFormat="1" ht="14.25" x14ac:dyDescent="0.2"/>
    <row r="1485" customFormat="1" ht="14.25" x14ac:dyDescent="0.2"/>
    <row r="1486" customFormat="1" ht="14.25" x14ac:dyDescent="0.2"/>
    <row r="1487" customFormat="1" ht="14.25" x14ac:dyDescent="0.2"/>
    <row r="1488" customFormat="1" ht="14.25" x14ac:dyDescent="0.2"/>
    <row r="1489" customFormat="1" ht="14.25" x14ac:dyDescent="0.2"/>
    <row r="1490" customFormat="1" ht="14.25" x14ac:dyDescent="0.2"/>
    <row r="1491" customFormat="1" ht="14.25" x14ac:dyDescent="0.2"/>
    <row r="1492" customFormat="1" ht="14.25" x14ac:dyDescent="0.2"/>
    <row r="1493" customFormat="1" ht="14.25" x14ac:dyDescent="0.2"/>
    <row r="1494" customFormat="1" ht="14.25" x14ac:dyDescent="0.2"/>
    <row r="1495" customFormat="1" ht="14.25" x14ac:dyDescent="0.2"/>
    <row r="1496" customFormat="1" ht="14.25" x14ac:dyDescent="0.2"/>
    <row r="1497" customFormat="1" ht="14.25" x14ac:dyDescent="0.2"/>
    <row r="1498" customFormat="1" ht="14.25" x14ac:dyDescent="0.2"/>
    <row r="1499" customFormat="1" ht="14.25" x14ac:dyDescent="0.2"/>
    <row r="1500" customFormat="1" ht="14.25" x14ac:dyDescent="0.2"/>
    <row r="1501" customFormat="1" ht="14.25" x14ac:dyDescent="0.2"/>
    <row r="1502" customFormat="1" ht="14.25" x14ac:dyDescent="0.2"/>
    <row r="1503" customFormat="1" ht="14.25" x14ac:dyDescent="0.2"/>
    <row r="1504" customFormat="1" ht="14.25" x14ac:dyDescent="0.2"/>
    <row r="1505" customFormat="1" ht="14.25" x14ac:dyDescent="0.2"/>
    <row r="1506" customFormat="1" ht="14.25" x14ac:dyDescent="0.2"/>
    <row r="1507" customFormat="1" ht="14.25" x14ac:dyDescent="0.2"/>
    <row r="1508" customFormat="1" ht="14.25" x14ac:dyDescent="0.2"/>
    <row r="1509" customFormat="1" ht="14.25" x14ac:dyDescent="0.2"/>
    <row r="1510" customFormat="1" ht="14.25" x14ac:dyDescent="0.2"/>
    <row r="1511" customFormat="1" ht="14.25" x14ac:dyDescent="0.2"/>
    <row r="1512" customFormat="1" ht="14.25" x14ac:dyDescent="0.2"/>
    <row r="1513" customFormat="1" ht="14.25" x14ac:dyDescent="0.2"/>
    <row r="1514" customFormat="1" ht="14.25" x14ac:dyDescent="0.2"/>
    <row r="1515" customFormat="1" ht="14.25" x14ac:dyDescent="0.2"/>
    <row r="1516" customFormat="1" ht="14.25" x14ac:dyDescent="0.2"/>
    <row r="1517" customFormat="1" ht="14.25" x14ac:dyDescent="0.2"/>
    <row r="1518" customFormat="1" ht="14.25" x14ac:dyDescent="0.2"/>
    <row r="1519" customFormat="1" ht="14.25" x14ac:dyDescent="0.2"/>
    <row r="1520" customFormat="1" ht="14.25" x14ac:dyDescent="0.2"/>
    <row r="1521" customFormat="1" ht="14.25" x14ac:dyDescent="0.2"/>
    <row r="1522" customFormat="1" ht="14.25" x14ac:dyDescent="0.2"/>
    <row r="1523" customFormat="1" ht="14.25" x14ac:dyDescent="0.2"/>
    <row r="1524" customFormat="1" ht="14.25" x14ac:dyDescent="0.2"/>
    <row r="1525" customFormat="1" ht="14.25" x14ac:dyDescent="0.2"/>
    <row r="1526" customFormat="1" ht="14.25" x14ac:dyDescent="0.2"/>
    <row r="1527" customFormat="1" ht="14.25" x14ac:dyDescent="0.2"/>
    <row r="1528" customFormat="1" ht="14.25" x14ac:dyDescent="0.2"/>
    <row r="1529" customFormat="1" ht="14.25" x14ac:dyDescent="0.2"/>
    <row r="1530" customFormat="1" ht="14.25" x14ac:dyDescent="0.2"/>
    <row r="1531" customFormat="1" ht="14.25" x14ac:dyDescent="0.2"/>
    <row r="1532" customFormat="1" ht="14.25" x14ac:dyDescent="0.2"/>
    <row r="1533" customFormat="1" ht="14.25" x14ac:dyDescent="0.2"/>
    <row r="1534" customFormat="1" ht="14.25" x14ac:dyDescent="0.2"/>
    <row r="1535" customFormat="1" ht="14.25" x14ac:dyDescent="0.2"/>
    <row r="1536" customFormat="1" ht="14.25" x14ac:dyDescent="0.2"/>
    <row r="1537" customFormat="1" ht="14.25" x14ac:dyDescent="0.2"/>
    <row r="1538" customFormat="1" ht="14.25" x14ac:dyDescent="0.2"/>
    <row r="1539" customFormat="1" ht="14.25" x14ac:dyDescent="0.2"/>
    <row r="1540" customFormat="1" ht="14.25" x14ac:dyDescent="0.2"/>
    <row r="1541" customFormat="1" ht="14.25" x14ac:dyDescent="0.2"/>
    <row r="1542" customFormat="1" ht="14.25" x14ac:dyDescent="0.2"/>
    <row r="1543" customFormat="1" ht="14.25" x14ac:dyDescent="0.2"/>
    <row r="1544" customFormat="1" ht="14.25" x14ac:dyDescent="0.2"/>
    <row r="1545" customFormat="1" ht="14.25" x14ac:dyDescent="0.2"/>
    <row r="1546" customFormat="1" ht="14.25" x14ac:dyDescent="0.2"/>
    <row r="1547" customFormat="1" ht="14.25" x14ac:dyDescent="0.2"/>
    <row r="1548" customFormat="1" ht="14.25" x14ac:dyDescent="0.2"/>
    <row r="1549" customFormat="1" ht="14.25" x14ac:dyDescent="0.2"/>
    <row r="1550" customFormat="1" ht="14.25" x14ac:dyDescent="0.2"/>
    <row r="1551" customFormat="1" ht="14.25" x14ac:dyDescent="0.2"/>
    <row r="1552" customFormat="1" ht="14.25" x14ac:dyDescent="0.2"/>
    <row r="1553" customFormat="1" ht="14.25" x14ac:dyDescent="0.2"/>
    <row r="1554" customFormat="1" ht="14.25" x14ac:dyDescent="0.2"/>
    <row r="1555" customFormat="1" ht="14.25" x14ac:dyDescent="0.2"/>
    <row r="1556" customFormat="1" ht="14.25" x14ac:dyDescent="0.2"/>
    <row r="1557" customFormat="1" ht="14.25" x14ac:dyDescent="0.2"/>
    <row r="1558" customFormat="1" ht="14.25" x14ac:dyDescent="0.2"/>
    <row r="1559" customFormat="1" ht="14.25" x14ac:dyDescent="0.2"/>
    <row r="1560" customFormat="1" ht="14.25" x14ac:dyDescent="0.2"/>
    <row r="1561" customFormat="1" ht="14.25" x14ac:dyDescent="0.2"/>
    <row r="1562" customFormat="1" ht="14.25" x14ac:dyDescent="0.2"/>
    <row r="1563" customFormat="1" ht="14.25" x14ac:dyDescent="0.2"/>
    <row r="1564" customFormat="1" ht="14.25" x14ac:dyDescent="0.2"/>
    <row r="1565" customFormat="1" ht="14.25" x14ac:dyDescent="0.2"/>
    <row r="1566" customFormat="1" ht="14.25" x14ac:dyDescent="0.2"/>
    <row r="1567" customFormat="1" ht="14.25" x14ac:dyDescent="0.2"/>
    <row r="1568" customFormat="1" ht="14.25" x14ac:dyDescent="0.2"/>
    <row r="1569" customFormat="1" ht="14.25" x14ac:dyDescent="0.2"/>
    <row r="1570" customFormat="1" ht="14.25" x14ac:dyDescent="0.2"/>
    <row r="1571" customFormat="1" ht="14.25" x14ac:dyDescent="0.2"/>
    <row r="1572" customFormat="1" ht="14.25" x14ac:dyDescent="0.2"/>
    <row r="1573" customFormat="1" ht="14.25" x14ac:dyDescent="0.2"/>
    <row r="1574" customFormat="1" ht="14.25" x14ac:dyDescent="0.2"/>
    <row r="1575" customFormat="1" ht="14.25" x14ac:dyDescent="0.2"/>
    <row r="1576" customFormat="1" ht="14.25" x14ac:dyDescent="0.2"/>
    <row r="1577" customFormat="1" ht="14.25" x14ac:dyDescent="0.2"/>
    <row r="1578" customFormat="1" ht="14.25" x14ac:dyDescent="0.2"/>
    <row r="1579" customFormat="1" ht="14.25" x14ac:dyDescent="0.2"/>
    <row r="1580" customFormat="1" ht="14.25" x14ac:dyDescent="0.2"/>
    <row r="1581" customFormat="1" ht="14.25" x14ac:dyDescent="0.2"/>
    <row r="1582" customFormat="1" ht="14.25" x14ac:dyDescent="0.2"/>
    <row r="1583" customFormat="1" ht="14.25" x14ac:dyDescent="0.2"/>
    <row r="1584" customFormat="1" ht="14.25" x14ac:dyDescent="0.2"/>
    <row r="1585" customFormat="1" ht="14.25" x14ac:dyDescent="0.2"/>
    <row r="1586" customFormat="1" ht="14.25" x14ac:dyDescent="0.2"/>
    <row r="1587" customFormat="1" ht="14.25" x14ac:dyDescent="0.2"/>
    <row r="1588" customFormat="1" ht="14.25" x14ac:dyDescent="0.2"/>
    <row r="1589" customFormat="1" ht="14.25" x14ac:dyDescent="0.2"/>
    <row r="1590" customFormat="1" ht="14.25" x14ac:dyDescent="0.2"/>
    <row r="1591" customFormat="1" ht="14.25" x14ac:dyDescent="0.2"/>
    <row r="1592" customFormat="1" ht="14.25" x14ac:dyDescent="0.2"/>
    <row r="1593" customFormat="1" ht="14.25" x14ac:dyDescent="0.2"/>
    <row r="1594" customFormat="1" ht="14.25" x14ac:dyDescent="0.2"/>
    <row r="1595" customFormat="1" ht="14.25" x14ac:dyDescent="0.2"/>
    <row r="1596" customFormat="1" ht="14.25" x14ac:dyDescent="0.2"/>
    <row r="1597" customFormat="1" ht="14.25" x14ac:dyDescent="0.2"/>
    <row r="1598" customFormat="1" ht="14.25" x14ac:dyDescent="0.2"/>
    <row r="1599" customFormat="1" ht="14.25" x14ac:dyDescent="0.2"/>
    <row r="1600" customFormat="1" ht="14.25" x14ac:dyDescent="0.2"/>
    <row r="1601" customFormat="1" ht="14.25" x14ac:dyDescent="0.2"/>
    <row r="1602" customFormat="1" ht="14.25" x14ac:dyDescent="0.2"/>
    <row r="1603" customFormat="1" ht="14.25" x14ac:dyDescent="0.2"/>
    <row r="1604" customFormat="1" ht="14.25" x14ac:dyDescent="0.2"/>
    <row r="1605" customFormat="1" ht="14.25" x14ac:dyDescent="0.2"/>
    <row r="1606" customFormat="1" ht="14.25" x14ac:dyDescent="0.2"/>
    <row r="1607" customFormat="1" ht="14.25" x14ac:dyDescent="0.2"/>
    <row r="1608" customFormat="1" ht="14.25" x14ac:dyDescent="0.2"/>
    <row r="1609" customFormat="1" ht="14.25" x14ac:dyDescent="0.2"/>
    <row r="1610" customFormat="1" ht="14.25" x14ac:dyDescent="0.2"/>
    <row r="1611" customFormat="1" ht="14.25" x14ac:dyDescent="0.2"/>
    <row r="1612" customFormat="1" ht="14.25" x14ac:dyDescent="0.2"/>
    <row r="1613" customFormat="1" ht="14.25" x14ac:dyDescent="0.2"/>
    <row r="1614" customFormat="1" ht="14.25" x14ac:dyDescent="0.2"/>
    <row r="1615" customFormat="1" ht="14.25" x14ac:dyDescent="0.2"/>
    <row r="1616" customFormat="1" ht="14.25" x14ac:dyDescent="0.2"/>
    <row r="1617" customFormat="1" ht="14.25" x14ac:dyDescent="0.2"/>
    <row r="1618" customFormat="1" ht="14.25" x14ac:dyDescent="0.2"/>
    <row r="1619" customFormat="1" ht="14.25" x14ac:dyDescent="0.2"/>
    <row r="1620" customFormat="1" ht="14.25" x14ac:dyDescent="0.2"/>
    <row r="1621" customFormat="1" ht="14.25" x14ac:dyDescent="0.2"/>
    <row r="1622" customFormat="1" ht="14.25" x14ac:dyDescent="0.2"/>
    <row r="1623" customFormat="1" ht="14.25" x14ac:dyDescent="0.2"/>
    <row r="1624" customFormat="1" ht="14.25" x14ac:dyDescent="0.2"/>
    <row r="1625" customFormat="1" ht="14.25" x14ac:dyDescent="0.2"/>
    <row r="1626" customFormat="1" ht="14.25" x14ac:dyDescent="0.2"/>
    <row r="1627" customFormat="1" ht="14.25" x14ac:dyDescent="0.2"/>
    <row r="1628" customFormat="1" ht="14.25" x14ac:dyDescent="0.2"/>
    <row r="1629" customFormat="1" ht="14.25" x14ac:dyDescent="0.2"/>
    <row r="1630" customFormat="1" ht="14.25" x14ac:dyDescent="0.2"/>
    <row r="1631" customFormat="1" ht="14.25" x14ac:dyDescent="0.2"/>
    <row r="1632" customFormat="1" ht="14.25" x14ac:dyDescent="0.2"/>
    <row r="1633" customFormat="1" ht="14.25" x14ac:dyDescent="0.2"/>
    <row r="1634" customFormat="1" ht="14.25" x14ac:dyDescent="0.2"/>
    <row r="1635" customFormat="1" ht="14.25" x14ac:dyDescent="0.2"/>
    <row r="1636" customFormat="1" ht="14.25" x14ac:dyDescent="0.2"/>
    <row r="1637" customFormat="1" ht="14.25" x14ac:dyDescent="0.2"/>
    <row r="1638" customFormat="1" ht="14.25" x14ac:dyDescent="0.2"/>
    <row r="1639" customFormat="1" ht="14.25" x14ac:dyDescent="0.2"/>
    <row r="1640" customFormat="1" ht="14.25" x14ac:dyDescent="0.2"/>
    <row r="1641" customFormat="1" ht="14.25" x14ac:dyDescent="0.2"/>
    <row r="1642" customFormat="1" ht="14.25" x14ac:dyDescent="0.2"/>
    <row r="1643" customFormat="1" ht="14.25" x14ac:dyDescent="0.2"/>
    <row r="1644" customFormat="1" ht="14.25" x14ac:dyDescent="0.2"/>
    <row r="1645" customFormat="1" ht="14.25" x14ac:dyDescent="0.2"/>
    <row r="1646" customFormat="1" ht="14.25" x14ac:dyDescent="0.2"/>
    <row r="1647" customFormat="1" ht="14.25" x14ac:dyDescent="0.2"/>
    <row r="1648" customFormat="1" ht="14.25" x14ac:dyDescent="0.2"/>
    <row r="1649" customFormat="1" ht="14.25" x14ac:dyDescent="0.2"/>
    <row r="1650" customFormat="1" ht="14.25" x14ac:dyDescent="0.2"/>
    <row r="1651" customFormat="1" ht="14.25" x14ac:dyDescent="0.2"/>
    <row r="1652" customFormat="1" ht="14.25" x14ac:dyDescent="0.2"/>
    <row r="1653" customFormat="1" ht="14.25" x14ac:dyDescent="0.2"/>
    <row r="1654" customFormat="1" ht="14.25" x14ac:dyDescent="0.2"/>
    <row r="1655" customFormat="1" ht="14.25" x14ac:dyDescent="0.2"/>
    <row r="1656" customFormat="1" ht="14.25" x14ac:dyDescent="0.2"/>
    <row r="1657" customFormat="1" ht="14.25" x14ac:dyDescent="0.2"/>
    <row r="1658" customFormat="1" ht="14.25" x14ac:dyDescent="0.2"/>
    <row r="1659" customFormat="1" ht="14.25" x14ac:dyDescent="0.2"/>
    <row r="1660" customFormat="1" ht="14.25" x14ac:dyDescent="0.2"/>
    <row r="1661" customFormat="1" ht="14.25" x14ac:dyDescent="0.2"/>
    <row r="1662" customFormat="1" ht="14.25" x14ac:dyDescent="0.2"/>
    <row r="1663" customFormat="1" ht="14.25" x14ac:dyDescent="0.2"/>
    <row r="1664" customFormat="1" ht="14.25" x14ac:dyDescent="0.2"/>
    <row r="1665" customFormat="1" ht="14.25" x14ac:dyDescent="0.2"/>
    <row r="1666" customFormat="1" ht="14.25" x14ac:dyDescent="0.2"/>
    <row r="1667" customFormat="1" ht="14.25" x14ac:dyDescent="0.2"/>
    <row r="1668" customFormat="1" ht="14.25" x14ac:dyDescent="0.2"/>
    <row r="1669" customFormat="1" ht="14.25" x14ac:dyDescent="0.2"/>
    <row r="1670" customFormat="1" ht="14.25" x14ac:dyDescent="0.2"/>
    <row r="1671" customFormat="1" ht="14.25" x14ac:dyDescent="0.2"/>
    <row r="1672" customFormat="1" ht="14.25" x14ac:dyDescent="0.2"/>
    <row r="1673" customFormat="1" ht="14.25" x14ac:dyDescent="0.2"/>
    <row r="1674" customFormat="1" ht="14.25" x14ac:dyDescent="0.2"/>
    <row r="1675" customFormat="1" ht="14.25" x14ac:dyDescent="0.2"/>
    <row r="1676" customFormat="1" ht="14.25" x14ac:dyDescent="0.2"/>
    <row r="1677" customFormat="1" ht="14.25" x14ac:dyDescent="0.2"/>
    <row r="1678" customFormat="1" ht="14.25" x14ac:dyDescent="0.2"/>
    <row r="1679" customFormat="1" ht="14.25" x14ac:dyDescent="0.2"/>
    <row r="1680" customFormat="1" ht="14.25" x14ac:dyDescent="0.2"/>
    <row r="1681" customFormat="1" ht="14.25" x14ac:dyDescent="0.2"/>
    <row r="1682" customFormat="1" ht="14.25" x14ac:dyDescent="0.2"/>
    <row r="1683" customFormat="1" ht="14.25" x14ac:dyDescent="0.2"/>
    <row r="1684" customFormat="1" ht="14.25" x14ac:dyDescent="0.2"/>
    <row r="1685" customFormat="1" ht="14.25" x14ac:dyDescent="0.2"/>
    <row r="1686" customFormat="1" ht="14.25" x14ac:dyDescent="0.2"/>
    <row r="1687" customFormat="1" ht="14.25" x14ac:dyDescent="0.2"/>
    <row r="1688" customFormat="1" ht="14.25" x14ac:dyDescent="0.2"/>
    <row r="1689" customFormat="1" ht="14.25" x14ac:dyDescent="0.2"/>
    <row r="1690" customFormat="1" ht="14.25" x14ac:dyDescent="0.2"/>
    <row r="1691" customFormat="1" ht="14.25" x14ac:dyDescent="0.2"/>
    <row r="1692" customFormat="1" ht="14.25" x14ac:dyDescent="0.2"/>
    <row r="1693" customFormat="1" ht="14.25" x14ac:dyDescent="0.2"/>
    <row r="1694" customFormat="1" ht="14.25" x14ac:dyDescent="0.2"/>
    <row r="1695" customFormat="1" ht="14.25" x14ac:dyDescent="0.2"/>
    <row r="1696" customFormat="1" ht="14.25" x14ac:dyDescent="0.2"/>
    <row r="1697" customFormat="1" ht="14.25" x14ac:dyDescent="0.2"/>
    <row r="1698" customFormat="1" ht="14.25" x14ac:dyDescent="0.2"/>
    <row r="1699" customFormat="1" ht="14.25" x14ac:dyDescent="0.2"/>
    <row r="1700" customFormat="1" ht="14.25" x14ac:dyDescent="0.2"/>
    <row r="1701" customFormat="1" ht="14.25" x14ac:dyDescent="0.2"/>
    <row r="1702" customFormat="1" ht="14.25" x14ac:dyDescent="0.2"/>
    <row r="1703" customFormat="1" ht="14.25" x14ac:dyDescent="0.2"/>
    <row r="1704" customFormat="1" ht="14.25" x14ac:dyDescent="0.2"/>
    <row r="1705" customFormat="1" ht="14.25" x14ac:dyDescent="0.2"/>
    <row r="1706" customFormat="1" ht="14.25" x14ac:dyDescent="0.2"/>
    <row r="1707" customFormat="1" ht="14.25" x14ac:dyDescent="0.2"/>
    <row r="1708" customFormat="1" ht="14.25" x14ac:dyDescent="0.2"/>
    <row r="1709" customFormat="1" ht="14.25" x14ac:dyDescent="0.2"/>
    <row r="1710" customFormat="1" ht="14.25" x14ac:dyDescent="0.2"/>
    <row r="1711" customFormat="1" ht="14.25" x14ac:dyDescent="0.2"/>
    <row r="1712" customFormat="1" ht="14.25" x14ac:dyDescent="0.2"/>
    <row r="1713" customFormat="1" ht="14.25" x14ac:dyDescent="0.2"/>
    <row r="1714" customFormat="1" ht="14.25" x14ac:dyDescent="0.2"/>
    <row r="1715" customFormat="1" ht="14.25" x14ac:dyDescent="0.2"/>
    <row r="1716" customFormat="1" ht="14.25" x14ac:dyDescent="0.2"/>
    <row r="1717" customFormat="1" ht="14.25" x14ac:dyDescent="0.2"/>
    <row r="1718" customFormat="1" ht="14.25" x14ac:dyDescent="0.2"/>
    <row r="1719" customFormat="1" ht="14.25" x14ac:dyDescent="0.2"/>
    <row r="1720" customFormat="1" ht="14.25" x14ac:dyDescent="0.2"/>
    <row r="1721" customFormat="1" ht="14.25" x14ac:dyDescent="0.2"/>
    <row r="1722" customFormat="1" ht="14.25" x14ac:dyDescent="0.2"/>
    <row r="1723" customFormat="1" ht="14.25" x14ac:dyDescent="0.2"/>
    <row r="1724" customFormat="1" ht="14.25" x14ac:dyDescent="0.2"/>
    <row r="1725" customFormat="1" ht="14.25" x14ac:dyDescent="0.2"/>
    <row r="1726" customFormat="1" ht="14.25" x14ac:dyDescent="0.2"/>
    <row r="1727" customFormat="1" ht="14.25" x14ac:dyDescent="0.2"/>
    <row r="1728" customFormat="1" ht="14.25" x14ac:dyDescent="0.2"/>
    <row r="1729" customFormat="1" ht="14.25" x14ac:dyDescent="0.2"/>
    <row r="1730" customFormat="1" ht="14.25" x14ac:dyDescent="0.2"/>
    <row r="1731" customFormat="1" ht="14.25" x14ac:dyDescent="0.2"/>
    <row r="1732" customFormat="1" ht="14.25" x14ac:dyDescent="0.2"/>
    <row r="1733" customFormat="1" ht="14.25" x14ac:dyDescent="0.2"/>
    <row r="1734" customFormat="1" ht="14.25" x14ac:dyDescent="0.2"/>
    <row r="1735" customFormat="1" ht="14.25" x14ac:dyDescent="0.2"/>
    <row r="1736" customFormat="1" ht="14.25" x14ac:dyDescent="0.2"/>
    <row r="1737" customFormat="1" ht="14.25" x14ac:dyDescent="0.2"/>
    <row r="1738" customFormat="1" ht="14.25" x14ac:dyDescent="0.2"/>
    <row r="1739" customFormat="1" ht="14.25" x14ac:dyDescent="0.2"/>
    <row r="1740" customFormat="1" ht="14.25" x14ac:dyDescent="0.2"/>
    <row r="1741" customFormat="1" ht="14.25" x14ac:dyDescent="0.2"/>
    <row r="1742" customFormat="1" ht="14.25" x14ac:dyDescent="0.2"/>
    <row r="1743" customFormat="1" ht="14.25" x14ac:dyDescent="0.2"/>
    <row r="1744" customFormat="1" ht="14.25" x14ac:dyDescent="0.2"/>
    <row r="1745" customFormat="1" ht="14.25" x14ac:dyDescent="0.2"/>
    <row r="1746" customFormat="1" ht="14.25" x14ac:dyDescent="0.2"/>
    <row r="1747" customFormat="1" ht="14.25" x14ac:dyDescent="0.2"/>
    <row r="1748" customFormat="1" ht="14.25" x14ac:dyDescent="0.2"/>
    <row r="1749" customFormat="1" ht="14.25" x14ac:dyDescent="0.2"/>
    <row r="1750" customFormat="1" ht="14.25" x14ac:dyDescent="0.2"/>
    <row r="1751" customFormat="1" ht="14.25" x14ac:dyDescent="0.2"/>
    <row r="1752" customFormat="1" ht="14.25" x14ac:dyDescent="0.2"/>
    <row r="1753" customFormat="1" ht="14.25" x14ac:dyDescent="0.2"/>
    <row r="1754" customFormat="1" ht="14.25" x14ac:dyDescent="0.2"/>
    <row r="1755" customFormat="1" ht="14.25" x14ac:dyDescent="0.2"/>
    <row r="1756" customFormat="1" ht="14.25" x14ac:dyDescent="0.2"/>
    <row r="1757" customFormat="1" ht="14.25" x14ac:dyDescent="0.2"/>
    <row r="1758" customFormat="1" ht="14.25" x14ac:dyDescent="0.2"/>
    <row r="1759" customFormat="1" ht="14.25" x14ac:dyDescent="0.2"/>
    <row r="1760" customFormat="1" ht="14.25" x14ac:dyDescent="0.2"/>
    <row r="1761" customFormat="1" ht="14.25" x14ac:dyDescent="0.2"/>
    <row r="1762" customFormat="1" ht="14.25" x14ac:dyDescent="0.2"/>
    <row r="1763" customFormat="1" ht="14.25" x14ac:dyDescent="0.2"/>
    <row r="1764" customFormat="1" ht="14.25" x14ac:dyDescent="0.2"/>
    <row r="1765" customFormat="1" ht="14.25" x14ac:dyDescent="0.2"/>
    <row r="1766" customFormat="1" ht="14.25" x14ac:dyDescent="0.2"/>
    <row r="1767" customFormat="1" ht="14.25" x14ac:dyDescent="0.2"/>
    <row r="1768" customFormat="1" ht="14.25" x14ac:dyDescent="0.2"/>
    <row r="1769" customFormat="1" ht="14.25" x14ac:dyDescent="0.2"/>
    <row r="1770" customFormat="1" ht="14.25" x14ac:dyDescent="0.2"/>
    <row r="1771" customFormat="1" ht="14.25" x14ac:dyDescent="0.2"/>
    <row r="1772" customFormat="1" ht="14.25" x14ac:dyDescent="0.2"/>
    <row r="1773" customFormat="1" ht="14.25" x14ac:dyDescent="0.2"/>
    <row r="1774" customFormat="1" ht="14.25" x14ac:dyDescent="0.2"/>
    <row r="1775" customFormat="1" ht="14.25" x14ac:dyDescent="0.2"/>
    <row r="1776" customFormat="1" ht="14.25" x14ac:dyDescent="0.2"/>
    <row r="1777" customFormat="1" ht="14.25" x14ac:dyDescent="0.2"/>
    <row r="1778" customFormat="1" ht="14.25" x14ac:dyDescent="0.2"/>
    <row r="1779" customFormat="1" ht="14.25" x14ac:dyDescent="0.2"/>
    <row r="1780" customFormat="1" ht="14.25" x14ac:dyDescent="0.2"/>
    <row r="1781" customFormat="1" ht="14.25" x14ac:dyDescent="0.2"/>
    <row r="1782" customFormat="1" ht="14.25" x14ac:dyDescent="0.2"/>
    <row r="1783" customFormat="1" ht="14.25" x14ac:dyDescent="0.2"/>
    <row r="1784" customFormat="1" ht="14.25" x14ac:dyDescent="0.2"/>
    <row r="1785" customFormat="1" ht="14.25" x14ac:dyDescent="0.2"/>
    <row r="1786" customFormat="1" ht="14.25" x14ac:dyDescent="0.2"/>
    <row r="1787" customFormat="1" ht="14.25" x14ac:dyDescent="0.2"/>
    <row r="1788" customFormat="1" ht="14.25" x14ac:dyDescent="0.2"/>
    <row r="1789" customFormat="1" ht="14.25" x14ac:dyDescent="0.2"/>
    <row r="1790" customFormat="1" ht="14.25" x14ac:dyDescent="0.2"/>
    <row r="1791" customFormat="1" ht="14.25" x14ac:dyDescent="0.2"/>
    <row r="1792" customFormat="1" ht="14.25" x14ac:dyDescent="0.2"/>
    <row r="1793" customFormat="1" ht="14.25" x14ac:dyDescent="0.2"/>
    <row r="1794" customFormat="1" ht="14.25" x14ac:dyDescent="0.2"/>
    <row r="1795" customFormat="1" ht="14.25" x14ac:dyDescent="0.2"/>
    <row r="1796" customFormat="1" ht="14.25" x14ac:dyDescent="0.2"/>
    <row r="1797" customFormat="1" ht="14.25" x14ac:dyDescent="0.2"/>
    <row r="1798" customFormat="1" ht="14.25" x14ac:dyDescent="0.2"/>
    <row r="1799" customFormat="1" ht="14.25" x14ac:dyDescent="0.2"/>
    <row r="1800" customFormat="1" ht="14.25" x14ac:dyDescent="0.2"/>
    <row r="1801" customFormat="1" ht="14.25" x14ac:dyDescent="0.2"/>
    <row r="1802" customFormat="1" ht="14.25" x14ac:dyDescent="0.2"/>
    <row r="1803" customFormat="1" ht="14.25" x14ac:dyDescent="0.2"/>
    <row r="1804" customFormat="1" ht="14.25" x14ac:dyDescent="0.2"/>
    <row r="1805" customFormat="1" ht="14.25" x14ac:dyDescent="0.2"/>
    <row r="1806" customFormat="1" ht="14.25" x14ac:dyDescent="0.2"/>
    <row r="1807" customFormat="1" ht="14.25" x14ac:dyDescent="0.2"/>
    <row r="1808" customFormat="1" ht="14.25" x14ac:dyDescent="0.2"/>
    <row r="1809" customFormat="1" ht="14.25" x14ac:dyDescent="0.2"/>
    <row r="1810" customFormat="1" ht="14.25" x14ac:dyDescent="0.2"/>
    <row r="1811" customFormat="1" ht="14.25" x14ac:dyDescent="0.2"/>
    <row r="1812" customFormat="1" ht="14.25" x14ac:dyDescent="0.2"/>
    <row r="1813" customFormat="1" ht="14.25" x14ac:dyDescent="0.2"/>
    <row r="1814" customFormat="1" ht="14.25" x14ac:dyDescent="0.2"/>
    <row r="1815" customFormat="1" ht="14.25" x14ac:dyDescent="0.2"/>
    <row r="1816" customFormat="1" ht="14.25" x14ac:dyDescent="0.2"/>
    <row r="1817" customFormat="1" ht="14.25" x14ac:dyDescent="0.2"/>
    <row r="1818" customFormat="1" ht="14.25" x14ac:dyDescent="0.2"/>
    <row r="1819" customFormat="1" ht="14.25" x14ac:dyDescent="0.2"/>
    <row r="1820" customFormat="1" ht="14.25" x14ac:dyDescent="0.2"/>
    <row r="1821" customFormat="1" ht="14.25" x14ac:dyDescent="0.2"/>
    <row r="1822" customFormat="1" ht="14.25" x14ac:dyDescent="0.2"/>
    <row r="1823" customFormat="1" ht="14.25" x14ac:dyDescent="0.2"/>
    <row r="1824" customFormat="1" ht="14.25" x14ac:dyDescent="0.2"/>
    <row r="1825" customFormat="1" ht="14.25" x14ac:dyDescent="0.2"/>
    <row r="1826" customFormat="1" ht="14.25" x14ac:dyDescent="0.2"/>
    <row r="1827" customFormat="1" ht="14.25" x14ac:dyDescent="0.2"/>
    <row r="1828" customFormat="1" ht="14.25" x14ac:dyDescent="0.2"/>
    <row r="1829" customFormat="1" ht="14.25" x14ac:dyDescent="0.2"/>
    <row r="1830" customFormat="1" ht="14.25" x14ac:dyDescent="0.2"/>
    <row r="1831" customFormat="1" ht="14.25" x14ac:dyDescent="0.2"/>
    <row r="1832" customFormat="1" ht="14.25" x14ac:dyDescent="0.2"/>
    <row r="1833" customFormat="1" ht="14.25" x14ac:dyDescent="0.2"/>
    <row r="1834" customFormat="1" ht="14.25" x14ac:dyDescent="0.2"/>
    <row r="1835" customFormat="1" ht="14.25" x14ac:dyDescent="0.2"/>
    <row r="1836" customFormat="1" ht="14.25" x14ac:dyDescent="0.2"/>
    <row r="1837" customFormat="1" ht="14.25" x14ac:dyDescent="0.2"/>
    <row r="1838" customFormat="1" ht="14.25" x14ac:dyDescent="0.2"/>
    <row r="1839" customFormat="1" ht="14.25" x14ac:dyDescent="0.2"/>
    <row r="1840" customFormat="1" ht="14.25" x14ac:dyDescent="0.2"/>
    <row r="1841" customFormat="1" ht="14.25" x14ac:dyDescent="0.2"/>
    <row r="1842" customFormat="1" ht="14.25" x14ac:dyDescent="0.2"/>
    <row r="1843" customFormat="1" ht="14.25" x14ac:dyDescent="0.2"/>
    <row r="1844" customFormat="1" ht="14.25" x14ac:dyDescent="0.2"/>
    <row r="1845" customFormat="1" ht="14.25" x14ac:dyDescent="0.2"/>
    <row r="1846" customFormat="1" ht="14.25" x14ac:dyDescent="0.2"/>
    <row r="1847" customFormat="1" ht="14.25" x14ac:dyDescent="0.2"/>
    <row r="1848" customFormat="1" ht="14.25" x14ac:dyDescent="0.2"/>
    <row r="1849" customFormat="1" ht="14.25" x14ac:dyDescent="0.2"/>
    <row r="1850" customFormat="1" ht="14.25" x14ac:dyDescent="0.2"/>
    <row r="1851" customFormat="1" ht="14.25" x14ac:dyDescent="0.2"/>
    <row r="1852" customFormat="1" ht="14.25" x14ac:dyDescent="0.2"/>
    <row r="1853" customFormat="1" ht="14.25" x14ac:dyDescent="0.2"/>
    <row r="1854" customFormat="1" ht="14.25" x14ac:dyDescent="0.2"/>
    <row r="1855" customFormat="1" ht="14.25" x14ac:dyDescent="0.2"/>
    <row r="1856" customFormat="1" ht="14.25" x14ac:dyDescent="0.2"/>
    <row r="1857" customFormat="1" ht="14.25" x14ac:dyDescent="0.2"/>
    <row r="1858" customFormat="1" ht="14.25" x14ac:dyDescent="0.2"/>
    <row r="1859" customFormat="1" ht="14.25" x14ac:dyDescent="0.2"/>
    <row r="1860" customFormat="1" ht="14.25" x14ac:dyDescent="0.2"/>
    <row r="1861" customFormat="1" ht="14.25" x14ac:dyDescent="0.2"/>
    <row r="1862" customFormat="1" ht="14.25" x14ac:dyDescent="0.2"/>
    <row r="1863" customFormat="1" ht="14.25" x14ac:dyDescent="0.2"/>
    <row r="1864" customFormat="1" ht="14.25" x14ac:dyDescent="0.2"/>
    <row r="1865" customFormat="1" ht="14.25" x14ac:dyDescent="0.2"/>
    <row r="1866" customFormat="1" ht="14.25" x14ac:dyDescent="0.2"/>
    <row r="1867" customFormat="1" ht="14.25" x14ac:dyDescent="0.2"/>
    <row r="1868" customFormat="1" ht="14.25" x14ac:dyDescent="0.2"/>
    <row r="1869" customFormat="1" ht="14.25" x14ac:dyDescent="0.2"/>
    <row r="1870" customFormat="1" ht="14.25" x14ac:dyDescent="0.2"/>
    <row r="1871" customFormat="1" ht="14.25" x14ac:dyDescent="0.2"/>
    <row r="1872" customFormat="1" ht="14.25" x14ac:dyDescent="0.2"/>
    <row r="1873" customFormat="1" ht="14.25" x14ac:dyDescent="0.2"/>
    <row r="1874" customFormat="1" ht="14.25" x14ac:dyDescent="0.2"/>
    <row r="1875" customFormat="1" ht="14.25" x14ac:dyDescent="0.2"/>
    <row r="1876" customFormat="1" ht="14.25" x14ac:dyDescent="0.2"/>
    <row r="1877" customFormat="1" ht="14.25" x14ac:dyDescent="0.2"/>
    <row r="1878" customFormat="1" ht="14.25" x14ac:dyDescent="0.2"/>
    <row r="1879" customFormat="1" ht="14.25" x14ac:dyDescent="0.2"/>
    <row r="1880" customFormat="1" ht="14.25" x14ac:dyDescent="0.2"/>
    <row r="1881" customFormat="1" ht="14.25" x14ac:dyDescent="0.2"/>
    <row r="1882" customFormat="1" ht="14.25" x14ac:dyDescent="0.2"/>
    <row r="1883" customFormat="1" ht="14.25" x14ac:dyDescent="0.2"/>
    <row r="1884" customFormat="1" ht="14.25" x14ac:dyDescent="0.2"/>
    <row r="1885" customFormat="1" ht="14.25" x14ac:dyDescent="0.2"/>
    <row r="1886" customFormat="1" ht="14.25" x14ac:dyDescent="0.2"/>
    <row r="1887" customFormat="1" ht="14.25" x14ac:dyDescent="0.2"/>
    <row r="1888" customFormat="1" ht="14.25" x14ac:dyDescent="0.2"/>
    <row r="1889" customFormat="1" ht="14.25" x14ac:dyDescent="0.2"/>
    <row r="1890" customFormat="1" ht="14.25" x14ac:dyDescent="0.2"/>
    <row r="1891" customFormat="1" ht="14.25" x14ac:dyDescent="0.2"/>
    <row r="1892" customFormat="1" ht="14.25" x14ac:dyDescent="0.2"/>
    <row r="1893" customFormat="1" ht="14.25" x14ac:dyDescent="0.2"/>
    <row r="1894" customFormat="1" ht="14.25" x14ac:dyDescent="0.2"/>
    <row r="1895" customFormat="1" ht="14.25" x14ac:dyDescent="0.2"/>
    <row r="1896" customFormat="1" ht="14.25" x14ac:dyDescent="0.2"/>
    <row r="1897" customFormat="1" ht="14.25" x14ac:dyDescent="0.2"/>
    <row r="1898" customFormat="1" ht="14.25" x14ac:dyDescent="0.2"/>
    <row r="1899" customFormat="1" ht="14.25" x14ac:dyDescent="0.2"/>
    <row r="1900" customFormat="1" ht="14.25" x14ac:dyDescent="0.2"/>
    <row r="1901" customFormat="1" ht="14.25" x14ac:dyDescent="0.2"/>
    <row r="1902" customFormat="1" ht="14.25" x14ac:dyDescent="0.2"/>
    <row r="1903" customFormat="1" ht="14.25" x14ac:dyDescent="0.2"/>
    <row r="1904" customFormat="1" ht="14.25" x14ac:dyDescent="0.2"/>
    <row r="1905" customFormat="1" ht="14.25" x14ac:dyDescent="0.2"/>
    <row r="1906" customFormat="1" ht="14.25" x14ac:dyDescent="0.2"/>
    <row r="1907" customFormat="1" ht="14.25" x14ac:dyDescent="0.2"/>
    <row r="1908" customFormat="1" ht="14.25" x14ac:dyDescent="0.2"/>
    <row r="1909" customFormat="1" ht="14.25" x14ac:dyDescent="0.2"/>
    <row r="1910" customFormat="1" ht="14.25" x14ac:dyDescent="0.2"/>
    <row r="1911" customFormat="1" ht="14.25" x14ac:dyDescent="0.2"/>
    <row r="1912" customFormat="1" ht="14.25" x14ac:dyDescent="0.2"/>
    <row r="1913" customFormat="1" ht="14.25" x14ac:dyDescent="0.2"/>
    <row r="1914" customFormat="1" ht="14.25" x14ac:dyDescent="0.2"/>
    <row r="1915" customFormat="1" ht="14.25" x14ac:dyDescent="0.2"/>
    <row r="1916" customFormat="1" ht="14.25" x14ac:dyDescent="0.2"/>
    <row r="1917" customFormat="1" ht="14.25" x14ac:dyDescent="0.2"/>
    <row r="1918" customFormat="1" ht="14.25" x14ac:dyDescent="0.2"/>
    <row r="1919" customFormat="1" ht="14.25" x14ac:dyDescent="0.2"/>
    <row r="1920" customFormat="1" ht="14.25" x14ac:dyDescent="0.2"/>
    <row r="1921" customFormat="1" ht="14.25" x14ac:dyDescent="0.2"/>
    <row r="1922" customFormat="1" ht="14.25" x14ac:dyDescent="0.2"/>
    <row r="1923" customFormat="1" ht="14.25" x14ac:dyDescent="0.2"/>
    <row r="1924" customFormat="1" ht="14.25" x14ac:dyDescent="0.2"/>
    <row r="1925" customFormat="1" ht="14.25" x14ac:dyDescent="0.2"/>
    <row r="1926" customFormat="1" ht="14.25" x14ac:dyDescent="0.2"/>
    <row r="1927" customFormat="1" ht="14.25" x14ac:dyDescent="0.2"/>
    <row r="1928" customFormat="1" ht="14.25" x14ac:dyDescent="0.2"/>
    <row r="1929" customFormat="1" ht="14.25" x14ac:dyDescent="0.2"/>
    <row r="1930" customFormat="1" ht="14.25" x14ac:dyDescent="0.2"/>
    <row r="1931" customFormat="1" ht="14.25" x14ac:dyDescent="0.2"/>
    <row r="1932" customFormat="1" ht="14.25" x14ac:dyDescent="0.2"/>
    <row r="1933" customFormat="1" ht="14.25" x14ac:dyDescent="0.2"/>
    <row r="1934" customFormat="1" ht="14.25" x14ac:dyDescent="0.2"/>
    <row r="1935" customFormat="1" ht="14.25" x14ac:dyDescent="0.2"/>
    <row r="1936" customFormat="1" ht="14.25" x14ac:dyDescent="0.2"/>
    <row r="1937" customFormat="1" ht="14.25" x14ac:dyDescent="0.2"/>
    <row r="1938" customFormat="1" ht="14.25" x14ac:dyDescent="0.2"/>
    <row r="1939" customFormat="1" ht="14.25" x14ac:dyDescent="0.2"/>
    <row r="1940" customFormat="1" ht="14.25" x14ac:dyDescent="0.2"/>
    <row r="1941" customFormat="1" ht="14.25" x14ac:dyDescent="0.2"/>
    <row r="1942" customFormat="1" ht="14.25" x14ac:dyDescent="0.2"/>
    <row r="1943" customFormat="1" ht="14.25" x14ac:dyDescent="0.2"/>
    <row r="1944" customFormat="1" ht="14.25" x14ac:dyDescent="0.2"/>
    <row r="1945" customFormat="1" ht="14.25" x14ac:dyDescent="0.2"/>
    <row r="1946" customFormat="1" ht="14.25" x14ac:dyDescent="0.2"/>
    <row r="1947" customFormat="1" ht="14.25" x14ac:dyDescent="0.2"/>
    <row r="1948" customFormat="1" ht="14.25" x14ac:dyDescent="0.2"/>
    <row r="1949" customFormat="1" ht="14.25" x14ac:dyDescent="0.2"/>
    <row r="1950" customFormat="1" ht="14.25" x14ac:dyDescent="0.2"/>
    <row r="1951" customFormat="1" ht="14.25" x14ac:dyDescent="0.2"/>
    <row r="1952" customFormat="1" ht="14.25" x14ac:dyDescent="0.2"/>
    <row r="1953" customFormat="1" ht="14.25" x14ac:dyDescent="0.2"/>
    <row r="1954" customFormat="1" ht="14.25" x14ac:dyDescent="0.2"/>
    <row r="1955" customFormat="1" ht="14.25" x14ac:dyDescent="0.2"/>
    <row r="1956" customFormat="1" ht="14.25" x14ac:dyDescent="0.2"/>
    <row r="1957" customFormat="1" ht="14.25" x14ac:dyDescent="0.2"/>
    <row r="1958" customFormat="1" ht="14.25" x14ac:dyDescent="0.2"/>
    <row r="1959" customFormat="1" ht="14.25" x14ac:dyDescent="0.2"/>
    <row r="1960" customFormat="1" ht="14.25" x14ac:dyDescent="0.2"/>
    <row r="1961" customFormat="1" ht="14.25" x14ac:dyDescent="0.2"/>
    <row r="1962" customFormat="1" ht="14.25" x14ac:dyDescent="0.2"/>
    <row r="1963" customFormat="1" ht="14.25" x14ac:dyDescent="0.2"/>
    <row r="1964" customFormat="1" ht="14.25" x14ac:dyDescent="0.2"/>
    <row r="1965" customFormat="1" ht="14.25" x14ac:dyDescent="0.2"/>
    <row r="1966" customFormat="1" ht="14.25" x14ac:dyDescent="0.2"/>
    <row r="1967" customFormat="1" ht="14.25" x14ac:dyDescent="0.2"/>
    <row r="1968" customFormat="1" ht="14.25" x14ac:dyDescent="0.2"/>
    <row r="1969" customFormat="1" ht="14.25" x14ac:dyDescent="0.2"/>
    <row r="1970" customFormat="1" ht="14.25" x14ac:dyDescent="0.2"/>
    <row r="1971" customFormat="1" ht="14.25" x14ac:dyDescent="0.2"/>
    <row r="1972" customFormat="1" ht="14.25" x14ac:dyDescent="0.2"/>
    <row r="1973" customFormat="1" ht="14.25" x14ac:dyDescent="0.2"/>
    <row r="1974" customFormat="1" ht="14.25" x14ac:dyDescent="0.2"/>
    <row r="1975" customFormat="1" ht="14.25" x14ac:dyDescent="0.2"/>
    <row r="1976" customFormat="1" ht="14.25" x14ac:dyDescent="0.2"/>
    <row r="1977" customFormat="1" ht="14.25" x14ac:dyDescent="0.2"/>
    <row r="1978" customFormat="1" ht="14.25" x14ac:dyDescent="0.2"/>
    <row r="1979" customFormat="1" ht="14.25" x14ac:dyDescent="0.2"/>
    <row r="1980" customFormat="1" ht="14.25" x14ac:dyDescent="0.2"/>
    <row r="1981" customFormat="1" ht="14.25" x14ac:dyDescent="0.2"/>
    <row r="1982" customFormat="1" ht="14.25" x14ac:dyDescent="0.2"/>
    <row r="1983" customFormat="1" ht="14.25" x14ac:dyDescent="0.2"/>
    <row r="1984" customFormat="1" ht="14.25" x14ac:dyDescent="0.2"/>
    <row r="1985" customFormat="1" ht="14.25" x14ac:dyDescent="0.2"/>
    <row r="1986" customFormat="1" ht="14.25" x14ac:dyDescent="0.2"/>
    <row r="1987" customFormat="1" ht="14.25" x14ac:dyDescent="0.2"/>
    <row r="1988" customFormat="1" ht="14.25" x14ac:dyDescent="0.2"/>
    <row r="1989" customFormat="1" ht="14.25" x14ac:dyDescent="0.2"/>
    <row r="1990" customFormat="1" ht="14.25" x14ac:dyDescent="0.2"/>
    <row r="1991" customFormat="1" ht="14.25" x14ac:dyDescent="0.2"/>
    <row r="1992" customFormat="1" ht="14.25" x14ac:dyDescent="0.2"/>
    <row r="1993" customFormat="1" ht="14.25" x14ac:dyDescent="0.2"/>
    <row r="1994" customFormat="1" ht="14.25" x14ac:dyDescent="0.2"/>
    <row r="1995" customFormat="1" ht="14.25" x14ac:dyDescent="0.2"/>
    <row r="1996" customFormat="1" ht="14.25" x14ac:dyDescent="0.2"/>
    <row r="1997" customFormat="1" ht="14.25" x14ac:dyDescent="0.2"/>
    <row r="1998" customFormat="1" ht="14.25" x14ac:dyDescent="0.2"/>
    <row r="1999" customFormat="1" ht="14.25" x14ac:dyDescent="0.2"/>
    <row r="2000" customFormat="1" ht="14.25" x14ac:dyDescent="0.2"/>
    <row r="2001" customFormat="1" ht="14.25" x14ac:dyDescent="0.2"/>
    <row r="2002" customFormat="1" ht="14.25" x14ac:dyDescent="0.2"/>
    <row r="2003" customFormat="1" ht="14.25" x14ac:dyDescent="0.2"/>
    <row r="2004" customFormat="1" ht="14.25" x14ac:dyDescent="0.2"/>
    <row r="2005" customFormat="1" ht="14.25" x14ac:dyDescent="0.2"/>
    <row r="2006" customFormat="1" ht="14.25" x14ac:dyDescent="0.2"/>
    <row r="2007" customFormat="1" ht="14.25" x14ac:dyDescent="0.2"/>
    <row r="2008" customFormat="1" ht="14.25" x14ac:dyDescent="0.2"/>
    <row r="2009" customFormat="1" ht="14.25" x14ac:dyDescent="0.2"/>
    <row r="2010" customFormat="1" ht="14.25" x14ac:dyDescent="0.2"/>
    <row r="2011" customFormat="1" ht="14.25" x14ac:dyDescent="0.2"/>
    <row r="2012" customFormat="1" ht="14.25" x14ac:dyDescent="0.2"/>
    <row r="2013" customFormat="1" ht="14.25" x14ac:dyDescent="0.2"/>
    <row r="2014" customFormat="1" ht="14.25" x14ac:dyDescent="0.2"/>
    <row r="2015" customFormat="1" ht="14.25" x14ac:dyDescent="0.2"/>
    <row r="2016" customFormat="1" ht="14.25" x14ac:dyDescent="0.2"/>
    <row r="2017" customFormat="1" ht="14.25" x14ac:dyDescent="0.2"/>
    <row r="2018" customFormat="1" ht="14.25" x14ac:dyDescent="0.2"/>
    <row r="2019" customFormat="1" ht="14.25" x14ac:dyDescent="0.2"/>
    <row r="2020" customFormat="1" ht="14.25" x14ac:dyDescent="0.2"/>
    <row r="2021" customFormat="1" ht="14.25" x14ac:dyDescent="0.2"/>
    <row r="2022" customFormat="1" ht="14.25" x14ac:dyDescent="0.2"/>
    <row r="2023" customFormat="1" ht="14.25" x14ac:dyDescent="0.2"/>
    <row r="2024" customFormat="1" ht="14.25" x14ac:dyDescent="0.2"/>
    <row r="2025" customFormat="1" ht="14.25" x14ac:dyDescent="0.2"/>
    <row r="2026" customFormat="1" ht="14.25" x14ac:dyDescent="0.2"/>
    <row r="2027" customFormat="1" ht="14.25" x14ac:dyDescent="0.2"/>
    <row r="2028" customFormat="1" ht="14.25" x14ac:dyDescent="0.2"/>
    <row r="2029" customFormat="1" ht="14.25" x14ac:dyDescent="0.2"/>
    <row r="2030" customFormat="1" ht="14.25" x14ac:dyDescent="0.2"/>
    <row r="2031" customFormat="1" ht="14.25" x14ac:dyDescent="0.2"/>
    <row r="2032" customFormat="1" ht="14.25" x14ac:dyDescent="0.2"/>
    <row r="2033" customFormat="1" ht="14.25" x14ac:dyDescent="0.2"/>
    <row r="2034" customFormat="1" ht="14.25" x14ac:dyDescent="0.2"/>
    <row r="2035" customFormat="1" ht="14.25" x14ac:dyDescent="0.2"/>
    <row r="2036" customFormat="1" ht="14.25" x14ac:dyDescent="0.2"/>
    <row r="2037" customFormat="1" ht="14.25" x14ac:dyDescent="0.2"/>
    <row r="2038" customFormat="1" ht="14.25" x14ac:dyDescent="0.2"/>
    <row r="2039" customFormat="1" ht="14.25" x14ac:dyDescent="0.2"/>
    <row r="2040" customFormat="1" ht="14.25" x14ac:dyDescent="0.2"/>
    <row r="2041" customFormat="1" ht="14.25" x14ac:dyDescent="0.2"/>
    <row r="2042" customFormat="1" ht="14.25" x14ac:dyDescent="0.2"/>
    <row r="2043" customFormat="1" ht="14.25" x14ac:dyDescent="0.2"/>
    <row r="2044" customFormat="1" ht="14.25" x14ac:dyDescent="0.2"/>
    <row r="2045" customFormat="1" ht="14.25" x14ac:dyDescent="0.2"/>
    <row r="2046" customFormat="1" ht="14.25" x14ac:dyDescent="0.2"/>
    <row r="2047" customFormat="1" ht="14.25" x14ac:dyDescent="0.2"/>
    <row r="2048" customFormat="1" ht="14.25" x14ac:dyDescent="0.2"/>
    <row r="2049" customFormat="1" ht="14.25" x14ac:dyDescent="0.2"/>
    <row r="2050" customFormat="1" ht="14.25" x14ac:dyDescent="0.2"/>
    <row r="2051" customFormat="1" ht="14.25" x14ac:dyDescent="0.2"/>
    <row r="2052" customFormat="1" ht="14.25" x14ac:dyDescent="0.2"/>
    <row r="2053" customFormat="1" ht="14.25" x14ac:dyDescent="0.2"/>
    <row r="2054" customFormat="1" ht="14.25" x14ac:dyDescent="0.2"/>
    <row r="2055" customFormat="1" ht="14.25" x14ac:dyDescent="0.2"/>
    <row r="2056" customFormat="1" ht="14.25" x14ac:dyDescent="0.2"/>
    <row r="2057" customFormat="1" ht="14.25" x14ac:dyDescent="0.2"/>
    <row r="2058" customFormat="1" ht="14.25" x14ac:dyDescent="0.2"/>
    <row r="2059" customFormat="1" ht="14.25" x14ac:dyDescent="0.2"/>
    <row r="2060" customFormat="1" ht="14.25" x14ac:dyDescent="0.2"/>
    <row r="2061" customFormat="1" ht="14.25" x14ac:dyDescent="0.2"/>
    <row r="2062" customFormat="1" ht="14.25" x14ac:dyDescent="0.2"/>
    <row r="2063" customFormat="1" ht="14.25" x14ac:dyDescent="0.2"/>
    <row r="2064" customFormat="1" ht="14.25" x14ac:dyDescent="0.2"/>
    <row r="2065" customFormat="1" ht="14.25" x14ac:dyDescent="0.2"/>
    <row r="2066" customFormat="1" ht="14.25" x14ac:dyDescent="0.2"/>
    <row r="2067" customFormat="1" ht="14.25" x14ac:dyDescent="0.2"/>
    <row r="2068" customFormat="1" ht="14.25" x14ac:dyDescent="0.2"/>
    <row r="2069" customFormat="1" ht="14.25" x14ac:dyDescent="0.2"/>
    <row r="2070" customFormat="1" ht="14.25" x14ac:dyDescent="0.2"/>
    <row r="2071" customFormat="1" ht="14.25" x14ac:dyDescent="0.2"/>
    <row r="2072" customFormat="1" ht="14.25" x14ac:dyDescent="0.2"/>
    <row r="2073" customFormat="1" ht="14.25" x14ac:dyDescent="0.2"/>
    <row r="2074" customFormat="1" ht="14.25" x14ac:dyDescent="0.2"/>
    <row r="2075" customFormat="1" ht="14.25" x14ac:dyDescent="0.2"/>
    <row r="2076" customFormat="1" ht="14.25" x14ac:dyDescent="0.2"/>
    <row r="2077" customFormat="1" ht="14.25" x14ac:dyDescent="0.2"/>
    <row r="2078" customFormat="1" ht="14.25" x14ac:dyDescent="0.2"/>
    <row r="2079" customFormat="1" ht="14.25" x14ac:dyDescent="0.2"/>
    <row r="2080" customFormat="1" ht="14.25" x14ac:dyDescent="0.2"/>
    <row r="2081" customFormat="1" ht="14.25" x14ac:dyDescent="0.2"/>
    <row r="2082" customFormat="1" ht="14.25" x14ac:dyDescent="0.2"/>
    <row r="2083" customFormat="1" ht="14.25" x14ac:dyDescent="0.2"/>
    <row r="2084" customFormat="1" ht="14.25" x14ac:dyDescent="0.2"/>
    <row r="2085" customFormat="1" ht="14.25" x14ac:dyDescent="0.2"/>
    <row r="2086" customFormat="1" ht="14.25" x14ac:dyDescent="0.2"/>
    <row r="2087" customFormat="1" ht="14.25" x14ac:dyDescent="0.2"/>
    <row r="2088" customFormat="1" ht="14.25" x14ac:dyDescent="0.2"/>
    <row r="2089" customFormat="1" ht="14.25" x14ac:dyDescent="0.2"/>
    <row r="2090" customFormat="1" ht="14.25" x14ac:dyDescent="0.2"/>
    <row r="2091" customFormat="1" ht="14.25" x14ac:dyDescent="0.2"/>
    <row r="2092" customFormat="1" ht="14.25" x14ac:dyDescent="0.2"/>
    <row r="2093" customFormat="1" ht="14.25" x14ac:dyDescent="0.2"/>
    <row r="2094" customFormat="1" ht="14.25" x14ac:dyDescent="0.2"/>
    <row r="2095" customFormat="1" ht="14.25" x14ac:dyDescent="0.2"/>
    <row r="2096" customFormat="1" ht="14.25" x14ac:dyDescent="0.2"/>
    <row r="2097" customFormat="1" ht="14.25" x14ac:dyDescent="0.2"/>
    <row r="2098" customFormat="1" ht="14.25" x14ac:dyDescent="0.2"/>
    <row r="2099" customFormat="1" ht="14.25" x14ac:dyDescent="0.2"/>
    <row r="2100" customFormat="1" ht="14.25" x14ac:dyDescent="0.2"/>
    <row r="2101" customFormat="1" ht="14.25" x14ac:dyDescent="0.2"/>
    <row r="2102" customFormat="1" ht="14.25" x14ac:dyDescent="0.2"/>
    <row r="2103" customFormat="1" ht="14.25" x14ac:dyDescent="0.2"/>
    <row r="2104" customFormat="1" ht="14.25" x14ac:dyDescent="0.2"/>
    <row r="2105" customFormat="1" ht="14.25" x14ac:dyDescent="0.2"/>
    <row r="2106" customFormat="1" ht="14.25" x14ac:dyDescent="0.2"/>
    <row r="2107" customFormat="1" ht="14.25" x14ac:dyDescent="0.2"/>
    <row r="2108" customFormat="1" ht="14.25" x14ac:dyDescent="0.2"/>
    <row r="2109" customFormat="1" ht="14.25" x14ac:dyDescent="0.2"/>
    <row r="2110" customFormat="1" ht="14.25" x14ac:dyDescent="0.2"/>
    <row r="2111" customFormat="1" ht="14.25" x14ac:dyDescent="0.2"/>
    <row r="2112" customFormat="1" ht="14.25" x14ac:dyDescent="0.2"/>
    <row r="2113" customFormat="1" ht="14.25" x14ac:dyDescent="0.2"/>
    <row r="2114" customFormat="1" ht="14.25" x14ac:dyDescent="0.2"/>
    <row r="2115" customFormat="1" ht="14.25" x14ac:dyDescent="0.2"/>
    <row r="2116" customFormat="1" ht="14.25" x14ac:dyDescent="0.2"/>
    <row r="2117" customFormat="1" ht="14.25" x14ac:dyDescent="0.2"/>
    <row r="2118" customFormat="1" ht="14.25" x14ac:dyDescent="0.2"/>
    <row r="2119" customFormat="1" ht="14.25" x14ac:dyDescent="0.2"/>
    <row r="2120" customFormat="1" ht="14.25" x14ac:dyDescent="0.2"/>
    <row r="2121" customFormat="1" ht="14.25" x14ac:dyDescent="0.2"/>
    <row r="2122" customFormat="1" ht="14.25" x14ac:dyDescent="0.2"/>
    <row r="2123" customFormat="1" ht="14.25" x14ac:dyDescent="0.2"/>
    <row r="2124" customFormat="1" ht="14.25" x14ac:dyDescent="0.2"/>
    <row r="2125" customFormat="1" ht="14.25" x14ac:dyDescent="0.2"/>
    <row r="2126" customFormat="1" ht="14.25" x14ac:dyDescent="0.2"/>
    <row r="2127" customFormat="1" ht="14.25" x14ac:dyDescent="0.2"/>
    <row r="2128" customFormat="1" ht="14.25" x14ac:dyDescent="0.2"/>
    <row r="2129" customFormat="1" ht="14.25" x14ac:dyDescent="0.2"/>
    <row r="2130" customFormat="1" ht="14.25" x14ac:dyDescent="0.2"/>
    <row r="2131" customFormat="1" ht="14.25" x14ac:dyDescent="0.2"/>
    <row r="2132" customFormat="1" ht="14.25" x14ac:dyDescent="0.2"/>
    <row r="2133" customFormat="1" ht="14.25" x14ac:dyDescent="0.2"/>
    <row r="2134" customFormat="1" ht="14.25" x14ac:dyDescent="0.2"/>
    <row r="2135" customFormat="1" ht="14.25" x14ac:dyDescent="0.2"/>
    <row r="2136" customFormat="1" ht="14.25" x14ac:dyDescent="0.2"/>
    <row r="2137" customFormat="1" ht="14.25" x14ac:dyDescent="0.2"/>
    <row r="2138" customFormat="1" ht="14.25" x14ac:dyDescent="0.2"/>
    <row r="2139" customFormat="1" ht="14.25" x14ac:dyDescent="0.2"/>
    <row r="2140" customFormat="1" ht="14.25" x14ac:dyDescent="0.2"/>
    <row r="2141" customFormat="1" ht="14.25" x14ac:dyDescent="0.2"/>
    <row r="2142" customFormat="1" ht="14.25" x14ac:dyDescent="0.2"/>
    <row r="2143" customFormat="1" ht="14.25" x14ac:dyDescent="0.2"/>
    <row r="2144" customFormat="1" ht="14.25" x14ac:dyDescent="0.2"/>
    <row r="2145" customFormat="1" ht="14.25" x14ac:dyDescent="0.2"/>
    <row r="2146" customFormat="1" ht="14.25" x14ac:dyDescent="0.2"/>
    <row r="2147" customFormat="1" ht="14.25" x14ac:dyDescent="0.2"/>
    <row r="2148" customFormat="1" ht="14.25" x14ac:dyDescent="0.2"/>
    <row r="2149" customFormat="1" ht="14.25" x14ac:dyDescent="0.2"/>
    <row r="2150" customFormat="1" ht="14.25" x14ac:dyDescent="0.2"/>
    <row r="2151" customFormat="1" ht="14.25" x14ac:dyDescent="0.2"/>
    <row r="2152" customFormat="1" ht="14.25" x14ac:dyDescent="0.2"/>
    <row r="2153" customFormat="1" ht="14.25" x14ac:dyDescent="0.2"/>
    <row r="2154" customFormat="1" ht="14.25" x14ac:dyDescent="0.2"/>
    <row r="2155" customFormat="1" ht="14.25" x14ac:dyDescent="0.2"/>
    <row r="2156" customFormat="1" ht="14.25" x14ac:dyDescent="0.2"/>
    <row r="2157" customFormat="1" ht="14.25" x14ac:dyDescent="0.2"/>
    <row r="2158" customFormat="1" ht="14.25" x14ac:dyDescent="0.2"/>
    <row r="2159" customFormat="1" ht="14.25" x14ac:dyDescent="0.2"/>
    <row r="2160" customFormat="1" ht="14.25" x14ac:dyDescent="0.2"/>
    <row r="2161" customFormat="1" ht="14.25" x14ac:dyDescent="0.2"/>
    <row r="2162" customFormat="1" ht="14.25" x14ac:dyDescent="0.2"/>
    <row r="2163" customFormat="1" ht="14.25" x14ac:dyDescent="0.2"/>
    <row r="2164" customFormat="1" ht="14.25" x14ac:dyDescent="0.2"/>
    <row r="2165" customFormat="1" ht="14.25" x14ac:dyDescent="0.2"/>
    <row r="2166" customFormat="1" ht="14.25" x14ac:dyDescent="0.2"/>
    <row r="2167" customFormat="1" ht="14.25" x14ac:dyDescent="0.2"/>
    <row r="2168" customFormat="1" ht="14.25" x14ac:dyDescent="0.2"/>
    <row r="2169" customFormat="1" ht="14.25" x14ac:dyDescent="0.2"/>
    <row r="2170" customFormat="1" ht="14.25" x14ac:dyDescent="0.2"/>
    <row r="2171" customFormat="1" ht="14.25" x14ac:dyDescent="0.2"/>
    <row r="2172" customFormat="1" ht="14.25" x14ac:dyDescent="0.2"/>
    <row r="2173" customFormat="1" ht="14.25" x14ac:dyDescent="0.2"/>
    <row r="2174" customFormat="1" ht="14.25" x14ac:dyDescent="0.2"/>
    <row r="2175" customFormat="1" ht="14.25" x14ac:dyDescent="0.2"/>
    <row r="2176" customFormat="1" ht="14.25" x14ac:dyDescent="0.2"/>
    <row r="2177" customFormat="1" ht="14.25" x14ac:dyDescent="0.2"/>
    <row r="2178" customFormat="1" ht="14.25" x14ac:dyDescent="0.2"/>
    <row r="2179" customFormat="1" ht="14.25" x14ac:dyDescent="0.2"/>
    <row r="2180" customFormat="1" ht="14.25" x14ac:dyDescent="0.2"/>
    <row r="2181" customFormat="1" ht="14.25" x14ac:dyDescent="0.2"/>
    <row r="2182" customFormat="1" ht="14.25" x14ac:dyDescent="0.2"/>
    <row r="2183" customFormat="1" ht="14.25" x14ac:dyDescent="0.2"/>
    <row r="2184" customFormat="1" ht="14.25" x14ac:dyDescent="0.2"/>
    <row r="2185" customFormat="1" ht="14.25" x14ac:dyDescent="0.2"/>
    <row r="2186" customFormat="1" ht="14.25" x14ac:dyDescent="0.2"/>
    <row r="2187" customFormat="1" ht="14.25" x14ac:dyDescent="0.2"/>
    <row r="2188" customFormat="1" ht="14.25" x14ac:dyDescent="0.2"/>
    <row r="2189" customFormat="1" ht="14.25" x14ac:dyDescent="0.2"/>
    <row r="2190" customFormat="1" ht="14.25" x14ac:dyDescent="0.2"/>
    <row r="2191" customFormat="1" ht="14.25" x14ac:dyDescent="0.2"/>
    <row r="2192" customFormat="1" ht="14.25" x14ac:dyDescent="0.2"/>
    <row r="2193" customFormat="1" ht="14.25" x14ac:dyDescent="0.2"/>
    <row r="2194" customFormat="1" ht="14.25" x14ac:dyDescent="0.2"/>
    <row r="2195" customFormat="1" ht="14.25" x14ac:dyDescent="0.2"/>
    <row r="2196" customFormat="1" ht="14.25" x14ac:dyDescent="0.2"/>
    <row r="2197" customFormat="1" ht="14.25" x14ac:dyDescent="0.2"/>
    <row r="2198" customFormat="1" ht="14.25" x14ac:dyDescent="0.2"/>
    <row r="2199" customFormat="1" ht="14.25" x14ac:dyDescent="0.2"/>
    <row r="2200" customFormat="1" ht="14.25" x14ac:dyDescent="0.2"/>
    <row r="2201" customFormat="1" ht="14.25" x14ac:dyDescent="0.2"/>
    <row r="2202" customFormat="1" ht="14.25" x14ac:dyDescent="0.2"/>
    <row r="2203" customFormat="1" ht="14.25" x14ac:dyDescent="0.2"/>
    <row r="2204" customFormat="1" ht="14.25" x14ac:dyDescent="0.2"/>
    <row r="2205" customFormat="1" ht="14.25" x14ac:dyDescent="0.2"/>
    <row r="2206" customFormat="1" ht="14.25" x14ac:dyDescent="0.2"/>
    <row r="2207" customFormat="1" ht="14.25" x14ac:dyDescent="0.2"/>
    <row r="2208" customFormat="1" ht="14.25" x14ac:dyDescent="0.2"/>
    <row r="2209" customFormat="1" ht="14.25" x14ac:dyDescent="0.2"/>
    <row r="2210" customFormat="1" ht="14.25" x14ac:dyDescent="0.2"/>
    <row r="2211" customFormat="1" ht="14.25" x14ac:dyDescent="0.2"/>
    <row r="2212" customFormat="1" ht="14.25" x14ac:dyDescent="0.2"/>
    <row r="2213" customFormat="1" ht="14.25" x14ac:dyDescent="0.2"/>
    <row r="2214" customFormat="1" ht="14.25" x14ac:dyDescent="0.2"/>
    <row r="2215" customFormat="1" ht="14.25" x14ac:dyDescent="0.2"/>
    <row r="2216" customFormat="1" ht="14.25" x14ac:dyDescent="0.2"/>
    <row r="2217" customFormat="1" ht="14.25" x14ac:dyDescent="0.2"/>
    <row r="2218" customFormat="1" ht="14.25" x14ac:dyDescent="0.2"/>
    <row r="2219" customFormat="1" ht="14.25" x14ac:dyDescent="0.2"/>
    <row r="2220" customFormat="1" ht="14.25" x14ac:dyDescent="0.2"/>
    <row r="2221" customFormat="1" ht="14.25" x14ac:dyDescent="0.2"/>
    <row r="2222" customFormat="1" ht="14.25" x14ac:dyDescent="0.2"/>
    <row r="2223" customFormat="1" ht="14.25" x14ac:dyDescent="0.2"/>
    <row r="2224" customFormat="1" ht="14.25" x14ac:dyDescent="0.2"/>
    <row r="2225" customFormat="1" ht="14.25" x14ac:dyDescent="0.2"/>
    <row r="2226" customFormat="1" ht="14.25" x14ac:dyDescent="0.2"/>
    <row r="2227" customFormat="1" ht="14.25" x14ac:dyDescent="0.2"/>
    <row r="2228" customFormat="1" ht="14.25" x14ac:dyDescent="0.2"/>
    <row r="2229" customFormat="1" ht="14.25" x14ac:dyDescent="0.2"/>
    <row r="2230" customFormat="1" ht="14.25" x14ac:dyDescent="0.2"/>
    <row r="2231" customFormat="1" ht="14.25" x14ac:dyDescent="0.2"/>
    <row r="2232" customFormat="1" ht="14.25" x14ac:dyDescent="0.2"/>
    <row r="2233" customFormat="1" ht="14.25" x14ac:dyDescent="0.2"/>
    <row r="2234" customFormat="1" ht="14.25" x14ac:dyDescent="0.2"/>
    <row r="2235" customFormat="1" ht="14.25" x14ac:dyDescent="0.2"/>
    <row r="2236" customFormat="1" ht="14.25" x14ac:dyDescent="0.2"/>
    <row r="2237" customFormat="1" ht="14.25" x14ac:dyDescent="0.2"/>
    <row r="2238" customFormat="1" ht="14.25" x14ac:dyDescent="0.2"/>
    <row r="2239" customFormat="1" ht="14.25" x14ac:dyDescent="0.2"/>
    <row r="2240" customFormat="1" ht="14.25" x14ac:dyDescent="0.2"/>
    <row r="2241" customFormat="1" ht="14.25" x14ac:dyDescent="0.2"/>
    <row r="2242" customFormat="1" ht="14.25" x14ac:dyDescent="0.2"/>
    <row r="2243" customFormat="1" ht="14.25" x14ac:dyDescent="0.2"/>
    <row r="2244" customFormat="1" ht="14.25" x14ac:dyDescent="0.2"/>
    <row r="2245" customFormat="1" ht="14.25" x14ac:dyDescent="0.2"/>
    <row r="2246" customFormat="1" ht="14.25" x14ac:dyDescent="0.2"/>
    <row r="2247" customFormat="1" ht="14.25" x14ac:dyDescent="0.2"/>
    <row r="2248" customFormat="1" ht="14.25" x14ac:dyDescent="0.2"/>
    <row r="2249" customFormat="1" ht="14.25" x14ac:dyDescent="0.2"/>
    <row r="2250" customFormat="1" ht="14.25" x14ac:dyDescent="0.2"/>
    <row r="2251" customFormat="1" ht="14.25" x14ac:dyDescent="0.2"/>
    <row r="2252" customFormat="1" ht="14.25" x14ac:dyDescent="0.2"/>
    <row r="2253" customFormat="1" ht="14.25" x14ac:dyDescent="0.2"/>
    <row r="2254" customFormat="1" ht="14.25" x14ac:dyDescent="0.2"/>
    <row r="2255" customFormat="1" ht="14.25" x14ac:dyDescent="0.2"/>
    <row r="2256" customFormat="1" ht="14.25" x14ac:dyDescent="0.2"/>
    <row r="2257" customFormat="1" ht="14.25" x14ac:dyDescent="0.2"/>
    <row r="2258" customFormat="1" ht="14.25" x14ac:dyDescent="0.2"/>
    <row r="2259" customFormat="1" ht="14.25" x14ac:dyDescent="0.2"/>
    <row r="2260" customFormat="1" ht="14.25" x14ac:dyDescent="0.2"/>
    <row r="2261" customFormat="1" ht="14.25" x14ac:dyDescent="0.2"/>
    <row r="2262" customFormat="1" ht="14.25" x14ac:dyDescent="0.2"/>
    <row r="2263" customFormat="1" ht="14.25" x14ac:dyDescent="0.2"/>
    <row r="2264" customFormat="1" ht="14.25" x14ac:dyDescent="0.2"/>
    <row r="2265" customFormat="1" ht="14.25" x14ac:dyDescent="0.2"/>
    <row r="2266" customFormat="1" ht="14.25" x14ac:dyDescent="0.2"/>
    <row r="2267" customFormat="1" ht="14.25" x14ac:dyDescent="0.2"/>
    <row r="2268" customFormat="1" ht="14.25" x14ac:dyDescent="0.2"/>
    <row r="2269" customFormat="1" ht="14.25" x14ac:dyDescent="0.2"/>
    <row r="2270" customFormat="1" ht="14.25" x14ac:dyDescent="0.2"/>
    <row r="2271" customFormat="1" ht="14.25" x14ac:dyDescent="0.2"/>
    <row r="2272" customFormat="1" ht="14.25" x14ac:dyDescent="0.2"/>
    <row r="2273" customFormat="1" ht="14.25" x14ac:dyDescent="0.2"/>
    <row r="2274" customFormat="1" ht="14.25" x14ac:dyDescent="0.2"/>
    <row r="2275" customFormat="1" ht="14.25" x14ac:dyDescent="0.2"/>
    <row r="2276" customFormat="1" ht="14.25" x14ac:dyDescent="0.2"/>
    <row r="2277" customFormat="1" ht="14.25" x14ac:dyDescent="0.2"/>
    <row r="2278" customFormat="1" ht="14.25" x14ac:dyDescent="0.2"/>
    <row r="2279" customFormat="1" ht="14.25" x14ac:dyDescent="0.2"/>
    <row r="2280" customFormat="1" ht="14.25" x14ac:dyDescent="0.2"/>
    <row r="2281" customFormat="1" ht="14.25" x14ac:dyDescent="0.2"/>
    <row r="2282" customFormat="1" ht="14.25" x14ac:dyDescent="0.2"/>
    <row r="2283" customFormat="1" ht="14.25" x14ac:dyDescent="0.2"/>
    <row r="2284" customFormat="1" ht="14.25" x14ac:dyDescent="0.2"/>
    <row r="2285" customFormat="1" ht="14.25" x14ac:dyDescent="0.2"/>
    <row r="2286" customFormat="1" ht="14.25" x14ac:dyDescent="0.2"/>
    <row r="2287" customFormat="1" ht="14.25" x14ac:dyDescent="0.2"/>
    <row r="2288" customFormat="1" ht="14.25" x14ac:dyDescent="0.2"/>
    <row r="2289" customFormat="1" ht="14.25" x14ac:dyDescent="0.2"/>
    <row r="2290" customFormat="1" ht="14.25" x14ac:dyDescent="0.2"/>
    <row r="2291" customFormat="1" ht="14.25" x14ac:dyDescent="0.2"/>
    <row r="2292" customFormat="1" ht="14.25" x14ac:dyDescent="0.2"/>
    <row r="2293" customFormat="1" ht="14.25" x14ac:dyDescent="0.2"/>
    <row r="2294" customFormat="1" ht="14.25" x14ac:dyDescent="0.2"/>
    <row r="2295" customFormat="1" ht="14.25" x14ac:dyDescent="0.2"/>
    <row r="2296" customFormat="1" ht="14.25" x14ac:dyDescent="0.2"/>
    <row r="2297" customFormat="1" ht="14.25" x14ac:dyDescent="0.2"/>
    <row r="2298" customFormat="1" ht="14.25" x14ac:dyDescent="0.2"/>
    <row r="2299" customFormat="1" ht="14.25" x14ac:dyDescent="0.2"/>
    <row r="2300" customFormat="1" ht="14.25" x14ac:dyDescent="0.2"/>
    <row r="2301" customFormat="1" ht="14.25" x14ac:dyDescent="0.2"/>
    <row r="2302" customFormat="1" ht="14.25" x14ac:dyDescent="0.2"/>
    <row r="2303" customFormat="1" ht="14.25" x14ac:dyDescent="0.2"/>
    <row r="2304" customFormat="1" ht="14.25" x14ac:dyDescent="0.2"/>
    <row r="2305" customFormat="1" ht="14.25" x14ac:dyDescent="0.2"/>
    <row r="2306" customFormat="1" ht="14.25" x14ac:dyDescent="0.2"/>
    <row r="2307" customFormat="1" ht="14.25" x14ac:dyDescent="0.2"/>
    <row r="2308" customFormat="1" ht="14.25" x14ac:dyDescent="0.2"/>
    <row r="2309" customFormat="1" ht="14.25" x14ac:dyDescent="0.2"/>
    <row r="2310" customFormat="1" ht="14.25" x14ac:dyDescent="0.2"/>
    <row r="2311" customFormat="1" ht="14.25" x14ac:dyDescent="0.2"/>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348"/>
  <sheetViews>
    <sheetView zoomScaleNormal="100" workbookViewId="0">
      <selection activeCell="B1" sqref="B1:E1"/>
    </sheetView>
  </sheetViews>
  <sheetFormatPr defaultRowHeight="14.25" x14ac:dyDescent="0.2"/>
  <cols>
    <col min="1" max="1" width="9.5" style="525" customWidth="1"/>
    <col min="2" max="2" width="11.25" style="490"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0" customWidth="1"/>
    <col min="13" max="13" width="6.375" style="490" customWidth="1"/>
    <col min="14" max="14" width="12" style="490" customWidth="1"/>
    <col min="15" max="55" width="8.125" style="443" customWidth="1"/>
  </cols>
  <sheetData>
    <row r="1" spans="1:55" ht="96" customHeight="1" x14ac:dyDescent="0.2">
      <c r="B1" s="740" t="s">
        <v>307</v>
      </c>
      <c r="C1" s="740"/>
      <c r="D1" s="740"/>
      <c r="E1" s="740"/>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49" customFormat="1" ht="34.5" customHeight="1" x14ac:dyDescent="0.2">
      <c r="A2" s="556" t="s">
        <v>241</v>
      </c>
      <c r="B2" s="557" t="s">
        <v>257</v>
      </c>
      <c r="C2" s="557" t="s">
        <v>242</v>
      </c>
      <c r="D2" s="557" t="s">
        <v>243</v>
      </c>
      <c r="E2" s="557" t="s">
        <v>202</v>
      </c>
      <c r="F2" s="557" t="s">
        <v>201</v>
      </c>
      <c r="G2" s="556" t="s">
        <v>210</v>
      </c>
      <c r="H2" s="556" t="s">
        <v>310</v>
      </c>
      <c r="I2" s="558" t="s">
        <v>309</v>
      </c>
      <c r="J2" s="558" t="s">
        <v>308</v>
      </c>
      <c r="K2" s="556" t="s">
        <v>256</v>
      </c>
      <c r="L2" s="556" t="s">
        <v>163</v>
      </c>
      <c r="M2" s="558" t="s">
        <v>268</v>
      </c>
      <c r="N2" s="558" t="s">
        <v>269</v>
      </c>
      <c r="O2" s="535" t="s">
        <v>264</v>
      </c>
      <c r="P2" s="535" t="s">
        <v>265</v>
      </c>
      <c r="Q2" s="538" t="s">
        <v>266</v>
      </c>
      <c r="R2" s="538" t="s">
        <v>267</v>
      </c>
      <c r="S2" s="538" t="s">
        <v>270</v>
      </c>
      <c r="T2" s="538" t="s">
        <v>271</v>
      </c>
      <c r="U2" s="538" t="s">
        <v>272</v>
      </c>
      <c r="V2" s="538" t="s">
        <v>273</v>
      </c>
      <c r="W2" s="538" t="s">
        <v>274</v>
      </c>
      <c r="X2" s="538" t="s">
        <v>275</v>
      </c>
      <c r="Y2" s="538" t="s">
        <v>276</v>
      </c>
      <c r="Z2" s="538" t="s">
        <v>277</v>
      </c>
      <c r="AA2" s="538" t="s">
        <v>278</v>
      </c>
      <c r="AB2" s="538" t="s">
        <v>279</v>
      </c>
      <c r="AC2" s="539" t="s">
        <v>280</v>
      </c>
      <c r="AD2" s="539" t="s">
        <v>281</v>
      </c>
      <c r="AE2" s="539" t="s">
        <v>282</v>
      </c>
      <c r="AF2" s="539" t="s">
        <v>283</v>
      </c>
      <c r="AG2" s="539" t="s">
        <v>284</v>
      </c>
      <c r="AH2" s="539" t="s">
        <v>285</v>
      </c>
      <c r="AI2" s="539" t="s">
        <v>286</v>
      </c>
      <c r="AJ2" s="539" t="s">
        <v>287</v>
      </c>
      <c r="AK2" s="539" t="s">
        <v>288</v>
      </c>
      <c r="AL2" s="539" t="s">
        <v>289</v>
      </c>
      <c r="AM2" s="539" t="s">
        <v>290</v>
      </c>
      <c r="AN2" s="539" t="s">
        <v>291</v>
      </c>
      <c r="AO2" s="536" t="s">
        <v>292</v>
      </c>
      <c r="AP2" s="536" t="s">
        <v>293</v>
      </c>
      <c r="AQ2" s="536" t="s">
        <v>294</v>
      </c>
      <c r="AR2" s="536" t="s">
        <v>295</v>
      </c>
      <c r="AS2" s="536" t="s">
        <v>296</v>
      </c>
      <c r="AT2" s="536" t="s">
        <v>297</v>
      </c>
      <c r="AU2" s="536" t="s">
        <v>298</v>
      </c>
      <c r="AV2" s="536" t="s">
        <v>299</v>
      </c>
      <c r="AW2" s="536" t="s">
        <v>300</v>
      </c>
      <c r="AX2" s="536" t="s">
        <v>301</v>
      </c>
      <c r="AY2" s="536" t="s">
        <v>302</v>
      </c>
      <c r="AZ2" s="536" t="s">
        <v>303</v>
      </c>
      <c r="BA2" s="537" t="s">
        <v>304</v>
      </c>
      <c r="BB2" s="537" t="s">
        <v>305</v>
      </c>
      <c r="BC2" s="537" t="s">
        <v>306</v>
      </c>
    </row>
    <row r="3" spans="1:55" x14ac:dyDescent="0.2">
      <c r="A3" s="530" t="str">
        <f t="shared" ref="A3:A34" si="0">R.1Division</f>
        <v>AQ</v>
      </c>
      <c r="B3" s="49" t="str">
        <f t="shared" ref="B3:B34" si="1">R.1CodeName</f>
        <v>GPLMP</v>
      </c>
      <c r="C3" s="49" t="s">
        <v>244</v>
      </c>
      <c r="D3" s="531" t="s">
        <v>194</v>
      </c>
      <c r="E3" s="49" t="s">
        <v>50</v>
      </c>
      <c r="F3" s="532" t="str">
        <f>R.3SEname</f>
        <v>Brian Finneran</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216</v>
      </c>
      <c r="N3" s="546" t="s">
        <v>216</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x14ac:dyDescent="0.2">
      <c r="A4" s="530" t="str">
        <f t="shared" si="0"/>
        <v>AQ</v>
      </c>
      <c r="B4" s="49" t="str">
        <f t="shared" si="1"/>
        <v>GPLMP</v>
      </c>
      <c r="C4" s="49" t="s">
        <v>244</v>
      </c>
      <c r="D4" s="531" t="s">
        <v>115</v>
      </c>
      <c r="E4" s="49" t="s">
        <v>50</v>
      </c>
      <c r="F4" s="532" t="str">
        <f>R.3LMname</f>
        <v>David Collier</v>
      </c>
      <c r="G4" s="542">
        <f>R.3LMHrs</f>
        <v>2</v>
      </c>
      <c r="H4" s="543">
        <f>Table3[[#This Row],[Hrs Rank]]</f>
        <v>2</v>
      </c>
      <c r="I4" s="533">
        <f t="shared" si="2"/>
        <v>8</v>
      </c>
      <c r="J4" s="533">
        <f t="shared" si="3"/>
        <v>40</v>
      </c>
      <c r="K4" s="545"/>
      <c r="L4" s="545"/>
      <c r="M4" s="546" t="s">
        <v>216</v>
      </c>
      <c r="N4" s="546" t="s">
        <v>216</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x14ac:dyDescent="0.2">
      <c r="A5" s="530" t="str">
        <f t="shared" si="0"/>
        <v>AQ</v>
      </c>
      <c r="B5" s="49" t="str">
        <f t="shared" si="1"/>
        <v>GPLMP</v>
      </c>
      <c r="C5" s="49" t="s">
        <v>244</v>
      </c>
      <c r="D5" s="531" t="s">
        <v>116</v>
      </c>
      <c r="E5" s="49" t="s">
        <v>50</v>
      </c>
      <c r="F5" s="532" t="str">
        <f>R.3LAname</f>
        <v>Uri Papish</v>
      </c>
      <c r="G5" s="542">
        <f>R.3LAHrs</f>
        <v>1</v>
      </c>
      <c r="H5" s="543">
        <f>Table3[[#This Row],[Hrs Rank]]</f>
        <v>1</v>
      </c>
      <c r="I5" s="533">
        <f t="shared" si="2"/>
        <v>1</v>
      </c>
      <c r="J5" s="533">
        <f t="shared" si="3"/>
        <v>8</v>
      </c>
      <c r="K5" s="545"/>
      <c r="L5" s="545"/>
      <c r="M5" s="546" t="s">
        <v>216</v>
      </c>
      <c r="N5" s="546" t="s">
        <v>216</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x14ac:dyDescent="0.2">
      <c r="A6" s="530" t="str">
        <f t="shared" si="0"/>
        <v>AQ</v>
      </c>
      <c r="B6" s="49" t="str">
        <f t="shared" si="1"/>
        <v>GPLMP</v>
      </c>
      <c r="C6" s="49" t="s">
        <v>244</v>
      </c>
      <c r="D6" s="531" t="s">
        <v>196</v>
      </c>
      <c r="E6" s="49" t="s">
        <v>50</v>
      </c>
      <c r="F6" s="532" t="str">
        <f>R.3PEname</f>
        <v>Andrea Gartenbaum</v>
      </c>
      <c r="G6" s="542">
        <f>R.3PEHrs</f>
        <v>4</v>
      </c>
      <c r="H6" s="543">
        <f>Table3[[#This Row],[Hrs Rank]]</f>
        <v>4</v>
      </c>
      <c r="I6" s="533">
        <f t="shared" si="2"/>
        <v>80</v>
      </c>
      <c r="J6" s="533">
        <f t="shared" si="3"/>
        <v>170</v>
      </c>
      <c r="K6" s="545"/>
      <c r="L6" s="545"/>
      <c r="M6" s="546" t="s">
        <v>216</v>
      </c>
      <c r="N6" s="546" t="s">
        <v>216</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x14ac:dyDescent="0.2">
      <c r="A7" s="530" t="str">
        <f t="shared" si="0"/>
        <v>AQ</v>
      </c>
      <c r="B7" s="49" t="str">
        <f t="shared" si="1"/>
        <v>GPLMP</v>
      </c>
      <c r="C7" s="49" t="s">
        <v>244</v>
      </c>
      <c r="D7" s="531" t="s">
        <v>117</v>
      </c>
      <c r="E7" s="49" t="s">
        <v>50</v>
      </c>
      <c r="F7" s="532" t="str">
        <f>R.3PAname</f>
        <v>PA name</v>
      </c>
      <c r="G7" s="542">
        <f>R.3PAHrs</f>
        <v>0</v>
      </c>
      <c r="H7" s="543">
        <f>Table3[[#This Row],[Hrs Rank]]</f>
        <v>0</v>
      </c>
      <c r="I7" s="533">
        <f t="shared" si="2"/>
        <v>0</v>
      </c>
      <c r="J7" s="533">
        <f t="shared" si="3"/>
        <v>0</v>
      </c>
      <c r="K7" s="545"/>
      <c r="L7" s="545"/>
      <c r="M7" s="546" t="s">
        <v>216</v>
      </c>
      <c r="N7" s="546" t="s">
        <v>216</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x14ac:dyDescent="0.2">
      <c r="A8" s="530" t="str">
        <f t="shared" si="0"/>
        <v>AQ</v>
      </c>
      <c r="B8" s="49" t="str">
        <f t="shared" si="1"/>
        <v>GPLMP</v>
      </c>
      <c r="C8" s="49" t="s">
        <v>244</v>
      </c>
      <c r="D8" s="531" t="str">
        <f>R.3CustomRole1</f>
        <v>Custom Role 1</v>
      </c>
      <c r="E8" s="49" t="s">
        <v>50</v>
      </c>
      <c r="F8" s="532" t="str">
        <f>R.3CustomName1</f>
        <v>Chris Swab</v>
      </c>
      <c r="G8" s="542">
        <f>R.3CustomHrs1</f>
        <v>5</v>
      </c>
      <c r="H8" s="543">
        <f>Table3[[#This Row],[Hrs Rank]]</f>
        <v>5</v>
      </c>
      <c r="I8" s="533">
        <f t="shared" si="2"/>
        <v>170</v>
      </c>
      <c r="J8" s="533">
        <f t="shared" si="3"/>
        <v>340</v>
      </c>
      <c r="K8" s="545"/>
      <c r="L8" s="545"/>
      <c r="M8" s="546" t="s">
        <v>216</v>
      </c>
      <c r="N8" s="546" t="s">
        <v>216</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x14ac:dyDescent="0.2">
      <c r="A9" s="530" t="str">
        <f t="shared" si="0"/>
        <v>AQ</v>
      </c>
      <c r="B9" s="49" t="str">
        <f t="shared" si="1"/>
        <v>GPLMP</v>
      </c>
      <c r="C9" s="49" t="s">
        <v>244</v>
      </c>
      <c r="D9" s="531" t="str">
        <f>R.3CustomRole2</f>
        <v>Custom Role 2</v>
      </c>
      <c r="E9" s="49" t="s">
        <v>50</v>
      </c>
      <c r="F9" s="532" t="str">
        <f>R.3CustomName2</f>
        <v>Cr2 name</v>
      </c>
      <c r="G9" s="542">
        <f>R.3CustomHrs2</f>
        <v>0</v>
      </c>
      <c r="H9" s="543">
        <f>Table3[[#This Row],[Hrs Rank]]</f>
        <v>0</v>
      </c>
      <c r="I9" s="533">
        <f t="shared" si="2"/>
        <v>0</v>
      </c>
      <c r="J9" s="533">
        <f t="shared" si="3"/>
        <v>0</v>
      </c>
      <c r="K9" s="545"/>
      <c r="L9" s="545"/>
      <c r="M9" s="546" t="s">
        <v>216</v>
      </c>
      <c r="N9" s="546" t="s">
        <v>216</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x14ac:dyDescent="0.2">
      <c r="A10" s="530" t="str">
        <f t="shared" si="0"/>
        <v>AQ</v>
      </c>
      <c r="B10" s="49" t="str">
        <f t="shared" si="1"/>
        <v>GPLMP</v>
      </c>
      <c r="C10" s="49" t="s">
        <v>195</v>
      </c>
      <c r="D10" s="531" t="s">
        <v>199</v>
      </c>
      <c r="E10" s="49" t="s">
        <v>50</v>
      </c>
      <c r="F10" s="532" t="str">
        <f>R.4AGName</f>
        <v>Paul Garrahan</v>
      </c>
      <c r="G10" s="542">
        <f>R.4AGHrs</f>
        <v>1</v>
      </c>
      <c r="H10" s="543">
        <f>Table3[[#This Row],[Hrs Rank]]</f>
        <v>1</v>
      </c>
      <c r="I10" s="533">
        <f t="shared" si="2"/>
        <v>1</v>
      </c>
      <c r="J10" s="533">
        <f t="shared" si="3"/>
        <v>8</v>
      </c>
      <c r="K10" s="545"/>
      <c r="L10" s="545"/>
      <c r="M10" s="546" t="s">
        <v>216</v>
      </c>
      <c r="N10" s="546" t="s">
        <v>216</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x14ac:dyDescent="0.2">
      <c r="A11" s="530" t="str">
        <f t="shared" si="0"/>
        <v>AQ</v>
      </c>
      <c r="B11" s="49" t="str">
        <f t="shared" si="1"/>
        <v>GPLMP</v>
      </c>
      <c r="C11" s="49" t="s">
        <v>195</v>
      </c>
      <c r="D11" s="531" t="s">
        <v>118</v>
      </c>
      <c r="E11" s="49" t="s">
        <v>50</v>
      </c>
      <c r="F11" s="532" t="str">
        <f>R.4ARCName</f>
        <v>Maggie Vandehey</v>
      </c>
      <c r="G11" s="542">
        <f>R.4ARCHrs</f>
        <v>4</v>
      </c>
      <c r="H11" s="543">
        <f>Table3[[#This Row],[Hrs Rank]]</f>
        <v>4</v>
      </c>
      <c r="I11" s="533">
        <f t="shared" si="2"/>
        <v>80</v>
      </c>
      <c r="J11" s="533">
        <f t="shared" si="3"/>
        <v>170</v>
      </c>
      <c r="K11" s="545"/>
      <c r="L11" s="545"/>
      <c r="M11" s="546" t="s">
        <v>216</v>
      </c>
      <c r="N11" s="546" t="s">
        <v>216</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x14ac:dyDescent="0.2">
      <c r="A12" s="530" t="str">
        <f t="shared" si="0"/>
        <v>AQ</v>
      </c>
      <c r="B12" s="49" t="str">
        <f t="shared" si="1"/>
        <v>GPLMP</v>
      </c>
      <c r="C12" s="49" t="s">
        <v>195</v>
      </c>
      <c r="D12" s="531" t="s">
        <v>164</v>
      </c>
      <c r="E12" s="49" t="s">
        <v>50</v>
      </c>
      <c r="F12" s="532" t="str">
        <f>R.4SIPCoName</f>
        <v>Andrea Gartenbaum</v>
      </c>
      <c r="G12" s="542">
        <f>R.4ASIPCoHrs</f>
        <v>2</v>
      </c>
      <c r="H12" s="543">
        <f>Table3[[#This Row],[Hrs Rank]]</f>
        <v>2</v>
      </c>
      <c r="I12" s="533">
        <f t="shared" si="2"/>
        <v>8</v>
      </c>
      <c r="J12" s="533">
        <f t="shared" si="3"/>
        <v>40</v>
      </c>
      <c r="K12" s="545"/>
      <c r="L12" s="545"/>
      <c r="M12" s="546" t="s">
        <v>216</v>
      </c>
      <c r="N12" s="546" t="s">
        <v>216</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x14ac:dyDescent="0.2">
      <c r="A13" s="530" t="str">
        <f t="shared" si="0"/>
        <v>AQ</v>
      </c>
      <c r="B13" s="49" t="str">
        <f t="shared" si="1"/>
        <v>GPLMP</v>
      </c>
      <c r="C13" s="49" t="s">
        <v>195</v>
      </c>
      <c r="D13" s="531" t="str">
        <f>R.4CustomRole1</f>
        <v>Custom Role 1</v>
      </c>
      <c r="E13" s="49" t="s">
        <v>50</v>
      </c>
      <c r="F13" s="532" t="str">
        <f>R.4CustomRole2</f>
        <v>Custom Role 2</v>
      </c>
      <c r="G13" s="542">
        <f>R.4CustomHrs1</f>
        <v>0</v>
      </c>
      <c r="H13" s="543">
        <f>Table3[[#This Row],[Hrs Rank]]</f>
        <v>0</v>
      </c>
      <c r="I13" s="533">
        <f t="shared" si="2"/>
        <v>0</v>
      </c>
      <c r="J13" s="533">
        <f t="shared" si="3"/>
        <v>0</v>
      </c>
      <c r="K13" s="545"/>
      <c r="L13" s="545"/>
      <c r="M13" s="546" t="s">
        <v>216</v>
      </c>
      <c r="N13" s="546" t="s">
        <v>216</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x14ac:dyDescent="0.2">
      <c r="A14" s="530" t="str">
        <f t="shared" si="0"/>
        <v>AQ</v>
      </c>
      <c r="B14" s="49" t="str">
        <f t="shared" si="1"/>
        <v>GPLMP</v>
      </c>
      <c r="C14" s="49" t="s">
        <v>195</v>
      </c>
      <c r="D14" s="531" t="str">
        <f>R.4CustomRole2</f>
        <v>Custom Role 2</v>
      </c>
      <c r="E14" s="49" t="s">
        <v>50</v>
      </c>
      <c r="F14" s="532" t="str">
        <f>R.4CustomRole1</f>
        <v>Custom Role 1</v>
      </c>
      <c r="G14" s="542">
        <f>R.4CustomHrs2</f>
        <v>0</v>
      </c>
      <c r="H14" s="543">
        <f>Table3[[#This Row],[Hrs Rank]]</f>
        <v>0</v>
      </c>
      <c r="I14" s="533">
        <f t="shared" si="2"/>
        <v>0</v>
      </c>
      <c r="J14" s="533">
        <f t="shared" si="3"/>
        <v>0</v>
      </c>
      <c r="K14" s="545"/>
      <c r="L14" s="545"/>
      <c r="M14" s="546" t="s">
        <v>216</v>
      </c>
      <c r="N14" s="546" t="s">
        <v>216</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x14ac:dyDescent="0.2">
      <c r="A15" s="530" t="str">
        <f t="shared" si="0"/>
        <v>AQ</v>
      </c>
      <c r="B15" s="49" t="str">
        <f t="shared" si="1"/>
        <v>GPLMP</v>
      </c>
      <c r="C15" s="49" t="s">
        <v>245</v>
      </c>
      <c r="D15" s="531" t="s">
        <v>172</v>
      </c>
      <c r="E15" s="49" t="s">
        <v>50</v>
      </c>
      <c r="F15" s="532" t="str">
        <f>R.5EQCName1</f>
        <v>EQC - all members</v>
      </c>
      <c r="G15" s="542">
        <f>R.5EQCHrs1</f>
        <v>1</v>
      </c>
      <c r="H15" s="543">
        <f>Table3[[#This Row],[Hrs Rank]]</f>
        <v>1</v>
      </c>
      <c r="I15" s="533">
        <f t="shared" si="2"/>
        <v>1</v>
      </c>
      <c r="J15" s="533">
        <f t="shared" si="3"/>
        <v>8</v>
      </c>
      <c r="K15" s="545"/>
      <c r="L15" s="545"/>
      <c r="M15" s="546" t="s">
        <v>216</v>
      </c>
      <c r="N15" s="546" t="s">
        <v>216</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x14ac:dyDescent="0.2">
      <c r="A16" s="530" t="str">
        <f t="shared" si="0"/>
        <v>AQ</v>
      </c>
      <c r="B16" s="49" t="str">
        <f t="shared" si="1"/>
        <v>GPLMP</v>
      </c>
      <c r="C16" s="49" t="s">
        <v>245</v>
      </c>
      <c r="D16" s="531" t="s">
        <v>174</v>
      </c>
      <c r="E16" s="49" t="s">
        <v>50</v>
      </c>
      <c r="F16" s="532" t="str">
        <f>R.5EQCName2</f>
        <v>Bill Blosser</v>
      </c>
      <c r="G16" s="542">
        <f>R.5EQCHrs2</f>
        <v>1</v>
      </c>
      <c r="H16" s="543">
        <f>Table3[[#This Row],[Hrs Rank]]</f>
        <v>1</v>
      </c>
      <c r="I16" s="533">
        <f t="shared" si="2"/>
        <v>1</v>
      </c>
      <c r="J16" s="533">
        <f t="shared" si="3"/>
        <v>8</v>
      </c>
      <c r="K16" s="545"/>
      <c r="L16" s="545"/>
      <c r="M16" s="546" t="s">
        <v>216</v>
      </c>
      <c r="N16" s="546" t="s">
        <v>216</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x14ac:dyDescent="0.2">
      <c r="A17" s="530" t="str">
        <f t="shared" si="0"/>
        <v>AQ</v>
      </c>
      <c r="B17" s="49" t="str">
        <f t="shared" si="1"/>
        <v>GPLMP</v>
      </c>
      <c r="C17" s="49" t="s">
        <v>245</v>
      </c>
      <c r="D17" s="531" t="s">
        <v>175</v>
      </c>
      <c r="E17" s="49" t="s">
        <v>50</v>
      </c>
      <c r="F17" s="532" t="str">
        <f>R.5EQCName3</f>
        <v>Jane O'Keeffee</v>
      </c>
      <c r="G17" s="542">
        <f>R.5EQCHrs3</f>
        <v>1</v>
      </c>
      <c r="H17" s="543">
        <f>Table3[[#This Row],[Hrs Rank]]</f>
        <v>1</v>
      </c>
      <c r="I17" s="533">
        <f t="shared" si="2"/>
        <v>1</v>
      </c>
      <c r="J17" s="533">
        <f t="shared" si="3"/>
        <v>8</v>
      </c>
      <c r="K17" s="545"/>
      <c r="L17" s="545"/>
      <c r="M17" s="546" t="s">
        <v>216</v>
      </c>
      <c r="N17" s="546" t="s">
        <v>216</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x14ac:dyDescent="0.2">
      <c r="A18" s="530" t="str">
        <f t="shared" si="0"/>
        <v>AQ</v>
      </c>
      <c r="B18" s="49" t="str">
        <f t="shared" si="1"/>
        <v>GPLMP</v>
      </c>
      <c r="C18" s="49" t="s">
        <v>245</v>
      </c>
      <c r="D18" s="531" t="s">
        <v>181</v>
      </c>
      <c r="E18" s="49" t="s">
        <v>50</v>
      </c>
      <c r="F18" s="532" t="str">
        <f>R.5EQCName4</f>
        <v>Ed Armstrong</v>
      </c>
      <c r="G18" s="542">
        <f>R.5EQCHrs4</f>
        <v>1</v>
      </c>
      <c r="H18" s="543">
        <f>Table3[[#This Row],[Hrs Rank]]</f>
        <v>1</v>
      </c>
      <c r="I18" s="533">
        <f t="shared" si="2"/>
        <v>1</v>
      </c>
      <c r="J18" s="533">
        <f t="shared" si="3"/>
        <v>8</v>
      </c>
      <c r="K18" s="545"/>
      <c r="L18" s="545"/>
      <c r="M18" s="546" t="s">
        <v>216</v>
      </c>
      <c r="N18" s="546" t="s">
        <v>216</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x14ac:dyDescent="0.2">
      <c r="A19" s="530" t="str">
        <f t="shared" si="0"/>
        <v>AQ</v>
      </c>
      <c r="B19" s="49" t="str">
        <f t="shared" si="1"/>
        <v>GPLMP</v>
      </c>
      <c r="C19" s="49" t="s">
        <v>245</v>
      </c>
      <c r="D19" s="531" t="s">
        <v>181</v>
      </c>
      <c r="E19" s="49" t="s">
        <v>50</v>
      </c>
      <c r="F19" s="532" t="str">
        <f>R.5EQCName5</f>
        <v>Morgan Rider</v>
      </c>
      <c r="G19" s="542">
        <f>R.5EQCHrs5</f>
        <v>1</v>
      </c>
      <c r="H19" s="543">
        <f>Table3[[#This Row],[Hrs Rank]]</f>
        <v>1</v>
      </c>
      <c r="I19" s="533">
        <f t="shared" si="2"/>
        <v>1</v>
      </c>
      <c r="J19" s="533">
        <f t="shared" si="3"/>
        <v>8</v>
      </c>
      <c r="K19" s="545"/>
      <c r="L19" s="545"/>
      <c r="M19" s="546" t="s">
        <v>216</v>
      </c>
      <c r="N19" s="546" t="s">
        <v>216</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x14ac:dyDescent="0.2">
      <c r="A20" s="530" t="str">
        <f t="shared" si="0"/>
        <v>AQ</v>
      </c>
      <c r="B20" s="49" t="str">
        <f t="shared" si="1"/>
        <v>GPLMP</v>
      </c>
      <c r="C20" s="49" t="s">
        <v>245</v>
      </c>
      <c r="D20" s="531" t="s">
        <v>181</v>
      </c>
      <c r="E20" s="49" t="s">
        <v>50</v>
      </c>
      <c r="F20" s="532" t="str">
        <f>R.5EQCName6</f>
        <v>Pending appointment</v>
      </c>
      <c r="G20" s="542">
        <f>R.5EQCHrs6</f>
        <v>0</v>
      </c>
      <c r="H20" s="543">
        <f>Table3[[#This Row],[Hrs Rank]]</f>
        <v>0</v>
      </c>
      <c r="I20" s="533">
        <f t="shared" si="2"/>
        <v>0</v>
      </c>
      <c r="J20" s="533">
        <f t="shared" si="3"/>
        <v>0</v>
      </c>
      <c r="K20" s="545"/>
      <c r="L20" s="545"/>
      <c r="M20" s="546" t="s">
        <v>216</v>
      </c>
      <c r="N20" s="546" t="s">
        <v>216</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x14ac:dyDescent="0.2">
      <c r="A21" s="530" t="str">
        <f t="shared" si="0"/>
        <v>AQ</v>
      </c>
      <c r="B21" s="49" t="str">
        <f t="shared" si="1"/>
        <v>GPLMP</v>
      </c>
      <c r="C21" s="49" t="s">
        <v>245</v>
      </c>
      <c r="D21" s="534" t="s">
        <v>258</v>
      </c>
      <c r="E21" s="49" t="s">
        <v>50</v>
      </c>
      <c r="F21" s="534" t="str">
        <f>R.5InterestedStaffNameA</f>
        <v xml:space="preserve">Claudia Davis, Wayne Kauzlarich </v>
      </c>
      <c r="G21" s="542">
        <f>R.5InterestedStaffHrsA</f>
        <v>1</v>
      </c>
      <c r="H21" s="543">
        <f>Table3[[#This Row],[Hrs Rank]]</f>
        <v>1</v>
      </c>
      <c r="I21" s="533">
        <f t="shared" si="2"/>
        <v>1</v>
      </c>
      <c r="J21" s="533">
        <f t="shared" si="3"/>
        <v>8</v>
      </c>
      <c r="K21" s="545"/>
      <c r="L21" s="545"/>
      <c r="M21" s="546" t="s">
        <v>216</v>
      </c>
      <c r="N21" s="546" t="s">
        <v>216</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x14ac:dyDescent="0.2">
      <c r="A22" s="530" t="str">
        <f t="shared" si="0"/>
        <v>AQ</v>
      </c>
      <c r="B22" s="49" t="str">
        <f t="shared" si="1"/>
        <v>GPLMP</v>
      </c>
      <c r="C22" s="49" t="s">
        <v>245</v>
      </c>
      <c r="D22" s="534" t="s">
        <v>258</v>
      </c>
      <c r="E22" s="49" t="s">
        <v>50</v>
      </c>
      <c r="F22" s="534">
        <f>R.5InterestedStaffNameB</f>
        <v>0</v>
      </c>
      <c r="G22" s="542">
        <f>R.5InterestedStaffHrsB</f>
        <v>0</v>
      </c>
      <c r="H22" s="543">
        <f>Table3[[#This Row],[Hrs Rank]]</f>
        <v>0</v>
      </c>
      <c r="I22" s="533">
        <f t="shared" si="2"/>
        <v>0</v>
      </c>
      <c r="J22" s="533">
        <f t="shared" si="3"/>
        <v>0</v>
      </c>
      <c r="K22" s="545"/>
      <c r="L22" s="545"/>
      <c r="M22" s="546" t="s">
        <v>216</v>
      </c>
      <c r="N22" s="546" t="s">
        <v>216</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x14ac:dyDescent="0.2">
      <c r="A23" s="530" t="str">
        <f t="shared" si="0"/>
        <v>AQ</v>
      </c>
      <c r="B23" s="49" t="str">
        <f t="shared" si="1"/>
        <v>GPLMP</v>
      </c>
      <c r="C23" s="49" t="s">
        <v>245</v>
      </c>
      <c r="D23" s="534" t="s">
        <v>258</v>
      </c>
      <c r="E23" s="49" t="s">
        <v>50</v>
      </c>
      <c r="F23" s="534" t="str">
        <f>R.5InterestedStaffNameC</f>
        <v xml:space="preserve"> </v>
      </c>
      <c r="G23" s="542">
        <f>R.5InterestedStaffHrsC</f>
        <v>0</v>
      </c>
      <c r="H23" s="543">
        <f>Table3[[#This Row],[Hrs Rank]]</f>
        <v>0</v>
      </c>
      <c r="I23" s="533">
        <f t="shared" si="2"/>
        <v>0</v>
      </c>
      <c r="J23" s="533">
        <f t="shared" si="3"/>
        <v>0</v>
      </c>
      <c r="K23" s="545"/>
      <c r="L23" s="545"/>
      <c r="M23" s="546" t="s">
        <v>216</v>
      </c>
      <c r="N23" s="546" t="s">
        <v>216</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x14ac:dyDescent="0.2">
      <c r="A24" s="530" t="str">
        <f t="shared" si="0"/>
        <v>AQ</v>
      </c>
      <c r="B24" s="49" t="str">
        <f t="shared" si="1"/>
        <v>GPLMP</v>
      </c>
      <c r="C24" s="49" t="s">
        <v>245</v>
      </c>
      <c r="D24" s="534" t="s">
        <v>258</v>
      </c>
      <c r="E24" s="49" t="s">
        <v>50</v>
      </c>
      <c r="F24" s="534" t="str">
        <f>R.5InterestedStaffNameD</f>
        <v xml:space="preserve"> </v>
      </c>
      <c r="G24" s="542">
        <f>R.5InterestedStaffHrsD</f>
        <v>0</v>
      </c>
      <c r="H24" s="543">
        <f>Table3[[#This Row],[Hrs Rank]]</f>
        <v>0</v>
      </c>
      <c r="I24" s="533">
        <f t="shared" si="2"/>
        <v>0</v>
      </c>
      <c r="J24" s="533">
        <f t="shared" si="3"/>
        <v>0</v>
      </c>
      <c r="K24" s="545"/>
      <c r="L24" s="545"/>
      <c r="M24" s="546" t="s">
        <v>216</v>
      </c>
      <c r="N24" s="546" t="s">
        <v>216</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x14ac:dyDescent="0.2">
      <c r="A25" s="530" t="str">
        <f t="shared" si="0"/>
        <v>AQ</v>
      </c>
      <c r="B25" s="49" t="str">
        <f t="shared" si="1"/>
        <v>GPLMP</v>
      </c>
      <c r="C25" s="49" t="s">
        <v>246</v>
      </c>
      <c r="D25" s="531" t="s">
        <v>121</v>
      </c>
      <c r="E25" s="49" t="s">
        <v>50</v>
      </c>
      <c r="F25" s="532">
        <f>R.6LQDevName1</f>
        <v>0</v>
      </c>
      <c r="G25" s="542">
        <f>R.6LQDevHrs1</f>
        <v>0</v>
      </c>
      <c r="H25" s="543">
        <f>Table3[[#This Row],[Hrs Rank]]</f>
        <v>0</v>
      </c>
      <c r="I25" s="533">
        <f t="shared" si="2"/>
        <v>0</v>
      </c>
      <c r="J25" s="533">
        <f t="shared" si="3"/>
        <v>0</v>
      </c>
      <c r="K25" s="545"/>
      <c r="L25" s="545"/>
      <c r="M25" s="546" t="s">
        <v>216</v>
      </c>
      <c r="N25" s="546" t="s">
        <v>216</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x14ac:dyDescent="0.2">
      <c r="A26" s="530" t="str">
        <f t="shared" si="0"/>
        <v>AQ</v>
      </c>
      <c r="B26" s="49" t="str">
        <f t="shared" si="1"/>
        <v>GPLMP</v>
      </c>
      <c r="C26" s="49" t="s">
        <v>246</v>
      </c>
      <c r="D26" s="531" t="s">
        <v>121</v>
      </c>
      <c r="E26" s="49" t="s">
        <v>50</v>
      </c>
      <c r="F26" s="532" t="str">
        <f>R.6LQDevName2</f>
        <v xml:space="preserve"> </v>
      </c>
      <c r="G26" s="542">
        <f>R.6LQDevHrs2</f>
        <v>0</v>
      </c>
      <c r="H26" s="543">
        <f>Table3[[#This Row],[Hrs Rank]]</f>
        <v>0</v>
      </c>
      <c r="I26" s="533">
        <f t="shared" si="2"/>
        <v>0</v>
      </c>
      <c r="J26" s="533">
        <f t="shared" si="3"/>
        <v>0</v>
      </c>
      <c r="K26" s="545"/>
      <c r="L26" s="545"/>
      <c r="M26" s="546" t="s">
        <v>216</v>
      </c>
      <c r="N26" s="546" t="s">
        <v>216</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x14ac:dyDescent="0.2">
      <c r="A27" s="530" t="str">
        <f t="shared" si="0"/>
        <v>AQ</v>
      </c>
      <c r="B27" s="49" t="str">
        <f t="shared" si="1"/>
        <v>GPLMP</v>
      </c>
      <c r="C27" s="49" t="s">
        <v>246</v>
      </c>
      <c r="D27" s="531" t="s">
        <v>121</v>
      </c>
      <c r="E27" s="49" t="s">
        <v>50</v>
      </c>
      <c r="F27" s="532" t="str">
        <f>R.6LQDevName3</f>
        <v xml:space="preserve"> </v>
      </c>
      <c r="G27" s="542">
        <f>R.6LQDevHrs3</f>
        <v>0</v>
      </c>
      <c r="H27" s="543">
        <f>Table3[[#This Row],[Hrs Rank]]</f>
        <v>0</v>
      </c>
      <c r="I27" s="533">
        <f t="shared" si="2"/>
        <v>0</v>
      </c>
      <c r="J27" s="533">
        <f t="shared" si="3"/>
        <v>0</v>
      </c>
      <c r="K27" s="545"/>
      <c r="L27" s="545"/>
      <c r="M27" s="546" t="s">
        <v>216</v>
      </c>
      <c r="N27" s="546" t="s">
        <v>216</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x14ac:dyDescent="0.2">
      <c r="A28" s="530" t="str">
        <f t="shared" si="0"/>
        <v>AQ</v>
      </c>
      <c r="B28" s="49" t="str">
        <f t="shared" si="1"/>
        <v>GPLMP</v>
      </c>
      <c r="C28" s="49" t="s">
        <v>246</v>
      </c>
      <c r="D28" s="531" t="s">
        <v>121</v>
      </c>
      <c r="E28" s="49" t="s">
        <v>50</v>
      </c>
      <c r="F28" s="532" t="str">
        <f>R.6LQDevName4</f>
        <v xml:space="preserve"> </v>
      </c>
      <c r="G28" s="542">
        <f>R.6LQDevHrs4</f>
        <v>0</v>
      </c>
      <c r="H28" s="543">
        <f>Table3[[#This Row],[Hrs Rank]]</f>
        <v>0</v>
      </c>
      <c r="I28" s="533">
        <f t="shared" si="2"/>
        <v>0</v>
      </c>
      <c r="J28" s="533">
        <f t="shared" si="3"/>
        <v>0</v>
      </c>
      <c r="K28" s="545"/>
      <c r="L28" s="545"/>
      <c r="M28" s="546" t="s">
        <v>216</v>
      </c>
      <c r="N28" s="546" t="s">
        <v>216</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x14ac:dyDescent="0.2">
      <c r="A29" s="530" t="str">
        <f t="shared" si="0"/>
        <v>AQ</v>
      </c>
      <c r="B29" s="49" t="str">
        <f t="shared" si="1"/>
        <v>GPLMP</v>
      </c>
      <c r="C29" s="49" t="s">
        <v>246</v>
      </c>
      <c r="D29" s="531" t="s">
        <v>121</v>
      </c>
      <c r="E29" s="49" t="s">
        <v>49</v>
      </c>
      <c r="F29" s="532" t="str">
        <f>R.6LQImpName1</f>
        <v xml:space="preserve"> </v>
      </c>
      <c r="G29" s="542">
        <f>R.6LQImpHrs1</f>
        <v>0</v>
      </c>
      <c r="H29" s="543">
        <f>Table3[[#This Row],[Hrs Rank]]</f>
        <v>0</v>
      </c>
      <c r="I29" s="533">
        <f t="shared" si="2"/>
        <v>0</v>
      </c>
      <c r="J29" s="533">
        <f t="shared" si="3"/>
        <v>0</v>
      </c>
      <c r="K29" s="545"/>
      <c r="L29" s="545"/>
      <c r="M29" s="546" t="s">
        <v>216</v>
      </c>
      <c r="N29" s="546" t="s">
        <v>216</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x14ac:dyDescent="0.2">
      <c r="A30" s="530" t="str">
        <f t="shared" si="0"/>
        <v>AQ</v>
      </c>
      <c r="B30" s="49" t="str">
        <f t="shared" si="1"/>
        <v>GPLMP</v>
      </c>
      <c r="C30" s="49" t="s">
        <v>246</v>
      </c>
      <c r="D30" s="531" t="s">
        <v>121</v>
      </c>
      <c r="E30" s="49" t="s">
        <v>49</v>
      </c>
      <c r="F30" s="532" t="str">
        <f>R.6LQImpName2</f>
        <v xml:space="preserve"> </v>
      </c>
      <c r="G30" s="542">
        <f>R.6LQImpHrs2</f>
        <v>0</v>
      </c>
      <c r="H30" s="543">
        <f>Table3[[#This Row],[Hrs Rank]]</f>
        <v>0</v>
      </c>
      <c r="I30" s="533">
        <f t="shared" si="2"/>
        <v>0</v>
      </c>
      <c r="J30" s="533">
        <f t="shared" si="3"/>
        <v>0</v>
      </c>
      <c r="K30" s="545"/>
      <c r="L30" s="545"/>
      <c r="M30" s="546" t="s">
        <v>216</v>
      </c>
      <c r="N30" s="546" t="s">
        <v>216</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x14ac:dyDescent="0.2">
      <c r="A31" s="530" t="str">
        <f t="shared" si="0"/>
        <v>AQ</v>
      </c>
      <c r="B31" s="49" t="str">
        <f t="shared" si="1"/>
        <v>GPLMP</v>
      </c>
      <c r="C31" s="49" t="s">
        <v>246</v>
      </c>
      <c r="D31" s="531" t="s">
        <v>121</v>
      </c>
      <c r="E31" s="49" t="s">
        <v>49</v>
      </c>
      <c r="F31" s="532" t="str">
        <f>R.6LQImpName3</f>
        <v xml:space="preserve"> </v>
      </c>
      <c r="G31" s="542">
        <f>R.6LQImpHrs3</f>
        <v>0</v>
      </c>
      <c r="H31" s="543">
        <f>Table3[[#This Row],[Hrs Rank]]</f>
        <v>0</v>
      </c>
      <c r="I31" s="533">
        <f t="shared" si="2"/>
        <v>0</v>
      </c>
      <c r="J31" s="533">
        <f t="shared" si="3"/>
        <v>0</v>
      </c>
      <c r="K31" s="545"/>
      <c r="L31" s="545"/>
      <c r="M31" s="546" t="s">
        <v>216</v>
      </c>
      <c r="N31" s="546" t="s">
        <v>216</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x14ac:dyDescent="0.2">
      <c r="A32" s="530" t="str">
        <f t="shared" si="0"/>
        <v>AQ</v>
      </c>
      <c r="B32" s="49" t="str">
        <f t="shared" si="1"/>
        <v>GPLMP</v>
      </c>
      <c r="C32" s="49" t="s">
        <v>246</v>
      </c>
      <c r="D32" s="531" t="s">
        <v>121</v>
      </c>
      <c r="E32" s="49" t="s">
        <v>49</v>
      </c>
      <c r="F32" s="532" t="str">
        <f>R.6LQImpName4</f>
        <v xml:space="preserve"> </v>
      </c>
      <c r="G32" s="542">
        <f>R.6LQImpHrs4</f>
        <v>0</v>
      </c>
      <c r="H32" s="543">
        <f>Table3[[#This Row],[Hrs Rank]]</f>
        <v>0</v>
      </c>
      <c r="I32" s="533">
        <f t="shared" si="2"/>
        <v>0</v>
      </c>
      <c r="J32" s="533">
        <f t="shared" si="3"/>
        <v>0</v>
      </c>
      <c r="K32" s="545"/>
      <c r="L32" s="545"/>
      <c r="M32" s="546" t="s">
        <v>216</v>
      </c>
      <c r="N32" s="546" t="s">
        <v>216</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x14ac:dyDescent="0.2">
      <c r="A33" s="530" t="str">
        <f t="shared" si="0"/>
        <v>AQ</v>
      </c>
      <c r="B33" s="49" t="str">
        <f t="shared" si="1"/>
        <v>GPLMP</v>
      </c>
      <c r="C33" s="49" t="s">
        <v>246</v>
      </c>
      <c r="D33" s="531" t="s">
        <v>122</v>
      </c>
      <c r="E33" s="49" t="s">
        <v>50</v>
      </c>
      <c r="F33" s="534">
        <f>R.6WQDevName1</f>
        <v>0</v>
      </c>
      <c r="G33" s="542">
        <f>R.6WQDevHrs1</f>
        <v>0</v>
      </c>
      <c r="H33" s="543">
        <f>Table3[[#This Row],[Hrs Rank]]</f>
        <v>0</v>
      </c>
      <c r="I33" s="533">
        <f t="shared" si="2"/>
        <v>0</v>
      </c>
      <c r="J33" s="533">
        <f t="shared" si="3"/>
        <v>0</v>
      </c>
      <c r="K33" s="545"/>
      <c r="L33" s="545"/>
      <c r="M33" s="546" t="s">
        <v>216</v>
      </c>
      <c r="N33" s="546" t="s">
        <v>216</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x14ac:dyDescent="0.2">
      <c r="A34" s="530" t="str">
        <f t="shared" si="0"/>
        <v>AQ</v>
      </c>
      <c r="B34" s="49" t="str">
        <f t="shared" si="1"/>
        <v>GPLMP</v>
      </c>
      <c r="C34" s="49" t="s">
        <v>246</v>
      </c>
      <c r="D34" s="531" t="s">
        <v>122</v>
      </c>
      <c r="E34" s="49" t="s">
        <v>50</v>
      </c>
      <c r="F34" s="534">
        <f>R.6WQDevName2</f>
        <v>0</v>
      </c>
      <c r="G34" s="542">
        <f>R.6WQDevHrs2</f>
        <v>0</v>
      </c>
      <c r="H34" s="543">
        <f>Table3[[#This Row],[Hrs Rank]]</f>
        <v>0</v>
      </c>
      <c r="I34" s="533">
        <f t="shared" si="2"/>
        <v>0</v>
      </c>
      <c r="J34" s="533">
        <f t="shared" si="3"/>
        <v>0</v>
      </c>
      <c r="K34" s="545"/>
      <c r="L34" s="545"/>
      <c r="M34" s="546" t="s">
        <v>216</v>
      </c>
      <c r="N34" s="546" t="s">
        <v>216</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x14ac:dyDescent="0.2">
      <c r="A35" s="530" t="str">
        <f t="shared" ref="A35:A66" si="4">R.1Division</f>
        <v>AQ</v>
      </c>
      <c r="B35" s="49" t="str">
        <f t="shared" ref="B35:B66" si="5">R.1CodeName</f>
        <v>GPLMP</v>
      </c>
      <c r="C35" s="49" t="s">
        <v>246</v>
      </c>
      <c r="D35" s="531" t="s">
        <v>122</v>
      </c>
      <c r="E35" s="49" t="s">
        <v>50</v>
      </c>
      <c r="F35" s="534">
        <f>R.6WQDevName3</f>
        <v>0</v>
      </c>
      <c r="G35" s="542">
        <f>R.6WQDevHrs3</f>
        <v>0</v>
      </c>
      <c r="H35" s="543">
        <f>Table3[[#This Row],[Hrs Rank]]</f>
        <v>0</v>
      </c>
      <c r="I35" s="533">
        <f t="shared" si="2"/>
        <v>0</v>
      </c>
      <c r="J35" s="533">
        <f t="shared" si="3"/>
        <v>0</v>
      </c>
      <c r="K35" s="545"/>
      <c r="L35" s="545"/>
      <c r="M35" s="546" t="s">
        <v>216</v>
      </c>
      <c r="N35" s="546" t="s">
        <v>216</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x14ac:dyDescent="0.2">
      <c r="A36" s="530" t="str">
        <f t="shared" si="4"/>
        <v>AQ</v>
      </c>
      <c r="B36" s="49" t="str">
        <f t="shared" si="5"/>
        <v>GPLMP</v>
      </c>
      <c r="C36" s="49" t="s">
        <v>246</v>
      </c>
      <c r="D36" s="531" t="s">
        <v>122</v>
      </c>
      <c r="E36" s="49" t="s">
        <v>50</v>
      </c>
      <c r="F36" s="534">
        <f>R.6WQDevName4</f>
        <v>0</v>
      </c>
      <c r="G36" s="542">
        <f>R.6WQDevHrs4</f>
        <v>0</v>
      </c>
      <c r="H36" s="543">
        <f>Table3[[#This Row],[Hrs Rank]]</f>
        <v>0</v>
      </c>
      <c r="I36" s="533">
        <f t="shared" si="2"/>
        <v>0</v>
      </c>
      <c r="J36" s="533">
        <f t="shared" si="3"/>
        <v>0</v>
      </c>
      <c r="K36" s="545"/>
      <c r="L36" s="545"/>
      <c r="M36" s="546" t="s">
        <v>216</v>
      </c>
      <c r="N36" s="546" t="s">
        <v>216</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x14ac:dyDescent="0.2">
      <c r="A37" s="530" t="str">
        <f t="shared" si="4"/>
        <v>AQ</v>
      </c>
      <c r="B37" s="49" t="str">
        <f t="shared" si="5"/>
        <v>GPLMP</v>
      </c>
      <c r="C37" s="49" t="s">
        <v>246</v>
      </c>
      <c r="D37" s="531" t="s">
        <v>122</v>
      </c>
      <c r="E37" s="49" t="s">
        <v>49</v>
      </c>
      <c r="F37" s="534" t="str">
        <f>R.6WQImpName1</f>
        <v xml:space="preserve"> </v>
      </c>
      <c r="G37" s="542">
        <f>R.6WQImpHrs1</f>
        <v>0</v>
      </c>
      <c r="H37" s="543">
        <f>Table3[[#This Row],[Hrs Rank]]</f>
        <v>0</v>
      </c>
      <c r="I37" s="533">
        <f t="shared" si="2"/>
        <v>0</v>
      </c>
      <c r="J37" s="533">
        <f t="shared" si="3"/>
        <v>0</v>
      </c>
      <c r="K37" s="545"/>
      <c r="L37" s="545"/>
      <c r="M37" s="546" t="s">
        <v>216</v>
      </c>
      <c r="N37" s="546" t="s">
        <v>216</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x14ac:dyDescent="0.2">
      <c r="A38" s="530" t="str">
        <f t="shared" si="4"/>
        <v>AQ</v>
      </c>
      <c r="B38" s="49" t="str">
        <f t="shared" si="5"/>
        <v>GPLMP</v>
      </c>
      <c r="C38" s="49" t="s">
        <v>246</v>
      </c>
      <c r="D38" s="531" t="s">
        <v>122</v>
      </c>
      <c r="E38" s="49" t="s">
        <v>49</v>
      </c>
      <c r="F38" s="534" t="str">
        <f>R.6WQImpName2</f>
        <v xml:space="preserve"> </v>
      </c>
      <c r="G38" s="542">
        <f>R.6WQImpHrs2</f>
        <v>0</v>
      </c>
      <c r="H38" s="543">
        <f>Table3[[#This Row],[Hrs Rank]]</f>
        <v>0</v>
      </c>
      <c r="I38" s="533">
        <f t="shared" si="2"/>
        <v>0</v>
      </c>
      <c r="J38" s="533">
        <f t="shared" si="3"/>
        <v>0</v>
      </c>
      <c r="K38" s="545"/>
      <c r="L38" s="545"/>
      <c r="M38" s="546" t="s">
        <v>216</v>
      </c>
      <c r="N38" s="546" t="s">
        <v>216</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x14ac:dyDescent="0.2">
      <c r="A39" s="530" t="str">
        <f t="shared" si="4"/>
        <v>AQ</v>
      </c>
      <c r="B39" s="49" t="str">
        <f t="shared" si="5"/>
        <v>GPLMP</v>
      </c>
      <c r="C39" s="49" t="s">
        <v>246</v>
      </c>
      <c r="D39" s="531" t="s">
        <v>122</v>
      </c>
      <c r="E39" s="49" t="s">
        <v>49</v>
      </c>
      <c r="F39" s="534" t="str">
        <f>R.6WQImpName3</f>
        <v xml:space="preserve"> </v>
      </c>
      <c r="G39" s="542">
        <f>R.6WQImpHrs3</f>
        <v>0</v>
      </c>
      <c r="H39" s="543">
        <f>Table3[[#This Row],[Hrs Rank]]</f>
        <v>0</v>
      </c>
      <c r="I39" s="533">
        <f t="shared" si="2"/>
        <v>0</v>
      </c>
      <c r="J39" s="533">
        <f t="shared" si="3"/>
        <v>0</v>
      </c>
      <c r="K39" s="545"/>
      <c r="L39" s="545"/>
      <c r="M39" s="546" t="s">
        <v>216</v>
      </c>
      <c r="N39" s="546" t="s">
        <v>216</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x14ac:dyDescent="0.2">
      <c r="A40" s="530" t="str">
        <f t="shared" si="4"/>
        <v>AQ</v>
      </c>
      <c r="B40" s="49" t="str">
        <f t="shared" si="5"/>
        <v>GPLMP</v>
      </c>
      <c r="C40" s="49" t="s">
        <v>246</v>
      </c>
      <c r="D40" s="531" t="s">
        <v>122</v>
      </c>
      <c r="E40" s="49" t="s">
        <v>49</v>
      </c>
      <c r="F40" s="534" t="str">
        <f>R.6WQImpName4</f>
        <v xml:space="preserve"> </v>
      </c>
      <c r="G40" s="542">
        <f>R.6WQImpHrs4</f>
        <v>0</v>
      </c>
      <c r="H40" s="543">
        <f>Table3[[#This Row],[Hrs Rank]]</f>
        <v>0</v>
      </c>
      <c r="I40" s="533">
        <f t="shared" si="2"/>
        <v>0</v>
      </c>
      <c r="J40" s="533">
        <f t="shared" si="3"/>
        <v>0</v>
      </c>
      <c r="K40" s="545"/>
      <c r="L40" s="545"/>
      <c r="M40" s="546" t="s">
        <v>216</v>
      </c>
      <c r="N40" s="546" t="s">
        <v>216</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x14ac:dyDescent="0.2">
      <c r="A41" s="530" t="str">
        <f t="shared" si="4"/>
        <v>AQ</v>
      </c>
      <c r="B41" s="49" t="str">
        <f t="shared" si="5"/>
        <v>GPLMP</v>
      </c>
      <c r="C41" s="49" t="s">
        <v>246</v>
      </c>
      <c r="D41" s="531" t="s">
        <v>123</v>
      </c>
      <c r="E41" s="49" t="s">
        <v>50</v>
      </c>
      <c r="F41" s="534">
        <f>R.6AQDevName1</f>
        <v>0</v>
      </c>
      <c r="G41" s="542">
        <f>R.6AQDevHrs1</f>
        <v>0</v>
      </c>
      <c r="H41" s="543">
        <f>Table3[[#This Row],[Hrs Rank]]</f>
        <v>0</v>
      </c>
      <c r="I41" s="533">
        <f t="shared" si="2"/>
        <v>0</v>
      </c>
      <c r="J41" s="533">
        <f t="shared" si="3"/>
        <v>0</v>
      </c>
      <c r="K41" s="545"/>
      <c r="L41" s="545"/>
      <c r="M41" s="546" t="s">
        <v>216</v>
      </c>
      <c r="N41" s="546" t="s">
        <v>216</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x14ac:dyDescent="0.2">
      <c r="A42" s="530" t="str">
        <f t="shared" si="4"/>
        <v>AQ</v>
      </c>
      <c r="B42" s="49" t="str">
        <f t="shared" si="5"/>
        <v>GPLMP</v>
      </c>
      <c r="C42" s="49" t="s">
        <v>246</v>
      </c>
      <c r="D42" s="531" t="s">
        <v>123</v>
      </c>
      <c r="E42" s="49" t="s">
        <v>50</v>
      </c>
      <c r="F42" s="534" t="str">
        <f>R.6AQDevName2</f>
        <v xml:space="preserve"> </v>
      </c>
      <c r="G42" s="542">
        <f>R.6AQDevHrs2</f>
        <v>0</v>
      </c>
      <c r="H42" s="543">
        <f>Table3[[#This Row],[Hrs Rank]]</f>
        <v>0</v>
      </c>
      <c r="I42" s="533">
        <f t="shared" si="2"/>
        <v>0</v>
      </c>
      <c r="J42" s="533">
        <f t="shared" si="3"/>
        <v>0</v>
      </c>
      <c r="K42" s="545"/>
      <c r="L42" s="545"/>
      <c r="M42" s="546" t="s">
        <v>216</v>
      </c>
      <c r="N42" s="546" t="s">
        <v>216</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x14ac:dyDescent="0.2">
      <c r="A43" s="530" t="str">
        <f t="shared" si="4"/>
        <v>AQ</v>
      </c>
      <c r="B43" s="49" t="str">
        <f t="shared" si="5"/>
        <v>GPLMP</v>
      </c>
      <c r="C43" s="49" t="s">
        <v>246</v>
      </c>
      <c r="D43" s="531" t="s">
        <v>123</v>
      </c>
      <c r="E43" s="49" t="s">
        <v>50</v>
      </c>
      <c r="F43" s="534" t="str">
        <f>R.6AQDevName3</f>
        <v xml:space="preserve"> </v>
      </c>
      <c r="G43" s="542">
        <f>R.6AQDevHrs3</f>
        <v>0</v>
      </c>
      <c r="H43" s="543">
        <f>Table3[[#This Row],[Hrs Rank]]</f>
        <v>0</v>
      </c>
      <c r="I43" s="533">
        <f t="shared" si="2"/>
        <v>0</v>
      </c>
      <c r="J43" s="533">
        <f t="shared" si="3"/>
        <v>0</v>
      </c>
      <c r="K43" s="545"/>
      <c r="L43" s="545"/>
      <c r="M43" s="546" t="s">
        <v>216</v>
      </c>
      <c r="N43" s="546" t="s">
        <v>216</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x14ac:dyDescent="0.2">
      <c r="A44" s="530" t="str">
        <f t="shared" si="4"/>
        <v>AQ</v>
      </c>
      <c r="B44" s="49" t="str">
        <f t="shared" si="5"/>
        <v>GPLMP</v>
      </c>
      <c r="C44" s="49" t="s">
        <v>246</v>
      </c>
      <c r="D44" s="531" t="s">
        <v>123</v>
      </c>
      <c r="E44" s="49" t="s">
        <v>50</v>
      </c>
      <c r="F44" s="534">
        <f>R.6AQDevName4</f>
        <v>0</v>
      </c>
      <c r="G44" s="542">
        <f>R.6AQDevHrs4</f>
        <v>0</v>
      </c>
      <c r="H44" s="543">
        <f>Table3[[#This Row],[Hrs Rank]]</f>
        <v>0</v>
      </c>
      <c r="I44" s="533">
        <f t="shared" si="2"/>
        <v>0</v>
      </c>
      <c r="J44" s="533">
        <f t="shared" si="3"/>
        <v>0</v>
      </c>
      <c r="K44" s="545"/>
      <c r="L44" s="545"/>
      <c r="M44" s="546" t="s">
        <v>216</v>
      </c>
      <c r="N44" s="546" t="s">
        <v>216</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x14ac:dyDescent="0.2">
      <c r="A45" s="530" t="str">
        <f t="shared" si="4"/>
        <v>AQ</v>
      </c>
      <c r="B45" s="49" t="str">
        <f t="shared" si="5"/>
        <v>GPLMP</v>
      </c>
      <c r="C45" s="49" t="s">
        <v>246</v>
      </c>
      <c r="D45" s="531" t="s">
        <v>123</v>
      </c>
      <c r="E45" s="49" t="s">
        <v>49</v>
      </c>
      <c r="F45" s="534" t="str">
        <f>R.6AQImpName1</f>
        <v xml:space="preserve"> </v>
      </c>
      <c r="G45" s="542">
        <f>R.6AQImpHrs1</f>
        <v>0</v>
      </c>
      <c r="H45" s="543">
        <f>Table3[[#This Row],[Hrs Rank]]</f>
        <v>0</v>
      </c>
      <c r="I45" s="533">
        <f t="shared" si="2"/>
        <v>0</v>
      </c>
      <c r="J45" s="533">
        <f t="shared" si="3"/>
        <v>0</v>
      </c>
      <c r="K45" s="545"/>
      <c r="L45" s="545"/>
      <c r="M45" s="546" t="s">
        <v>216</v>
      </c>
      <c r="N45" s="546" t="s">
        <v>216</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x14ac:dyDescent="0.2">
      <c r="A46" s="530" t="str">
        <f t="shared" si="4"/>
        <v>AQ</v>
      </c>
      <c r="B46" s="49" t="str">
        <f t="shared" si="5"/>
        <v>GPLMP</v>
      </c>
      <c r="C46" s="49" t="s">
        <v>246</v>
      </c>
      <c r="D46" s="531" t="s">
        <v>123</v>
      </c>
      <c r="E46" s="49" t="s">
        <v>49</v>
      </c>
      <c r="F46" s="534" t="str">
        <f>R.6AQImpName2</f>
        <v xml:space="preserve"> </v>
      </c>
      <c r="G46" s="542">
        <f>R.6AQImpHrs2</f>
        <v>0</v>
      </c>
      <c r="H46" s="543">
        <f>Table3[[#This Row],[Hrs Rank]]</f>
        <v>0</v>
      </c>
      <c r="I46" s="533">
        <f t="shared" si="2"/>
        <v>0</v>
      </c>
      <c r="J46" s="533">
        <f t="shared" si="3"/>
        <v>0</v>
      </c>
      <c r="K46" s="545"/>
      <c r="L46" s="545"/>
      <c r="M46" s="546" t="s">
        <v>216</v>
      </c>
      <c r="N46" s="546" t="s">
        <v>216</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x14ac:dyDescent="0.2">
      <c r="A47" s="530" t="str">
        <f t="shared" si="4"/>
        <v>AQ</v>
      </c>
      <c r="B47" s="49" t="str">
        <f t="shared" si="5"/>
        <v>GPLMP</v>
      </c>
      <c r="C47" s="49" t="s">
        <v>246</v>
      </c>
      <c r="D47" s="531" t="s">
        <v>123</v>
      </c>
      <c r="E47" s="49" t="s">
        <v>49</v>
      </c>
      <c r="F47" s="534" t="str">
        <f>R.6AQImpName3</f>
        <v xml:space="preserve"> </v>
      </c>
      <c r="G47" s="542">
        <f>R.6AQImpHrs3</f>
        <v>0</v>
      </c>
      <c r="H47" s="543">
        <f>Table3[[#This Row],[Hrs Rank]]</f>
        <v>0</v>
      </c>
      <c r="I47" s="533">
        <f t="shared" si="2"/>
        <v>0</v>
      </c>
      <c r="J47" s="533">
        <f t="shared" si="3"/>
        <v>0</v>
      </c>
      <c r="K47" s="545"/>
      <c r="L47" s="545"/>
      <c r="M47" s="546" t="s">
        <v>216</v>
      </c>
      <c r="N47" s="546" t="s">
        <v>216</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x14ac:dyDescent="0.2">
      <c r="A48" s="530" t="str">
        <f t="shared" si="4"/>
        <v>AQ</v>
      </c>
      <c r="B48" s="49" t="str">
        <f t="shared" si="5"/>
        <v>GPLMP</v>
      </c>
      <c r="C48" s="49" t="s">
        <v>246</v>
      </c>
      <c r="D48" s="531" t="s">
        <v>123</v>
      </c>
      <c r="E48" s="49" t="s">
        <v>49</v>
      </c>
      <c r="F48" s="534" t="str">
        <f>R.6AQImpName4</f>
        <v xml:space="preserve"> </v>
      </c>
      <c r="G48" s="542">
        <f>R.6AQImpHrs4</f>
        <v>0</v>
      </c>
      <c r="H48" s="543">
        <f>Table3[[#This Row],[Hrs Rank]]</f>
        <v>0</v>
      </c>
      <c r="I48" s="533">
        <f t="shared" si="2"/>
        <v>0</v>
      </c>
      <c r="J48" s="533">
        <f t="shared" si="3"/>
        <v>0</v>
      </c>
      <c r="K48" s="545"/>
      <c r="L48" s="545"/>
      <c r="M48" s="546" t="s">
        <v>216</v>
      </c>
      <c r="N48" s="546" t="s">
        <v>216</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x14ac:dyDescent="0.2">
      <c r="A49" s="530" t="str">
        <f t="shared" si="4"/>
        <v>AQ</v>
      </c>
      <c r="B49" s="49" t="str">
        <f t="shared" si="5"/>
        <v>GPLMP</v>
      </c>
      <c r="C49" s="49" t="s">
        <v>246</v>
      </c>
      <c r="D49" s="531" t="s">
        <v>200</v>
      </c>
      <c r="E49" s="49" t="s">
        <v>50</v>
      </c>
      <c r="F49" s="534" t="str">
        <f>R.6MSDDevName1</f>
        <v xml:space="preserve"> </v>
      </c>
      <c r="G49" s="542">
        <f>R.6MSDDevHrs1</f>
        <v>0</v>
      </c>
      <c r="H49" s="543">
        <f>Table3[[#This Row],[Hrs Rank]]</f>
        <v>0</v>
      </c>
      <c r="I49" s="533">
        <f t="shared" si="2"/>
        <v>0</v>
      </c>
      <c r="J49" s="533">
        <f t="shared" si="3"/>
        <v>0</v>
      </c>
      <c r="K49" s="545"/>
      <c r="L49" s="545"/>
      <c r="M49" s="546" t="s">
        <v>216</v>
      </c>
      <c r="N49" s="546" t="s">
        <v>216</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x14ac:dyDescent="0.2">
      <c r="A50" s="530" t="str">
        <f t="shared" si="4"/>
        <v>AQ</v>
      </c>
      <c r="B50" s="49" t="str">
        <f t="shared" si="5"/>
        <v>GPLMP</v>
      </c>
      <c r="C50" s="49" t="s">
        <v>246</v>
      </c>
      <c r="D50" s="531" t="s">
        <v>200</v>
      </c>
      <c r="E50" s="49" t="s">
        <v>50</v>
      </c>
      <c r="F50" s="534" t="str">
        <f>R.6MSDDevName2</f>
        <v xml:space="preserve"> </v>
      </c>
      <c r="G50" s="542">
        <f>R.6MSDDevHrs2</f>
        <v>0</v>
      </c>
      <c r="H50" s="543">
        <f>Table3[[#This Row],[Hrs Rank]]</f>
        <v>0</v>
      </c>
      <c r="I50" s="533">
        <f t="shared" si="2"/>
        <v>0</v>
      </c>
      <c r="J50" s="533">
        <f t="shared" si="3"/>
        <v>0</v>
      </c>
      <c r="K50" s="545"/>
      <c r="L50" s="545"/>
      <c r="M50" s="546" t="s">
        <v>216</v>
      </c>
      <c r="N50" s="546" t="s">
        <v>216</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x14ac:dyDescent="0.2">
      <c r="A51" s="530" t="str">
        <f t="shared" si="4"/>
        <v>AQ</v>
      </c>
      <c r="B51" s="49" t="str">
        <f t="shared" si="5"/>
        <v>GPLMP</v>
      </c>
      <c r="C51" s="49" t="s">
        <v>246</v>
      </c>
      <c r="D51" s="531" t="s">
        <v>200</v>
      </c>
      <c r="E51" s="49" t="s">
        <v>50</v>
      </c>
      <c r="F51" s="534" t="str">
        <f>R.6MSDDevName3</f>
        <v xml:space="preserve"> </v>
      </c>
      <c r="G51" s="542">
        <f>R.6MSDDevHrs3</f>
        <v>0</v>
      </c>
      <c r="H51" s="543">
        <f>Table3[[#This Row],[Hrs Rank]]</f>
        <v>0</v>
      </c>
      <c r="I51" s="533">
        <f t="shared" si="2"/>
        <v>0</v>
      </c>
      <c r="J51" s="533">
        <f t="shared" si="3"/>
        <v>0</v>
      </c>
      <c r="K51" s="545"/>
      <c r="L51" s="545"/>
      <c r="M51" s="546" t="s">
        <v>216</v>
      </c>
      <c r="N51" s="546" t="s">
        <v>216</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x14ac:dyDescent="0.2">
      <c r="A52" s="530" t="str">
        <f t="shared" si="4"/>
        <v>AQ</v>
      </c>
      <c r="B52" s="49" t="str">
        <f t="shared" si="5"/>
        <v>GPLMP</v>
      </c>
      <c r="C52" s="49" t="s">
        <v>246</v>
      </c>
      <c r="D52" s="531" t="s">
        <v>200</v>
      </c>
      <c r="E52" s="49" t="s">
        <v>50</v>
      </c>
      <c r="F52" s="534" t="str">
        <f>R.6MSDDevName4</f>
        <v xml:space="preserve"> </v>
      </c>
      <c r="G52" s="542">
        <f>R.6MSDDevHrs4</f>
        <v>0</v>
      </c>
      <c r="H52" s="543">
        <f>Table3[[#This Row],[Hrs Rank]]</f>
        <v>0</v>
      </c>
      <c r="I52" s="533">
        <f t="shared" si="2"/>
        <v>0</v>
      </c>
      <c r="J52" s="533">
        <f t="shared" si="3"/>
        <v>0</v>
      </c>
      <c r="K52" s="545"/>
      <c r="L52" s="545"/>
      <c r="M52" s="546" t="s">
        <v>216</v>
      </c>
      <c r="N52" s="546" t="s">
        <v>216</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x14ac:dyDescent="0.2">
      <c r="A53" s="530" t="str">
        <f t="shared" si="4"/>
        <v>AQ</v>
      </c>
      <c r="B53" s="49" t="str">
        <f t="shared" si="5"/>
        <v>GPLMP</v>
      </c>
      <c r="C53" s="49" t="s">
        <v>246</v>
      </c>
      <c r="D53" s="531" t="s">
        <v>200</v>
      </c>
      <c r="E53" s="49" t="s">
        <v>49</v>
      </c>
      <c r="F53" s="534" t="str">
        <f>R.6MSDImpName1</f>
        <v xml:space="preserve"> </v>
      </c>
      <c r="G53" s="542">
        <f>R.6MSDImpHrs1</f>
        <v>0</v>
      </c>
      <c r="H53" s="543">
        <f>Table3[[#This Row],[Hrs Rank]]</f>
        <v>0</v>
      </c>
      <c r="I53" s="533">
        <f t="shared" si="2"/>
        <v>0</v>
      </c>
      <c r="J53" s="533">
        <f t="shared" si="3"/>
        <v>0</v>
      </c>
      <c r="K53" s="545"/>
      <c r="L53" s="545"/>
      <c r="M53" s="546" t="s">
        <v>216</v>
      </c>
      <c r="N53" s="546" t="s">
        <v>216</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x14ac:dyDescent="0.2">
      <c r="A54" s="530" t="str">
        <f t="shared" si="4"/>
        <v>AQ</v>
      </c>
      <c r="B54" s="49" t="str">
        <f t="shared" si="5"/>
        <v>GPLMP</v>
      </c>
      <c r="C54" s="49" t="s">
        <v>246</v>
      </c>
      <c r="D54" s="531" t="s">
        <v>200</v>
      </c>
      <c r="E54" s="49" t="s">
        <v>49</v>
      </c>
      <c r="F54" s="534" t="str">
        <f>R.6MSDImpName2</f>
        <v xml:space="preserve"> </v>
      </c>
      <c r="G54" s="542">
        <f>R.6MSDImpHrs2</f>
        <v>0</v>
      </c>
      <c r="H54" s="543">
        <f>Table3[[#This Row],[Hrs Rank]]</f>
        <v>0</v>
      </c>
      <c r="I54" s="533">
        <f t="shared" si="2"/>
        <v>0</v>
      </c>
      <c r="J54" s="533">
        <f t="shared" si="3"/>
        <v>0</v>
      </c>
      <c r="K54" s="545"/>
      <c r="L54" s="545"/>
      <c r="M54" s="546" t="s">
        <v>216</v>
      </c>
      <c r="N54" s="546" t="s">
        <v>216</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x14ac:dyDescent="0.2">
      <c r="A55" s="530" t="str">
        <f t="shared" si="4"/>
        <v>AQ</v>
      </c>
      <c r="B55" s="49" t="str">
        <f t="shared" si="5"/>
        <v>GPLMP</v>
      </c>
      <c r="C55" s="49" t="s">
        <v>246</v>
      </c>
      <c r="D55" s="531" t="s">
        <v>200</v>
      </c>
      <c r="E55" s="49" t="s">
        <v>49</v>
      </c>
      <c r="F55" s="534" t="str">
        <f>R.6MSDImpName3</f>
        <v xml:space="preserve"> </v>
      </c>
      <c r="G55" s="542">
        <f>R.6MSDImpHrs3</f>
        <v>0</v>
      </c>
      <c r="H55" s="543">
        <f>Table3[[#This Row],[Hrs Rank]]</f>
        <v>0</v>
      </c>
      <c r="I55" s="533">
        <f t="shared" si="2"/>
        <v>0</v>
      </c>
      <c r="J55" s="533">
        <f t="shared" si="3"/>
        <v>0</v>
      </c>
      <c r="K55" s="545"/>
      <c r="L55" s="545"/>
      <c r="M55" s="546" t="s">
        <v>216</v>
      </c>
      <c r="N55" s="546" t="s">
        <v>216</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x14ac:dyDescent="0.2">
      <c r="A56" s="530" t="str">
        <f t="shared" si="4"/>
        <v>AQ</v>
      </c>
      <c r="B56" s="49" t="str">
        <f t="shared" si="5"/>
        <v>GPLMP</v>
      </c>
      <c r="C56" s="49" t="s">
        <v>246</v>
      </c>
      <c r="D56" s="531" t="s">
        <v>200</v>
      </c>
      <c r="E56" s="49" t="s">
        <v>49</v>
      </c>
      <c r="F56" s="534" t="str">
        <f>R.6MSDImpName4</f>
        <v xml:space="preserve"> </v>
      </c>
      <c r="G56" s="542">
        <f>R.6MSDImpHrs4</f>
        <v>0</v>
      </c>
      <c r="H56" s="543">
        <f>Table3[[#This Row],[Hrs Rank]]</f>
        <v>0</v>
      </c>
      <c r="I56" s="533">
        <f t="shared" si="2"/>
        <v>0</v>
      </c>
      <c r="J56" s="533">
        <f t="shared" si="3"/>
        <v>0</v>
      </c>
      <c r="K56" s="545"/>
      <c r="L56" s="545"/>
      <c r="M56" s="546" t="s">
        <v>216</v>
      </c>
      <c r="N56" s="546" t="s">
        <v>216</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x14ac:dyDescent="0.2">
      <c r="A57" s="530" t="str">
        <f t="shared" si="4"/>
        <v>AQ</v>
      </c>
      <c r="B57" s="49" t="str">
        <f t="shared" si="5"/>
        <v>GPLMP</v>
      </c>
      <c r="C57" s="49" t="s">
        <v>247</v>
      </c>
      <c r="D57" s="531" t="s">
        <v>203</v>
      </c>
      <c r="E57" s="49" t="s">
        <v>50</v>
      </c>
      <c r="F57" s="534">
        <f>R.7EastDevName1</f>
        <v>0</v>
      </c>
      <c r="G57" s="542">
        <f>R.7EastDevHrs1</f>
        <v>0</v>
      </c>
      <c r="H57" s="543">
        <f>Table3[[#This Row],[Hrs Rank]]</f>
        <v>0</v>
      </c>
      <c r="I57" s="533">
        <f t="shared" si="2"/>
        <v>0</v>
      </c>
      <c r="J57" s="533">
        <f t="shared" si="3"/>
        <v>0</v>
      </c>
      <c r="K57" s="545"/>
      <c r="L57" s="545"/>
      <c r="M57" s="546" t="s">
        <v>216</v>
      </c>
      <c r="N57" s="546" t="s">
        <v>216</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x14ac:dyDescent="0.2">
      <c r="A58" s="530" t="str">
        <f t="shared" si="4"/>
        <v>AQ</v>
      </c>
      <c r="B58" s="49" t="str">
        <f t="shared" si="5"/>
        <v>GPLMP</v>
      </c>
      <c r="C58" s="49" t="s">
        <v>247</v>
      </c>
      <c r="D58" s="531" t="s">
        <v>203</v>
      </c>
      <c r="E58" s="49" t="s">
        <v>50</v>
      </c>
      <c r="F58" s="534" t="str">
        <f>R.7EastDevName2</f>
        <v xml:space="preserve"> </v>
      </c>
      <c r="G58" s="542">
        <f>R.7EastDevHrs2</f>
        <v>0</v>
      </c>
      <c r="H58" s="543">
        <f>Table3[[#This Row],[Hrs Rank]]</f>
        <v>0</v>
      </c>
      <c r="I58" s="533">
        <f t="shared" si="2"/>
        <v>0</v>
      </c>
      <c r="J58" s="533">
        <f t="shared" si="3"/>
        <v>0</v>
      </c>
      <c r="K58" s="545"/>
      <c r="L58" s="545"/>
      <c r="M58" s="546" t="s">
        <v>216</v>
      </c>
      <c r="N58" s="546" t="s">
        <v>216</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x14ac:dyDescent="0.2">
      <c r="A59" s="530" t="str">
        <f t="shared" si="4"/>
        <v>AQ</v>
      </c>
      <c r="B59" s="49" t="str">
        <f t="shared" si="5"/>
        <v>GPLMP</v>
      </c>
      <c r="C59" s="49" t="s">
        <v>247</v>
      </c>
      <c r="D59" s="531" t="s">
        <v>203</v>
      </c>
      <c r="E59" s="49" t="s">
        <v>50</v>
      </c>
      <c r="F59" s="534" t="str">
        <f>R.7EastDevName3</f>
        <v xml:space="preserve"> </v>
      </c>
      <c r="G59" s="542">
        <f>R.7EastDevHrs3</f>
        <v>0</v>
      </c>
      <c r="H59" s="543">
        <f>Table3[[#This Row],[Hrs Rank]]</f>
        <v>0</v>
      </c>
      <c r="I59" s="533">
        <f t="shared" si="2"/>
        <v>0</v>
      </c>
      <c r="J59" s="533">
        <f t="shared" si="3"/>
        <v>0</v>
      </c>
      <c r="K59" s="545"/>
      <c r="L59" s="545"/>
      <c r="M59" s="546" t="s">
        <v>216</v>
      </c>
      <c r="N59" s="546" t="s">
        <v>216</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x14ac:dyDescent="0.2">
      <c r="A60" s="530" t="str">
        <f t="shared" si="4"/>
        <v>AQ</v>
      </c>
      <c r="B60" s="49" t="str">
        <f t="shared" si="5"/>
        <v>GPLMP</v>
      </c>
      <c r="C60" s="49" t="s">
        <v>247</v>
      </c>
      <c r="D60" s="531" t="s">
        <v>203</v>
      </c>
      <c r="E60" s="49" t="s">
        <v>50</v>
      </c>
      <c r="F60" s="534">
        <f>R.7EastDevName4</f>
        <v>0</v>
      </c>
      <c r="G60" s="542">
        <f>R.7EastDevHrs4</f>
        <v>0</v>
      </c>
      <c r="H60" s="543">
        <f>Table3[[#This Row],[Hrs Rank]]</f>
        <v>0</v>
      </c>
      <c r="I60" s="533">
        <f t="shared" si="2"/>
        <v>0</v>
      </c>
      <c r="J60" s="533">
        <f t="shared" si="3"/>
        <v>0</v>
      </c>
      <c r="K60" s="545"/>
      <c r="L60" s="545"/>
      <c r="M60" s="546" t="s">
        <v>216</v>
      </c>
      <c r="N60" s="546" t="s">
        <v>216</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x14ac:dyDescent="0.2">
      <c r="A61" s="530" t="str">
        <f t="shared" si="4"/>
        <v>AQ</v>
      </c>
      <c r="B61" s="49" t="str">
        <f t="shared" si="5"/>
        <v>GPLMP</v>
      </c>
      <c r="C61" s="49" t="s">
        <v>247</v>
      </c>
      <c r="D61" s="531" t="s">
        <v>203</v>
      </c>
      <c r="E61" s="49" t="s">
        <v>49</v>
      </c>
      <c r="F61" s="534">
        <f>R.7EastImpName1</f>
        <v>0</v>
      </c>
      <c r="G61" s="542">
        <f>R.7EastImpHrs1</f>
        <v>0</v>
      </c>
      <c r="H61" s="543">
        <f>Table3[[#This Row],[Hrs Rank]]</f>
        <v>0</v>
      </c>
      <c r="I61" s="533">
        <f t="shared" si="2"/>
        <v>0</v>
      </c>
      <c r="J61" s="533">
        <f t="shared" si="3"/>
        <v>0</v>
      </c>
      <c r="K61" s="545"/>
      <c r="L61" s="545"/>
      <c r="M61" s="546" t="s">
        <v>216</v>
      </c>
      <c r="N61" s="546" t="s">
        <v>216</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x14ac:dyDescent="0.2">
      <c r="A62" s="530" t="str">
        <f t="shared" si="4"/>
        <v>AQ</v>
      </c>
      <c r="B62" s="49" t="str">
        <f t="shared" si="5"/>
        <v>GPLMP</v>
      </c>
      <c r="C62" s="49" t="s">
        <v>247</v>
      </c>
      <c r="D62" s="531" t="s">
        <v>203</v>
      </c>
      <c r="E62" s="49" t="s">
        <v>49</v>
      </c>
      <c r="F62" s="534">
        <f>R.7EastImpName2</f>
        <v>0</v>
      </c>
      <c r="G62" s="542">
        <f>R.7EastImpHrs2</f>
        <v>0</v>
      </c>
      <c r="H62" s="543">
        <f>Table3[[#This Row],[Hrs Rank]]</f>
        <v>0</v>
      </c>
      <c r="I62" s="533">
        <f t="shared" si="2"/>
        <v>0</v>
      </c>
      <c r="J62" s="533">
        <f t="shared" si="3"/>
        <v>0</v>
      </c>
      <c r="K62" s="545"/>
      <c r="L62" s="545"/>
      <c r="M62" s="546" t="s">
        <v>216</v>
      </c>
      <c r="N62" s="546" t="s">
        <v>216</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x14ac:dyDescent="0.2">
      <c r="A63" s="530" t="str">
        <f t="shared" si="4"/>
        <v>AQ</v>
      </c>
      <c r="B63" s="49" t="str">
        <f t="shared" si="5"/>
        <v>GPLMP</v>
      </c>
      <c r="C63" s="49" t="s">
        <v>247</v>
      </c>
      <c r="D63" s="531" t="s">
        <v>203</v>
      </c>
      <c r="E63" s="49" t="s">
        <v>49</v>
      </c>
      <c r="F63" s="534">
        <f>R.7EastImpName3</f>
        <v>0</v>
      </c>
      <c r="G63" s="542">
        <f>R.7EastImpHrs3</f>
        <v>0</v>
      </c>
      <c r="H63" s="543">
        <f>Table3[[#This Row],[Hrs Rank]]</f>
        <v>0</v>
      </c>
      <c r="I63" s="533">
        <f t="shared" si="2"/>
        <v>0</v>
      </c>
      <c r="J63" s="533">
        <f t="shared" si="3"/>
        <v>0</v>
      </c>
      <c r="K63" s="545"/>
      <c r="L63" s="545"/>
      <c r="M63" s="546" t="s">
        <v>216</v>
      </c>
      <c r="N63" s="546" t="s">
        <v>216</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x14ac:dyDescent="0.2">
      <c r="A64" s="530" t="str">
        <f t="shared" si="4"/>
        <v>AQ</v>
      </c>
      <c r="B64" s="49" t="str">
        <f t="shared" si="5"/>
        <v>GPLMP</v>
      </c>
      <c r="C64" s="49" t="s">
        <v>247</v>
      </c>
      <c r="D64" s="531" t="s">
        <v>203</v>
      </c>
      <c r="E64" s="49" t="s">
        <v>49</v>
      </c>
      <c r="F64" s="534">
        <f>R.7EastImpName4</f>
        <v>0</v>
      </c>
      <c r="G64" s="542">
        <f>R.7EastImpHrs4</f>
        <v>0</v>
      </c>
      <c r="H64" s="543">
        <f>Table3[[#This Row],[Hrs Rank]]</f>
        <v>0</v>
      </c>
      <c r="I64" s="533">
        <f t="shared" si="2"/>
        <v>0</v>
      </c>
      <c r="J64" s="533">
        <f t="shared" si="3"/>
        <v>0</v>
      </c>
      <c r="K64" s="545"/>
      <c r="L64" s="545"/>
      <c r="M64" s="546" t="s">
        <v>216</v>
      </c>
      <c r="N64" s="546" t="s">
        <v>216</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x14ac:dyDescent="0.2">
      <c r="A65" s="530" t="str">
        <f t="shared" si="4"/>
        <v>AQ</v>
      </c>
      <c r="B65" s="49" t="str">
        <f t="shared" si="5"/>
        <v>GPLMP</v>
      </c>
      <c r="C65" s="49" t="s">
        <v>247</v>
      </c>
      <c r="D65" s="531" t="s">
        <v>204</v>
      </c>
      <c r="E65" s="49" t="s">
        <v>50</v>
      </c>
      <c r="F65" s="534">
        <f>R.7WestDevName1</f>
        <v>0</v>
      </c>
      <c r="G65" s="542">
        <f>R.7WestDevHrs1</f>
        <v>0</v>
      </c>
      <c r="H65" s="543">
        <f>Table3[[#This Row],[Hrs Rank]]</f>
        <v>0</v>
      </c>
      <c r="I65" s="533">
        <f t="shared" si="2"/>
        <v>0</v>
      </c>
      <c r="J65" s="533">
        <f t="shared" si="3"/>
        <v>0</v>
      </c>
      <c r="K65" s="545"/>
      <c r="L65" s="545"/>
      <c r="M65" s="546" t="s">
        <v>216</v>
      </c>
      <c r="N65" s="546" t="s">
        <v>216</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x14ac:dyDescent="0.2">
      <c r="A66" s="530" t="str">
        <f t="shared" si="4"/>
        <v>AQ</v>
      </c>
      <c r="B66" s="49" t="str">
        <f t="shared" si="5"/>
        <v>GPLMP</v>
      </c>
      <c r="C66" s="49" t="s">
        <v>247</v>
      </c>
      <c r="D66" s="531" t="s">
        <v>204</v>
      </c>
      <c r="E66" s="49" t="s">
        <v>50</v>
      </c>
      <c r="F66" s="534">
        <f>R.7WestDevName2</f>
        <v>0</v>
      </c>
      <c r="G66" s="542">
        <f>R.7WestDevHrs2</f>
        <v>0</v>
      </c>
      <c r="H66" s="543">
        <f>Table3[[#This Row],[Hrs Rank]]</f>
        <v>0</v>
      </c>
      <c r="I66" s="533">
        <f t="shared" si="2"/>
        <v>0</v>
      </c>
      <c r="J66" s="533">
        <f t="shared" si="3"/>
        <v>0</v>
      </c>
      <c r="K66" s="545"/>
      <c r="L66" s="545"/>
      <c r="M66" s="546" t="s">
        <v>216</v>
      </c>
      <c r="N66" s="546" t="s">
        <v>216</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x14ac:dyDescent="0.2">
      <c r="A67" s="530" t="str">
        <f t="shared" ref="A67:A98" si="6">R.1Division</f>
        <v>AQ</v>
      </c>
      <c r="B67" s="49" t="str">
        <f t="shared" ref="B67:B98" si="7">R.1CodeName</f>
        <v>GPLMP</v>
      </c>
      <c r="C67" s="49" t="s">
        <v>247</v>
      </c>
      <c r="D67" s="531" t="s">
        <v>204</v>
      </c>
      <c r="E67" s="49" t="s">
        <v>50</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216</v>
      </c>
      <c r="N67" s="546" t="s">
        <v>216</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x14ac:dyDescent="0.2">
      <c r="A68" s="530" t="str">
        <f t="shared" si="6"/>
        <v>AQ</v>
      </c>
      <c r="B68" s="49" t="str">
        <f t="shared" si="7"/>
        <v>GPLMP</v>
      </c>
      <c r="C68" s="49" t="s">
        <v>247</v>
      </c>
      <c r="D68" s="531" t="s">
        <v>204</v>
      </c>
      <c r="E68" s="49" t="s">
        <v>50</v>
      </c>
      <c r="F68" s="534">
        <f>R.7WestDevName4</f>
        <v>0</v>
      </c>
      <c r="G68" s="542">
        <f>R.7WestDevHrs4</f>
        <v>0</v>
      </c>
      <c r="H68" s="543">
        <f>Table3[[#This Row],[Hrs Rank]]</f>
        <v>0</v>
      </c>
      <c r="I68" s="533">
        <f t="shared" si="8"/>
        <v>0</v>
      </c>
      <c r="J68" s="533">
        <f t="shared" si="9"/>
        <v>0</v>
      </c>
      <c r="K68" s="545"/>
      <c r="L68" s="545"/>
      <c r="M68" s="546" t="s">
        <v>216</v>
      </c>
      <c r="N68" s="546" t="s">
        <v>216</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x14ac:dyDescent="0.2">
      <c r="A69" s="530" t="str">
        <f t="shared" si="6"/>
        <v>AQ</v>
      </c>
      <c r="B69" s="49" t="str">
        <f t="shared" si="7"/>
        <v>GPLMP</v>
      </c>
      <c r="C69" s="49" t="s">
        <v>247</v>
      </c>
      <c r="D69" s="531" t="s">
        <v>204</v>
      </c>
      <c r="E69" s="49" t="s">
        <v>49</v>
      </c>
      <c r="F69" s="534" t="str">
        <f>R.7WestImpName1</f>
        <v xml:space="preserve"> </v>
      </c>
      <c r="G69" s="542">
        <f>R.7WestImpHrs1</f>
        <v>0</v>
      </c>
      <c r="H69" s="543">
        <f>Table3[[#This Row],[Hrs Rank]]</f>
        <v>0</v>
      </c>
      <c r="I69" s="533">
        <f t="shared" si="8"/>
        <v>0</v>
      </c>
      <c r="J69" s="533">
        <f t="shared" si="9"/>
        <v>0</v>
      </c>
      <c r="K69" s="545"/>
      <c r="L69" s="545"/>
      <c r="M69" s="546" t="s">
        <v>216</v>
      </c>
      <c r="N69" s="546" t="s">
        <v>216</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x14ac:dyDescent="0.2">
      <c r="A70" s="530" t="str">
        <f t="shared" si="6"/>
        <v>AQ</v>
      </c>
      <c r="B70" s="49" t="str">
        <f t="shared" si="7"/>
        <v>GPLMP</v>
      </c>
      <c r="C70" s="49" t="s">
        <v>247</v>
      </c>
      <c r="D70" s="531" t="s">
        <v>204</v>
      </c>
      <c r="E70" s="49" t="s">
        <v>49</v>
      </c>
      <c r="F70" s="534">
        <f>R.7WestImpName2</f>
        <v>0</v>
      </c>
      <c r="G70" s="542">
        <f>R.7WestDevHrs2</f>
        <v>0</v>
      </c>
      <c r="H70" s="543">
        <f>Table3[[#This Row],[Hrs Rank]]</f>
        <v>0</v>
      </c>
      <c r="I70" s="533">
        <f t="shared" si="8"/>
        <v>0</v>
      </c>
      <c r="J70" s="533">
        <f t="shared" si="9"/>
        <v>0</v>
      </c>
      <c r="K70" s="545"/>
      <c r="L70" s="545"/>
      <c r="M70" s="546" t="s">
        <v>216</v>
      </c>
      <c r="N70" s="546" t="s">
        <v>216</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x14ac:dyDescent="0.2">
      <c r="A71" s="530" t="str">
        <f t="shared" si="6"/>
        <v>AQ</v>
      </c>
      <c r="B71" s="49" t="str">
        <f t="shared" si="7"/>
        <v>GPLMP</v>
      </c>
      <c r="C71" s="49" t="s">
        <v>247</v>
      </c>
      <c r="D71" s="531" t="s">
        <v>204</v>
      </c>
      <c r="E71" s="49" t="s">
        <v>49</v>
      </c>
      <c r="F71" s="534">
        <f>R.7WestImpName3</f>
        <v>0</v>
      </c>
      <c r="G71" s="542">
        <f>R.7WestDevHrs3</f>
        <v>0</v>
      </c>
      <c r="H71" s="543">
        <f>Table3[[#This Row],[Hrs Rank]]</f>
        <v>0</v>
      </c>
      <c r="I71" s="533">
        <f t="shared" si="8"/>
        <v>0</v>
      </c>
      <c r="J71" s="533">
        <f t="shared" si="9"/>
        <v>0</v>
      </c>
      <c r="K71" s="545"/>
      <c r="L71" s="545"/>
      <c r="M71" s="546" t="s">
        <v>216</v>
      </c>
      <c r="N71" s="546" t="s">
        <v>216</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x14ac:dyDescent="0.2">
      <c r="A72" s="530" t="str">
        <f t="shared" si="6"/>
        <v>AQ</v>
      </c>
      <c r="B72" s="49" t="str">
        <f t="shared" si="7"/>
        <v>GPLMP</v>
      </c>
      <c r="C72" s="49" t="s">
        <v>247</v>
      </c>
      <c r="D72" s="531" t="s">
        <v>204</v>
      </c>
      <c r="E72" s="49" t="s">
        <v>49</v>
      </c>
      <c r="F72" s="534">
        <f>R.7WestImpName4</f>
        <v>0</v>
      </c>
      <c r="G72" s="542">
        <f>R.7WestDevHrs4</f>
        <v>0</v>
      </c>
      <c r="H72" s="543">
        <f>Table3[[#This Row],[Hrs Rank]]</f>
        <v>0</v>
      </c>
      <c r="I72" s="533">
        <f t="shared" si="8"/>
        <v>0</v>
      </c>
      <c r="J72" s="533">
        <f t="shared" si="9"/>
        <v>0</v>
      </c>
      <c r="K72" s="545"/>
      <c r="L72" s="545"/>
      <c r="M72" s="546" t="s">
        <v>216</v>
      </c>
      <c r="N72" s="546" t="s">
        <v>216</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x14ac:dyDescent="0.2">
      <c r="A73" s="530" t="str">
        <f t="shared" si="6"/>
        <v>AQ</v>
      </c>
      <c r="B73" s="49" t="str">
        <f t="shared" si="7"/>
        <v>GPLMP</v>
      </c>
      <c r="C73" s="49" t="s">
        <v>247</v>
      </c>
      <c r="D73" s="531" t="s">
        <v>205</v>
      </c>
      <c r="E73" s="49" t="s">
        <v>50</v>
      </c>
      <c r="F73" s="534" t="str">
        <f>R.7NWRegionDevName1</f>
        <v xml:space="preserve"> </v>
      </c>
      <c r="G73" s="542">
        <f>R.7NWRegionDevHrs1</f>
        <v>0</v>
      </c>
      <c r="H73" s="543">
        <f>Table3[[#This Row],[Hrs Rank]]</f>
        <v>0</v>
      </c>
      <c r="I73" s="533">
        <f t="shared" si="8"/>
        <v>0</v>
      </c>
      <c r="J73" s="533">
        <f t="shared" si="9"/>
        <v>0</v>
      </c>
      <c r="K73" s="545"/>
      <c r="L73" s="545"/>
      <c r="M73" s="546" t="s">
        <v>216</v>
      </c>
      <c r="N73" s="546" t="s">
        <v>216</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x14ac:dyDescent="0.2">
      <c r="A74" s="530" t="str">
        <f t="shared" si="6"/>
        <v>AQ</v>
      </c>
      <c r="B74" s="49" t="str">
        <f t="shared" si="7"/>
        <v>GPLMP</v>
      </c>
      <c r="C74" s="49" t="s">
        <v>247</v>
      </c>
      <c r="D74" s="531" t="s">
        <v>205</v>
      </c>
      <c r="E74" s="49" t="s">
        <v>50</v>
      </c>
      <c r="F74" s="534" t="str">
        <f>R.7NWRegionDevName2</f>
        <v xml:space="preserve"> </v>
      </c>
      <c r="G74" s="542">
        <f>R.7NWRegionDevHrs2</f>
        <v>0</v>
      </c>
      <c r="H74" s="543">
        <f>Table3[[#This Row],[Hrs Rank]]</f>
        <v>0</v>
      </c>
      <c r="I74" s="533">
        <f t="shared" si="8"/>
        <v>0</v>
      </c>
      <c r="J74" s="533">
        <f t="shared" si="9"/>
        <v>0</v>
      </c>
      <c r="K74" s="545"/>
      <c r="L74" s="545"/>
      <c r="M74" s="546" t="s">
        <v>216</v>
      </c>
      <c r="N74" s="546" t="s">
        <v>216</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x14ac:dyDescent="0.2">
      <c r="A75" s="530" t="str">
        <f t="shared" si="6"/>
        <v>AQ</v>
      </c>
      <c r="B75" s="49" t="str">
        <f t="shared" si="7"/>
        <v>GPLMP</v>
      </c>
      <c r="C75" s="49" t="s">
        <v>247</v>
      </c>
      <c r="D75" s="531" t="s">
        <v>205</v>
      </c>
      <c r="E75" s="49" t="s">
        <v>50</v>
      </c>
      <c r="F75" s="534" t="str">
        <f>R.7NWRegionDevName3</f>
        <v xml:space="preserve"> </v>
      </c>
      <c r="G75" s="542">
        <f>R.7NWRegionDevHrs3</f>
        <v>0</v>
      </c>
      <c r="H75" s="543">
        <f>Table3[[#This Row],[Hrs Rank]]</f>
        <v>0</v>
      </c>
      <c r="I75" s="533">
        <f t="shared" si="8"/>
        <v>0</v>
      </c>
      <c r="J75" s="533">
        <f t="shared" si="9"/>
        <v>0</v>
      </c>
      <c r="K75" s="545"/>
      <c r="L75" s="545"/>
      <c r="M75" s="546" t="s">
        <v>216</v>
      </c>
      <c r="N75" s="546" t="s">
        <v>216</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x14ac:dyDescent="0.2">
      <c r="A76" s="530" t="str">
        <f t="shared" si="6"/>
        <v>AQ</v>
      </c>
      <c r="B76" s="49" t="str">
        <f t="shared" si="7"/>
        <v>GPLMP</v>
      </c>
      <c r="C76" s="49" t="s">
        <v>247</v>
      </c>
      <c r="D76" s="531" t="s">
        <v>205</v>
      </c>
      <c r="E76" s="49" t="s">
        <v>50</v>
      </c>
      <c r="F76" s="534" t="str">
        <f>R.7NWRegionDevName4</f>
        <v xml:space="preserve"> </v>
      </c>
      <c r="G76" s="542">
        <f>R.7NWRegionDevHrs4</f>
        <v>0</v>
      </c>
      <c r="H76" s="543">
        <f>Table3[[#This Row],[Hrs Rank]]</f>
        <v>0</v>
      </c>
      <c r="I76" s="533">
        <f t="shared" si="8"/>
        <v>0</v>
      </c>
      <c r="J76" s="533">
        <f t="shared" si="9"/>
        <v>0</v>
      </c>
      <c r="K76" s="545"/>
      <c r="L76" s="545"/>
      <c r="M76" s="546" t="s">
        <v>216</v>
      </c>
      <c r="N76" s="546" t="s">
        <v>216</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x14ac:dyDescent="0.2">
      <c r="A77" s="530" t="str">
        <f t="shared" si="6"/>
        <v>AQ</v>
      </c>
      <c r="B77" s="49" t="str">
        <f t="shared" si="7"/>
        <v>GPLMP</v>
      </c>
      <c r="C77" s="49" t="s">
        <v>247</v>
      </c>
      <c r="D77" s="531" t="s">
        <v>205</v>
      </c>
      <c r="E77" s="49" t="s">
        <v>49</v>
      </c>
      <c r="F77" s="534" t="str">
        <f>R.7NWRegionImpName1</f>
        <v xml:space="preserve"> </v>
      </c>
      <c r="G77" s="542">
        <f>R.7NWRegionImpHrs1</f>
        <v>0</v>
      </c>
      <c r="H77" s="543">
        <f>Table3[[#This Row],[Hrs Rank]]</f>
        <v>0</v>
      </c>
      <c r="I77" s="533">
        <f t="shared" si="8"/>
        <v>0</v>
      </c>
      <c r="J77" s="533">
        <f t="shared" si="9"/>
        <v>0</v>
      </c>
      <c r="K77" s="545"/>
      <c r="L77" s="545"/>
      <c r="M77" s="546" t="s">
        <v>216</v>
      </c>
      <c r="N77" s="546" t="s">
        <v>216</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x14ac:dyDescent="0.2">
      <c r="A78" s="530" t="str">
        <f t="shared" si="6"/>
        <v>AQ</v>
      </c>
      <c r="B78" s="49" t="str">
        <f t="shared" si="7"/>
        <v>GPLMP</v>
      </c>
      <c r="C78" s="49" t="s">
        <v>247</v>
      </c>
      <c r="D78" s="531" t="s">
        <v>205</v>
      </c>
      <c r="E78" s="49" t="s">
        <v>49</v>
      </c>
      <c r="F78" s="534" t="str">
        <f>R.7NWRegionImpName2</f>
        <v xml:space="preserve"> </v>
      </c>
      <c r="G78" s="542">
        <f>R.7NWRegionImpHrs2</f>
        <v>0</v>
      </c>
      <c r="H78" s="543">
        <f>Table3[[#This Row],[Hrs Rank]]</f>
        <v>0</v>
      </c>
      <c r="I78" s="533">
        <f t="shared" si="8"/>
        <v>0</v>
      </c>
      <c r="J78" s="533">
        <f t="shared" si="9"/>
        <v>0</v>
      </c>
      <c r="K78" s="545"/>
      <c r="L78" s="545"/>
      <c r="M78" s="546" t="s">
        <v>216</v>
      </c>
      <c r="N78" s="546" t="s">
        <v>216</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x14ac:dyDescent="0.2">
      <c r="A79" s="530" t="str">
        <f t="shared" si="6"/>
        <v>AQ</v>
      </c>
      <c r="B79" s="49" t="str">
        <f t="shared" si="7"/>
        <v>GPLMP</v>
      </c>
      <c r="C79" s="49" t="s">
        <v>247</v>
      </c>
      <c r="D79" s="531" t="s">
        <v>205</v>
      </c>
      <c r="E79" s="49" t="s">
        <v>49</v>
      </c>
      <c r="F79" s="534" t="str">
        <f>R.7NWRegionImpName3</f>
        <v xml:space="preserve"> </v>
      </c>
      <c r="G79" s="542">
        <f>R.7NWRegionImpHrs3</f>
        <v>0</v>
      </c>
      <c r="H79" s="543">
        <f>Table3[[#This Row],[Hrs Rank]]</f>
        <v>0</v>
      </c>
      <c r="I79" s="533">
        <f t="shared" si="8"/>
        <v>0</v>
      </c>
      <c r="J79" s="533">
        <f t="shared" si="9"/>
        <v>0</v>
      </c>
      <c r="K79" s="545"/>
      <c r="L79" s="545"/>
      <c r="M79" s="546" t="s">
        <v>216</v>
      </c>
      <c r="N79" s="546" t="s">
        <v>216</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x14ac:dyDescent="0.2">
      <c r="A80" s="530" t="str">
        <f t="shared" si="6"/>
        <v>AQ</v>
      </c>
      <c r="B80" s="49" t="str">
        <f t="shared" si="7"/>
        <v>GPLMP</v>
      </c>
      <c r="C80" s="49" t="s">
        <v>247</v>
      </c>
      <c r="D80" s="531" t="s">
        <v>205</v>
      </c>
      <c r="E80" s="49" t="s">
        <v>49</v>
      </c>
      <c r="F80" s="534" t="str">
        <f>R.7NWRegionImpName4</f>
        <v xml:space="preserve"> </v>
      </c>
      <c r="G80" s="542">
        <f>R.7NWRegionImpHrs4</f>
        <v>0</v>
      </c>
      <c r="H80" s="543">
        <f>Table3[[#This Row],[Hrs Rank]]</f>
        <v>0</v>
      </c>
      <c r="I80" s="533">
        <f t="shared" si="8"/>
        <v>0</v>
      </c>
      <c r="J80" s="533">
        <f t="shared" si="9"/>
        <v>0</v>
      </c>
      <c r="K80" s="545"/>
      <c r="L80" s="545"/>
      <c r="M80" s="546" t="s">
        <v>216</v>
      </c>
      <c r="N80" s="546" t="s">
        <v>216</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x14ac:dyDescent="0.2">
      <c r="A81" s="530" t="str">
        <f t="shared" si="6"/>
        <v>AQ</v>
      </c>
      <c r="B81" s="49" t="str">
        <f t="shared" si="7"/>
        <v>GPLMP</v>
      </c>
      <c r="C81" s="49" t="s">
        <v>248</v>
      </c>
      <c r="D81" s="531" t="s">
        <v>142</v>
      </c>
      <c r="E81" s="49" t="s">
        <v>50</v>
      </c>
      <c r="F81" s="534" t="str">
        <f>R.8BudDevName1</f>
        <v>No longer resourced</v>
      </c>
      <c r="G81" s="542">
        <f>R.8BudDevHrs1</f>
        <v>0</v>
      </c>
      <c r="H81" s="543">
        <f>Table3[[#This Row],[Hrs Rank]]</f>
        <v>0</v>
      </c>
      <c r="I81" s="533">
        <f t="shared" si="8"/>
        <v>0</v>
      </c>
      <c r="J81" s="533">
        <f t="shared" si="9"/>
        <v>0</v>
      </c>
      <c r="K81" s="545"/>
      <c r="L81" s="545"/>
      <c r="M81" s="546" t="s">
        <v>216</v>
      </c>
      <c r="N81" s="546" t="s">
        <v>216</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x14ac:dyDescent="0.2">
      <c r="A82" s="530" t="str">
        <f t="shared" si="6"/>
        <v>AQ</v>
      </c>
      <c r="B82" s="49" t="str">
        <f t="shared" si="7"/>
        <v>GPLMP</v>
      </c>
      <c r="C82" s="49" t="s">
        <v>248</v>
      </c>
      <c r="D82" s="531" t="s">
        <v>142</v>
      </c>
      <c r="E82" s="49" t="s">
        <v>50</v>
      </c>
      <c r="F82" s="534" t="str">
        <f>R.8BudDevName2</f>
        <v xml:space="preserve"> </v>
      </c>
      <c r="G82" s="542">
        <f>R.8BudDevHrs2</f>
        <v>0</v>
      </c>
      <c r="H82" s="543">
        <f>Table3[[#This Row],[Hrs Rank]]</f>
        <v>0</v>
      </c>
      <c r="I82" s="533">
        <f t="shared" si="8"/>
        <v>0</v>
      </c>
      <c r="J82" s="533">
        <f t="shared" si="9"/>
        <v>0</v>
      </c>
      <c r="K82" s="545"/>
      <c r="L82" s="545"/>
      <c r="M82" s="546" t="s">
        <v>216</v>
      </c>
      <c r="N82" s="546" t="s">
        <v>216</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x14ac:dyDescent="0.2">
      <c r="A83" s="530" t="str">
        <f t="shared" si="6"/>
        <v>AQ</v>
      </c>
      <c r="B83" s="49" t="str">
        <f t="shared" si="7"/>
        <v>GPLMP</v>
      </c>
      <c r="C83" s="49" t="s">
        <v>248</v>
      </c>
      <c r="D83" s="531" t="s">
        <v>142</v>
      </c>
      <c r="E83" s="49" t="s">
        <v>50</v>
      </c>
      <c r="F83" s="534" t="str">
        <f>R.8BudDevName3</f>
        <v xml:space="preserve"> </v>
      </c>
      <c r="G83" s="542">
        <f>R.8BudDevHrs3</f>
        <v>0</v>
      </c>
      <c r="H83" s="543">
        <f>Table3[[#This Row],[Hrs Rank]]</f>
        <v>0</v>
      </c>
      <c r="I83" s="533">
        <f t="shared" si="8"/>
        <v>0</v>
      </c>
      <c r="J83" s="533">
        <f t="shared" si="9"/>
        <v>0</v>
      </c>
      <c r="K83" s="545"/>
      <c r="L83" s="545"/>
      <c r="M83" s="546" t="s">
        <v>216</v>
      </c>
      <c r="N83" s="546" t="s">
        <v>216</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x14ac:dyDescent="0.2">
      <c r="A84" s="530" t="str">
        <f t="shared" si="6"/>
        <v>AQ</v>
      </c>
      <c r="B84" s="49" t="str">
        <f t="shared" si="7"/>
        <v>GPLMP</v>
      </c>
      <c r="C84" s="49" t="s">
        <v>248</v>
      </c>
      <c r="D84" s="531" t="s">
        <v>142</v>
      </c>
      <c r="E84" s="49" t="s">
        <v>50</v>
      </c>
      <c r="F84" s="534" t="str">
        <f>R.8BudDevName4</f>
        <v xml:space="preserve"> </v>
      </c>
      <c r="G84" s="542">
        <f>R.8BudDevHrs4</f>
        <v>0</v>
      </c>
      <c r="H84" s="543">
        <f>Table3[[#This Row],[Hrs Rank]]</f>
        <v>0</v>
      </c>
      <c r="I84" s="533">
        <f t="shared" si="8"/>
        <v>0</v>
      </c>
      <c r="J84" s="533">
        <f t="shared" si="9"/>
        <v>0</v>
      </c>
      <c r="K84" s="545"/>
      <c r="L84" s="545"/>
      <c r="M84" s="546" t="s">
        <v>216</v>
      </c>
      <c r="N84" s="546" t="s">
        <v>216</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x14ac:dyDescent="0.2">
      <c r="A85" s="530" t="str">
        <f t="shared" si="6"/>
        <v>AQ</v>
      </c>
      <c r="B85" s="49" t="str">
        <f t="shared" si="7"/>
        <v>GPLMP</v>
      </c>
      <c r="C85" s="49" t="s">
        <v>248</v>
      </c>
      <c r="D85" s="531" t="s">
        <v>142</v>
      </c>
      <c r="E85" s="49" t="s">
        <v>49</v>
      </c>
      <c r="F85" s="534" t="str">
        <f>R.8BudImpName1</f>
        <v xml:space="preserve"> </v>
      </c>
      <c r="G85" s="542">
        <f>R.8BudImpHrs1</f>
        <v>0</v>
      </c>
      <c r="H85" s="543">
        <f>Table3[[#This Row],[Hrs Rank]]</f>
        <v>0</v>
      </c>
      <c r="I85" s="533">
        <f t="shared" si="8"/>
        <v>0</v>
      </c>
      <c r="J85" s="533">
        <f t="shared" si="9"/>
        <v>0</v>
      </c>
      <c r="K85" s="545"/>
      <c r="L85" s="545"/>
      <c r="M85" s="546" t="s">
        <v>216</v>
      </c>
      <c r="N85" s="546" t="s">
        <v>216</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x14ac:dyDescent="0.2">
      <c r="A86" s="530" t="str">
        <f t="shared" si="6"/>
        <v>AQ</v>
      </c>
      <c r="B86" s="49" t="str">
        <f t="shared" si="7"/>
        <v>GPLMP</v>
      </c>
      <c r="C86" s="49" t="s">
        <v>248</v>
      </c>
      <c r="D86" s="531" t="s">
        <v>142</v>
      </c>
      <c r="E86" s="49" t="s">
        <v>49</v>
      </c>
      <c r="F86" s="534" t="str">
        <f>R.8BudImpName2</f>
        <v xml:space="preserve"> </v>
      </c>
      <c r="G86" s="542">
        <f>R.8BudImpHrs2</f>
        <v>0</v>
      </c>
      <c r="H86" s="543">
        <f>Table3[[#This Row],[Hrs Rank]]</f>
        <v>0</v>
      </c>
      <c r="I86" s="533">
        <f t="shared" si="8"/>
        <v>0</v>
      </c>
      <c r="J86" s="533">
        <f t="shared" si="9"/>
        <v>0</v>
      </c>
      <c r="K86" s="545"/>
      <c r="L86" s="545"/>
      <c r="M86" s="546" t="s">
        <v>216</v>
      </c>
      <c r="N86" s="546" t="s">
        <v>216</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x14ac:dyDescent="0.2">
      <c r="A87" s="530" t="str">
        <f t="shared" si="6"/>
        <v>AQ</v>
      </c>
      <c r="B87" s="49" t="str">
        <f t="shared" si="7"/>
        <v>GPLMP</v>
      </c>
      <c r="C87" s="49" t="s">
        <v>248</v>
      </c>
      <c r="D87" s="531" t="s">
        <v>142</v>
      </c>
      <c r="E87" s="49" t="s">
        <v>49</v>
      </c>
      <c r="F87" s="534" t="str">
        <f>R.8BudImpName3</f>
        <v xml:space="preserve"> </v>
      </c>
      <c r="G87" s="542">
        <f>R.8BudImpHrs3</f>
        <v>0</v>
      </c>
      <c r="H87" s="543">
        <f>Table3[[#This Row],[Hrs Rank]]</f>
        <v>0</v>
      </c>
      <c r="I87" s="533">
        <f t="shared" si="8"/>
        <v>0</v>
      </c>
      <c r="J87" s="533">
        <f t="shared" si="9"/>
        <v>0</v>
      </c>
      <c r="K87" s="545"/>
      <c r="L87" s="545"/>
      <c r="M87" s="546" t="s">
        <v>216</v>
      </c>
      <c r="N87" s="546" t="s">
        <v>216</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x14ac:dyDescent="0.2">
      <c r="A88" s="530" t="str">
        <f t="shared" si="6"/>
        <v>AQ</v>
      </c>
      <c r="B88" s="49" t="str">
        <f t="shared" si="7"/>
        <v>GPLMP</v>
      </c>
      <c r="C88" s="49" t="s">
        <v>248</v>
      </c>
      <c r="D88" s="531" t="s">
        <v>142</v>
      </c>
      <c r="E88" s="49" t="s">
        <v>49</v>
      </c>
      <c r="F88" s="534" t="str">
        <f>R.8BudImpName4</f>
        <v xml:space="preserve"> </v>
      </c>
      <c r="G88" s="542">
        <f>R.8BudImpHrs4</f>
        <v>0</v>
      </c>
      <c r="H88" s="543">
        <f>Table3[[#This Row],[Hrs Rank]]</f>
        <v>0</v>
      </c>
      <c r="I88" s="533">
        <f t="shared" si="8"/>
        <v>0</v>
      </c>
      <c r="J88" s="533">
        <f t="shared" si="9"/>
        <v>0</v>
      </c>
      <c r="K88" s="545"/>
      <c r="L88" s="545"/>
      <c r="M88" s="546" t="s">
        <v>216</v>
      </c>
      <c r="N88" s="546" t="s">
        <v>216</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x14ac:dyDescent="0.2">
      <c r="A89" s="530" t="str">
        <f t="shared" si="6"/>
        <v>AQ</v>
      </c>
      <c r="B89" s="49" t="str">
        <f t="shared" si="7"/>
        <v>GPLMP</v>
      </c>
      <c r="C89" s="49" t="s">
        <v>248</v>
      </c>
      <c r="D89" s="531" t="s">
        <v>140</v>
      </c>
      <c r="E89" s="49" t="s">
        <v>50</v>
      </c>
      <c r="F89" s="534" t="str">
        <f>R.8AcctDevName1</f>
        <v xml:space="preserve"> </v>
      </c>
      <c r="G89" s="542">
        <f>R.8AcctDevHrs1</f>
        <v>0</v>
      </c>
      <c r="H89" s="543">
        <f>Table3[[#This Row],[Hrs Rank]]</f>
        <v>0</v>
      </c>
      <c r="I89" s="533">
        <f t="shared" si="8"/>
        <v>0</v>
      </c>
      <c r="J89" s="533">
        <f t="shared" si="9"/>
        <v>0</v>
      </c>
      <c r="K89" s="545"/>
      <c r="L89" s="545"/>
      <c r="M89" s="546" t="s">
        <v>216</v>
      </c>
      <c r="N89" s="546" t="s">
        <v>216</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x14ac:dyDescent="0.2">
      <c r="A90" s="530" t="str">
        <f t="shared" si="6"/>
        <v>AQ</v>
      </c>
      <c r="B90" s="49" t="str">
        <f t="shared" si="7"/>
        <v>GPLMP</v>
      </c>
      <c r="C90" s="49" t="s">
        <v>248</v>
      </c>
      <c r="D90" s="531" t="s">
        <v>140</v>
      </c>
      <c r="E90" s="49" t="s">
        <v>50</v>
      </c>
      <c r="F90" s="534" t="str">
        <f>R.8AcctDevName2</f>
        <v xml:space="preserve"> </v>
      </c>
      <c r="G90" s="542">
        <f>R.8AcctDevHrs2</f>
        <v>0</v>
      </c>
      <c r="H90" s="543">
        <f>Table3[[#This Row],[Hrs Rank]]</f>
        <v>0</v>
      </c>
      <c r="I90" s="533">
        <f t="shared" si="8"/>
        <v>0</v>
      </c>
      <c r="J90" s="533">
        <f t="shared" si="9"/>
        <v>0</v>
      </c>
      <c r="K90" s="545"/>
      <c r="L90" s="545"/>
      <c r="M90" s="546" t="s">
        <v>216</v>
      </c>
      <c r="N90" s="546" t="s">
        <v>216</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x14ac:dyDescent="0.2">
      <c r="A91" s="530" t="str">
        <f t="shared" si="6"/>
        <v>AQ</v>
      </c>
      <c r="B91" s="49" t="str">
        <f t="shared" si="7"/>
        <v>GPLMP</v>
      </c>
      <c r="C91" s="49" t="s">
        <v>248</v>
      </c>
      <c r="D91" s="531" t="s">
        <v>140</v>
      </c>
      <c r="E91" s="49" t="s">
        <v>50</v>
      </c>
      <c r="F91" s="534" t="str">
        <f>R.8AcctDevName3</f>
        <v xml:space="preserve"> </v>
      </c>
      <c r="G91" s="542">
        <f>R.8AcctDevHrs3</f>
        <v>0</v>
      </c>
      <c r="H91" s="543">
        <f>Table3[[#This Row],[Hrs Rank]]</f>
        <v>0</v>
      </c>
      <c r="I91" s="533">
        <f t="shared" si="8"/>
        <v>0</v>
      </c>
      <c r="J91" s="533">
        <f t="shared" si="9"/>
        <v>0</v>
      </c>
      <c r="K91" s="545"/>
      <c r="L91" s="545"/>
      <c r="M91" s="546" t="s">
        <v>216</v>
      </c>
      <c r="N91" s="546" t="s">
        <v>216</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x14ac:dyDescent="0.2">
      <c r="A92" s="530" t="str">
        <f t="shared" si="6"/>
        <v>AQ</v>
      </c>
      <c r="B92" s="49" t="str">
        <f t="shared" si="7"/>
        <v>GPLMP</v>
      </c>
      <c r="C92" s="49" t="s">
        <v>248</v>
      </c>
      <c r="D92" s="531" t="s">
        <v>140</v>
      </c>
      <c r="E92" s="49" t="s">
        <v>50</v>
      </c>
      <c r="F92" s="534" t="str">
        <f>R.8AcctDevName4</f>
        <v xml:space="preserve"> </v>
      </c>
      <c r="G92" s="542">
        <f>R.8AcctDevHrs4</f>
        <v>0</v>
      </c>
      <c r="H92" s="543">
        <f>Table3[[#This Row],[Hrs Rank]]</f>
        <v>0</v>
      </c>
      <c r="I92" s="533">
        <f t="shared" si="8"/>
        <v>0</v>
      </c>
      <c r="J92" s="533">
        <f t="shared" si="9"/>
        <v>0</v>
      </c>
      <c r="K92" s="545"/>
      <c r="L92" s="545"/>
      <c r="M92" s="546" t="s">
        <v>216</v>
      </c>
      <c r="N92" s="546" t="s">
        <v>216</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x14ac:dyDescent="0.2">
      <c r="A93" s="530" t="str">
        <f t="shared" si="6"/>
        <v>AQ</v>
      </c>
      <c r="B93" s="49" t="str">
        <f t="shared" si="7"/>
        <v>GPLMP</v>
      </c>
      <c r="C93" s="49" t="s">
        <v>248</v>
      </c>
      <c r="D93" s="531" t="s">
        <v>140</v>
      </c>
      <c r="E93" s="49" t="s">
        <v>49</v>
      </c>
      <c r="F93" s="534">
        <f>R.8AcctImpName1</f>
        <v>0</v>
      </c>
      <c r="G93" s="542">
        <f>R.8AcctImpHrs1</f>
        <v>0</v>
      </c>
      <c r="H93" s="543">
        <f>Table3[[#This Row],[Hrs Rank]]</f>
        <v>0</v>
      </c>
      <c r="I93" s="533">
        <f t="shared" si="8"/>
        <v>0</v>
      </c>
      <c r="J93" s="533">
        <f t="shared" si="9"/>
        <v>0</v>
      </c>
      <c r="K93" s="545"/>
      <c r="L93" s="545"/>
      <c r="M93" s="546" t="s">
        <v>216</v>
      </c>
      <c r="N93" s="546" t="s">
        <v>216</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x14ac:dyDescent="0.2">
      <c r="A94" s="530" t="str">
        <f t="shared" si="6"/>
        <v>AQ</v>
      </c>
      <c r="B94" s="49" t="str">
        <f t="shared" si="7"/>
        <v>GPLMP</v>
      </c>
      <c r="C94" s="49" t="s">
        <v>248</v>
      </c>
      <c r="D94" s="531" t="s">
        <v>140</v>
      </c>
      <c r="E94" s="49" t="s">
        <v>49</v>
      </c>
      <c r="F94" s="534" t="str">
        <f>R.8AcctImpName2</f>
        <v xml:space="preserve"> </v>
      </c>
      <c r="G94" s="542">
        <f>R.8AcctImpHrs2</f>
        <v>0</v>
      </c>
      <c r="H94" s="543">
        <f>Table3[[#This Row],[Hrs Rank]]</f>
        <v>0</v>
      </c>
      <c r="I94" s="533">
        <f t="shared" si="8"/>
        <v>0</v>
      </c>
      <c r="J94" s="533">
        <f t="shared" si="9"/>
        <v>0</v>
      </c>
      <c r="K94" s="545"/>
      <c r="L94" s="545"/>
      <c r="M94" s="546" t="s">
        <v>216</v>
      </c>
      <c r="N94" s="546" t="s">
        <v>216</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x14ac:dyDescent="0.2">
      <c r="A95" s="530" t="str">
        <f t="shared" si="6"/>
        <v>AQ</v>
      </c>
      <c r="B95" s="49" t="str">
        <f t="shared" si="7"/>
        <v>GPLMP</v>
      </c>
      <c r="C95" s="49" t="s">
        <v>248</v>
      </c>
      <c r="D95" s="531" t="s">
        <v>140</v>
      </c>
      <c r="E95" s="49" t="s">
        <v>49</v>
      </c>
      <c r="F95" s="534" t="str">
        <f>R.8AcctImpName3</f>
        <v xml:space="preserve"> </v>
      </c>
      <c r="G95" s="542">
        <f>R.8AcctImpHrs3</f>
        <v>0</v>
      </c>
      <c r="H95" s="543">
        <f>Table3[[#This Row],[Hrs Rank]]</f>
        <v>0</v>
      </c>
      <c r="I95" s="533">
        <f t="shared" si="8"/>
        <v>0</v>
      </c>
      <c r="J95" s="533">
        <f t="shared" si="9"/>
        <v>0</v>
      </c>
      <c r="K95" s="545"/>
      <c r="L95" s="545"/>
      <c r="M95" s="546" t="s">
        <v>216</v>
      </c>
      <c r="N95" s="546" t="s">
        <v>216</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x14ac:dyDescent="0.2">
      <c r="A96" s="530" t="str">
        <f t="shared" si="6"/>
        <v>AQ</v>
      </c>
      <c r="B96" s="49" t="str">
        <f t="shared" si="7"/>
        <v>GPLMP</v>
      </c>
      <c r="C96" s="49" t="s">
        <v>248</v>
      </c>
      <c r="D96" s="531" t="s">
        <v>140</v>
      </c>
      <c r="E96" s="49" t="s">
        <v>49</v>
      </c>
      <c r="F96" s="534" t="str">
        <f>R.8AcctImpName4</f>
        <v xml:space="preserve"> </v>
      </c>
      <c r="G96" s="542">
        <f>R.8AcctImpHrs4</f>
        <v>0</v>
      </c>
      <c r="H96" s="543">
        <f>Table3[[#This Row],[Hrs Rank]]</f>
        <v>0</v>
      </c>
      <c r="I96" s="533">
        <f t="shared" si="8"/>
        <v>0</v>
      </c>
      <c r="J96" s="533">
        <f t="shared" si="9"/>
        <v>0</v>
      </c>
      <c r="K96" s="545"/>
      <c r="L96" s="545"/>
      <c r="M96" s="546" t="s">
        <v>216</v>
      </c>
      <c r="N96" s="546" t="s">
        <v>216</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x14ac:dyDescent="0.2">
      <c r="A97" s="530" t="str">
        <f t="shared" si="6"/>
        <v>AQ</v>
      </c>
      <c r="B97" s="49" t="str">
        <f t="shared" si="7"/>
        <v>GPLMP</v>
      </c>
      <c r="C97" s="49" t="s">
        <v>248</v>
      </c>
      <c r="D97" s="531" t="s">
        <v>141</v>
      </c>
      <c r="E97" s="49" t="s">
        <v>50</v>
      </c>
      <c r="F97" s="534">
        <f>R.8DContractDevName1</f>
        <v>0</v>
      </c>
      <c r="G97" s="542">
        <f>R.8DContractDevHrs1</f>
        <v>0</v>
      </c>
      <c r="H97" s="543">
        <f>Table3[[#This Row],[Hrs Rank]]</f>
        <v>0</v>
      </c>
      <c r="I97" s="533">
        <f t="shared" si="8"/>
        <v>0</v>
      </c>
      <c r="J97" s="533">
        <f t="shared" si="9"/>
        <v>0</v>
      </c>
      <c r="K97" s="545"/>
      <c r="L97" s="545"/>
      <c r="M97" s="546" t="s">
        <v>216</v>
      </c>
      <c r="N97" s="546" t="s">
        <v>216</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x14ac:dyDescent="0.2">
      <c r="A98" s="530" t="str">
        <f t="shared" si="6"/>
        <v>AQ</v>
      </c>
      <c r="B98" s="49" t="str">
        <f t="shared" si="7"/>
        <v>GPLMP</v>
      </c>
      <c r="C98" s="49" t="s">
        <v>248</v>
      </c>
      <c r="D98" s="531" t="s">
        <v>141</v>
      </c>
      <c r="E98" s="49" t="s">
        <v>50</v>
      </c>
      <c r="F98" s="534" t="str">
        <f>R.8DContractDevName2</f>
        <v xml:space="preserve"> </v>
      </c>
      <c r="G98" s="542">
        <f>R.8DContractDevHrs2</f>
        <v>0</v>
      </c>
      <c r="H98" s="543">
        <f>Table3[[#This Row],[Hrs Rank]]</f>
        <v>0</v>
      </c>
      <c r="I98" s="533">
        <f t="shared" si="8"/>
        <v>0</v>
      </c>
      <c r="J98" s="533">
        <f t="shared" si="9"/>
        <v>0</v>
      </c>
      <c r="K98" s="545"/>
      <c r="L98" s="545"/>
      <c r="M98" s="546" t="s">
        <v>216</v>
      </c>
      <c r="N98" s="546" t="s">
        <v>216</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x14ac:dyDescent="0.2">
      <c r="A99" s="530" t="str">
        <f t="shared" ref="A99:A112" si="10">R.1Division</f>
        <v>AQ</v>
      </c>
      <c r="B99" s="49" t="str">
        <f t="shared" ref="B99:B112" si="11">R.1CodeName</f>
        <v>GPLMP</v>
      </c>
      <c r="C99" s="49" t="s">
        <v>248</v>
      </c>
      <c r="D99" s="531" t="s">
        <v>141</v>
      </c>
      <c r="E99" s="49" t="s">
        <v>50</v>
      </c>
      <c r="F99" s="534" t="str">
        <f>R.8DContractDevName3</f>
        <v xml:space="preserve"> </v>
      </c>
      <c r="G99" s="542">
        <f>R.8DContractDevHrs3</f>
        <v>0</v>
      </c>
      <c r="H99" s="543">
        <f>Table3[[#This Row],[Hrs Rank]]</f>
        <v>0</v>
      </c>
      <c r="I99" s="533">
        <f t="shared" si="8"/>
        <v>0</v>
      </c>
      <c r="J99" s="533">
        <f t="shared" si="9"/>
        <v>0</v>
      </c>
      <c r="K99" s="545"/>
      <c r="L99" s="545"/>
      <c r="M99" s="546" t="s">
        <v>216</v>
      </c>
      <c r="N99" s="546" t="s">
        <v>216</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x14ac:dyDescent="0.2">
      <c r="A100" s="530" t="str">
        <f t="shared" si="10"/>
        <v>AQ</v>
      </c>
      <c r="B100" s="49" t="str">
        <f t="shared" si="11"/>
        <v>GPLMP</v>
      </c>
      <c r="C100" s="49" t="s">
        <v>248</v>
      </c>
      <c r="D100" s="531" t="s">
        <v>141</v>
      </c>
      <c r="E100" s="49" t="s">
        <v>50</v>
      </c>
      <c r="F100" s="534" t="str">
        <f>R.8DContractDevName4</f>
        <v xml:space="preserve"> </v>
      </c>
      <c r="G100" s="542">
        <f>R.8DContractDevHrs4</f>
        <v>0</v>
      </c>
      <c r="H100" s="543">
        <f>Table3[[#This Row],[Hrs Rank]]</f>
        <v>0</v>
      </c>
      <c r="I100" s="533">
        <f t="shared" si="8"/>
        <v>0</v>
      </c>
      <c r="J100" s="533">
        <f t="shared" si="9"/>
        <v>0</v>
      </c>
      <c r="K100" s="545"/>
      <c r="L100" s="545"/>
      <c r="M100" s="546" t="s">
        <v>216</v>
      </c>
      <c r="N100" s="546" t="s">
        <v>216</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x14ac:dyDescent="0.2">
      <c r="A101" s="530" t="str">
        <f t="shared" si="10"/>
        <v>AQ</v>
      </c>
      <c r="B101" s="49" t="str">
        <f t="shared" si="11"/>
        <v>GPLMP</v>
      </c>
      <c r="C101" s="49" t="s">
        <v>248</v>
      </c>
      <c r="D101" s="531" t="s">
        <v>141</v>
      </c>
      <c r="E101" s="49" t="s">
        <v>49</v>
      </c>
      <c r="F101" s="534">
        <f>R.8DContractImpName1</f>
        <v>0</v>
      </c>
      <c r="G101" s="542">
        <f>R.8DContractImpHrs1</f>
        <v>0</v>
      </c>
      <c r="H101" s="543">
        <f>Table3[[#This Row],[Hrs Rank]]</f>
        <v>0</v>
      </c>
      <c r="I101" s="533">
        <f t="shared" si="8"/>
        <v>0</v>
      </c>
      <c r="J101" s="533">
        <f t="shared" si="9"/>
        <v>0</v>
      </c>
      <c r="K101" s="545"/>
      <c r="L101" s="545"/>
      <c r="M101" s="546" t="s">
        <v>216</v>
      </c>
      <c r="N101" s="546" t="s">
        <v>216</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x14ac:dyDescent="0.2">
      <c r="A102" s="530" t="str">
        <f t="shared" si="10"/>
        <v>AQ</v>
      </c>
      <c r="B102" s="49" t="str">
        <f t="shared" si="11"/>
        <v>GPLMP</v>
      </c>
      <c r="C102" s="49" t="s">
        <v>248</v>
      </c>
      <c r="D102" s="531" t="s">
        <v>141</v>
      </c>
      <c r="E102" s="49" t="s">
        <v>49</v>
      </c>
      <c r="F102" s="534">
        <f>R.8DContractImpName2</f>
        <v>0</v>
      </c>
      <c r="G102" s="542">
        <f>R.8DContractImpHrs2</f>
        <v>0</v>
      </c>
      <c r="H102" s="543">
        <f>Table3[[#This Row],[Hrs Rank]]</f>
        <v>0</v>
      </c>
      <c r="I102" s="533">
        <f t="shared" si="8"/>
        <v>0</v>
      </c>
      <c r="J102" s="533">
        <f t="shared" si="9"/>
        <v>0</v>
      </c>
      <c r="K102" s="545"/>
      <c r="L102" s="545"/>
      <c r="M102" s="546" t="s">
        <v>216</v>
      </c>
      <c r="N102" s="546" t="s">
        <v>216</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x14ac:dyDescent="0.2">
      <c r="A103" s="530" t="str">
        <f t="shared" si="10"/>
        <v>AQ</v>
      </c>
      <c r="B103" s="49" t="str">
        <f t="shared" si="11"/>
        <v>GPLMP</v>
      </c>
      <c r="C103" s="49" t="s">
        <v>248</v>
      </c>
      <c r="D103" s="531" t="s">
        <v>141</v>
      </c>
      <c r="E103" s="49" t="s">
        <v>49</v>
      </c>
      <c r="F103" s="534" t="str">
        <f>R.8DContractImpName3</f>
        <v xml:space="preserve"> </v>
      </c>
      <c r="G103" s="542">
        <f>R.8DContractImpHrs3</f>
        <v>0</v>
      </c>
      <c r="H103" s="543">
        <f>Table3[[#This Row],[Hrs Rank]]</f>
        <v>0</v>
      </c>
      <c r="I103" s="533">
        <f t="shared" si="8"/>
        <v>0</v>
      </c>
      <c r="J103" s="533">
        <f t="shared" si="9"/>
        <v>0</v>
      </c>
      <c r="K103" s="545"/>
      <c r="L103" s="545"/>
      <c r="M103" s="546" t="s">
        <v>216</v>
      </c>
      <c r="N103" s="546" t="s">
        <v>216</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x14ac:dyDescent="0.2">
      <c r="A104" s="530" t="str">
        <f t="shared" si="10"/>
        <v>AQ</v>
      </c>
      <c r="B104" s="49" t="str">
        <f t="shared" si="11"/>
        <v>GPLMP</v>
      </c>
      <c r="C104" s="49" t="s">
        <v>248</v>
      </c>
      <c r="D104" s="531" t="s">
        <v>141</v>
      </c>
      <c r="E104" s="49" t="s">
        <v>49</v>
      </c>
      <c r="F104" s="534" t="str">
        <f>R.8DContractImpName4</f>
        <v xml:space="preserve"> </v>
      </c>
      <c r="G104" s="542">
        <f>R.8DContractImpHrs4</f>
        <v>0</v>
      </c>
      <c r="H104" s="543">
        <f>Table3[[#This Row],[Hrs Rank]]</f>
        <v>0</v>
      </c>
      <c r="I104" s="533">
        <f t="shared" si="8"/>
        <v>0</v>
      </c>
      <c r="J104" s="533">
        <f t="shared" si="9"/>
        <v>0</v>
      </c>
      <c r="K104" s="545"/>
      <c r="L104" s="545"/>
      <c r="M104" s="546" t="s">
        <v>216</v>
      </c>
      <c r="N104" s="546" t="s">
        <v>216</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x14ac:dyDescent="0.2">
      <c r="A105" s="530" t="str">
        <f t="shared" si="10"/>
        <v>AQ</v>
      </c>
      <c r="B105" s="49" t="str">
        <f t="shared" si="11"/>
        <v>GPLMP</v>
      </c>
      <c r="C105" s="49" t="s">
        <v>249</v>
      </c>
      <c r="D105" s="531" t="s">
        <v>259</v>
      </c>
      <c r="E105" s="49" t="s">
        <v>50</v>
      </c>
      <c r="F105" s="534" t="str">
        <f>R.9ComStrategyDevName1</f>
        <v>Brian White</v>
      </c>
      <c r="G105" s="542">
        <f>R.9ComStrategyDevHrs1</f>
        <v>1</v>
      </c>
      <c r="H105" s="543">
        <f>Table3[[#This Row],[Hrs Rank]]</f>
        <v>1</v>
      </c>
      <c r="I105" s="533">
        <f t="shared" si="8"/>
        <v>1</v>
      </c>
      <c r="J105" s="533">
        <f t="shared" si="9"/>
        <v>8</v>
      </c>
      <c r="K105" s="545"/>
      <c r="L105" s="545"/>
      <c r="M105" s="546" t="s">
        <v>216</v>
      </c>
      <c r="N105" s="546" t="s">
        <v>216</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x14ac:dyDescent="0.2">
      <c r="A106" s="530" t="str">
        <f t="shared" si="10"/>
        <v>AQ</v>
      </c>
      <c r="B106" s="49" t="str">
        <f t="shared" si="11"/>
        <v>GPLMP</v>
      </c>
      <c r="C106" s="49" t="s">
        <v>249</v>
      </c>
      <c r="D106" s="531" t="s">
        <v>259</v>
      </c>
      <c r="E106" s="49" t="s">
        <v>50</v>
      </c>
      <c r="F106" s="534">
        <f>R.9ComStrategyDevName2</f>
        <v>0</v>
      </c>
      <c r="G106" s="542">
        <f>R.9ComStrategyDevHrs2</f>
        <v>0</v>
      </c>
      <c r="H106" s="543">
        <f>Table3[[#This Row],[Hrs Rank]]</f>
        <v>0</v>
      </c>
      <c r="I106" s="533">
        <f t="shared" si="8"/>
        <v>0</v>
      </c>
      <c r="J106" s="533">
        <f t="shared" si="9"/>
        <v>0</v>
      </c>
      <c r="K106" s="545"/>
      <c r="L106" s="545"/>
      <c r="M106" s="546" t="s">
        <v>216</v>
      </c>
      <c r="N106" s="546" t="s">
        <v>216</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x14ac:dyDescent="0.2">
      <c r="A107" s="530" t="str">
        <f t="shared" si="10"/>
        <v>AQ</v>
      </c>
      <c r="B107" s="49" t="str">
        <f t="shared" si="11"/>
        <v>GPLMP</v>
      </c>
      <c r="C107" s="49" t="s">
        <v>249</v>
      </c>
      <c r="D107" s="531" t="s">
        <v>259</v>
      </c>
      <c r="E107" s="49" t="s">
        <v>50</v>
      </c>
      <c r="F107" s="534" t="str">
        <f>R.9ComStrategyDevName3</f>
        <v xml:space="preserve"> </v>
      </c>
      <c r="G107" s="542">
        <f>R.9ComStrategyDevHrs3</f>
        <v>0</v>
      </c>
      <c r="H107" s="543">
        <f>Table3[[#This Row],[Hrs Rank]]</f>
        <v>0</v>
      </c>
      <c r="I107" s="533">
        <f t="shared" si="8"/>
        <v>0</v>
      </c>
      <c r="J107" s="533">
        <f t="shared" si="9"/>
        <v>0</v>
      </c>
      <c r="K107" s="545"/>
      <c r="L107" s="545"/>
      <c r="M107" s="546" t="s">
        <v>216</v>
      </c>
      <c r="N107" s="546" t="s">
        <v>216</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x14ac:dyDescent="0.2">
      <c r="A108" s="530" t="str">
        <f t="shared" si="10"/>
        <v>AQ</v>
      </c>
      <c r="B108" s="49" t="str">
        <f t="shared" si="11"/>
        <v>GPLMP</v>
      </c>
      <c r="C108" s="49" t="s">
        <v>249</v>
      </c>
      <c r="D108" s="531" t="s">
        <v>259</v>
      </c>
      <c r="E108" s="49" t="s">
        <v>50</v>
      </c>
      <c r="F108" s="534" t="str">
        <f>R.9ComStrategyDevName4</f>
        <v xml:space="preserve"> </v>
      </c>
      <c r="G108" s="542">
        <f>R.9ComStrategyDevHrs4</f>
        <v>0</v>
      </c>
      <c r="H108" s="543">
        <f>Table3[[#This Row],[Hrs Rank]]</f>
        <v>0</v>
      </c>
      <c r="I108" s="533">
        <f t="shared" si="8"/>
        <v>0</v>
      </c>
      <c r="J108" s="533">
        <f t="shared" si="9"/>
        <v>0</v>
      </c>
      <c r="K108" s="545"/>
      <c r="L108" s="545"/>
      <c r="M108" s="546" t="s">
        <v>216</v>
      </c>
      <c r="N108" s="546" t="s">
        <v>216</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x14ac:dyDescent="0.2">
      <c r="A109" s="530" t="str">
        <f t="shared" si="10"/>
        <v>AQ</v>
      </c>
      <c r="B109" s="49" t="str">
        <f t="shared" si="11"/>
        <v>GPLMP</v>
      </c>
      <c r="C109" s="49" t="s">
        <v>249</v>
      </c>
      <c r="D109" s="531" t="s">
        <v>259</v>
      </c>
      <c r="E109" s="49" t="s">
        <v>49</v>
      </c>
      <c r="F109" s="534" t="str">
        <f>R.9ComStrategyImpName1</f>
        <v xml:space="preserve"> </v>
      </c>
      <c r="G109" s="542">
        <f>R.9ComStrategyImpHrs1</f>
        <v>0</v>
      </c>
      <c r="H109" s="543">
        <f>Table3[[#This Row],[Hrs Rank]]</f>
        <v>0</v>
      </c>
      <c r="I109" s="533">
        <f t="shared" si="8"/>
        <v>0</v>
      </c>
      <c r="J109" s="533">
        <f t="shared" si="9"/>
        <v>0</v>
      </c>
      <c r="K109" s="545"/>
      <c r="L109" s="545"/>
      <c r="M109" s="546" t="s">
        <v>216</v>
      </c>
      <c r="N109" s="546" t="s">
        <v>216</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x14ac:dyDescent="0.2">
      <c r="A110" s="530" t="str">
        <f t="shared" si="10"/>
        <v>AQ</v>
      </c>
      <c r="B110" s="49" t="str">
        <f t="shared" si="11"/>
        <v>GPLMP</v>
      </c>
      <c r="C110" s="49" t="s">
        <v>249</v>
      </c>
      <c r="D110" s="531" t="s">
        <v>259</v>
      </c>
      <c r="E110" s="49" t="s">
        <v>49</v>
      </c>
      <c r="F110" s="534">
        <f>R.9ComStrategyImpName2</f>
        <v>0</v>
      </c>
      <c r="G110" s="542">
        <f>R.9ComStrategyImpHrs2</f>
        <v>0</v>
      </c>
      <c r="H110" s="543">
        <f>Table3[[#This Row],[Hrs Rank]]</f>
        <v>0</v>
      </c>
      <c r="I110" s="533">
        <f t="shared" si="8"/>
        <v>0</v>
      </c>
      <c r="J110" s="533">
        <f t="shared" si="9"/>
        <v>0</v>
      </c>
      <c r="K110" s="545"/>
      <c r="L110" s="545"/>
      <c r="M110" s="546" t="s">
        <v>216</v>
      </c>
      <c r="N110" s="546" t="s">
        <v>216</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x14ac:dyDescent="0.2">
      <c r="A111" s="530" t="str">
        <f t="shared" si="10"/>
        <v>AQ</v>
      </c>
      <c r="B111" s="49" t="str">
        <f t="shared" si="11"/>
        <v>GPLMP</v>
      </c>
      <c r="C111" s="49" t="s">
        <v>249</v>
      </c>
      <c r="D111" s="531" t="s">
        <v>259</v>
      </c>
      <c r="E111" s="49" t="s">
        <v>49</v>
      </c>
      <c r="F111" s="534">
        <f>R.9ComStrategyImpName3</f>
        <v>0</v>
      </c>
      <c r="G111" s="542">
        <f>R.9ComStrategyImpHrs3</f>
        <v>0</v>
      </c>
      <c r="H111" s="543">
        <f>Table3[[#This Row],[Hrs Rank]]</f>
        <v>0</v>
      </c>
      <c r="I111" s="533">
        <f t="shared" si="8"/>
        <v>0</v>
      </c>
      <c r="J111" s="533">
        <f t="shared" si="9"/>
        <v>0</v>
      </c>
      <c r="K111" s="545"/>
      <c r="L111" s="545"/>
      <c r="M111" s="546" t="s">
        <v>216</v>
      </c>
      <c r="N111" s="546" t="s">
        <v>216</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x14ac:dyDescent="0.2">
      <c r="A112" s="530" t="str">
        <f t="shared" si="10"/>
        <v>AQ</v>
      </c>
      <c r="B112" s="49" t="str">
        <f t="shared" si="11"/>
        <v>GPLMP</v>
      </c>
      <c r="C112" s="49" t="s">
        <v>249</v>
      </c>
      <c r="D112" s="531" t="s">
        <v>259</v>
      </c>
      <c r="E112" s="49" t="s">
        <v>49</v>
      </c>
      <c r="F112" s="534" t="str">
        <f>R.9ComStrategyImpName4</f>
        <v xml:space="preserve"> </v>
      </c>
      <c r="G112" s="542">
        <f>R.9ComStrategyImpHrs4</f>
        <v>0</v>
      </c>
      <c r="H112" s="543">
        <f>Table3[[#This Row],[Hrs Rank]]</f>
        <v>0</v>
      </c>
      <c r="I112" s="533">
        <f t="shared" si="8"/>
        <v>0</v>
      </c>
      <c r="J112" s="533">
        <f t="shared" si="9"/>
        <v>0</v>
      </c>
      <c r="K112" s="545"/>
      <c r="L112" s="545"/>
      <c r="M112" s="546" t="s">
        <v>216</v>
      </c>
      <c r="N112" s="546" t="s">
        <v>216</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x14ac:dyDescent="0.2">
      <c r="A113" s="530" t="str">
        <f t="shared" ref="A113:A148" si="12">R.1Division</f>
        <v>AQ</v>
      </c>
      <c r="B113" s="49" t="str">
        <f t="shared" ref="B113:B148" si="13">R.1CodeName</f>
        <v>GPLMP</v>
      </c>
      <c r="C113" s="49" t="s">
        <v>249</v>
      </c>
      <c r="D113" s="531" t="s">
        <v>260</v>
      </c>
      <c r="E113" s="49" t="s">
        <v>50</v>
      </c>
      <c r="F113" s="534">
        <f>R.9PRDevName1</f>
        <v>0</v>
      </c>
      <c r="G113" s="542">
        <f>R.9PRDevHrs1</f>
        <v>0</v>
      </c>
      <c r="H113" s="543">
        <f>Table3[[#This Row],[Hrs Rank]]</f>
        <v>0</v>
      </c>
      <c r="I113" s="533">
        <f t="shared" si="8"/>
        <v>0</v>
      </c>
      <c r="J113" s="533">
        <f t="shared" si="9"/>
        <v>0</v>
      </c>
      <c r="K113" s="545"/>
      <c r="L113" s="545"/>
      <c r="M113" s="546" t="s">
        <v>216</v>
      </c>
      <c r="N113" s="546" t="s">
        <v>216</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x14ac:dyDescent="0.2">
      <c r="A114" s="530" t="str">
        <f t="shared" si="12"/>
        <v>AQ</v>
      </c>
      <c r="B114" s="49" t="str">
        <f t="shared" si="13"/>
        <v>GPLMP</v>
      </c>
      <c r="C114" s="49" t="s">
        <v>249</v>
      </c>
      <c r="D114" s="531" t="s">
        <v>260</v>
      </c>
      <c r="E114" s="49" t="s">
        <v>50</v>
      </c>
      <c r="F114" s="534" t="str">
        <f>R.9PRDevName2</f>
        <v xml:space="preserve"> </v>
      </c>
      <c r="G114" s="542">
        <f>R.9PRDevHrs2</f>
        <v>0</v>
      </c>
      <c r="H114" s="543">
        <f>Table3[[#This Row],[Hrs Rank]]</f>
        <v>0</v>
      </c>
      <c r="I114" s="533">
        <f t="shared" si="8"/>
        <v>0</v>
      </c>
      <c r="J114" s="533">
        <f t="shared" si="9"/>
        <v>0</v>
      </c>
      <c r="K114" s="545"/>
      <c r="L114" s="545"/>
      <c r="M114" s="546" t="s">
        <v>216</v>
      </c>
      <c r="N114" s="546" t="s">
        <v>216</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x14ac:dyDescent="0.2">
      <c r="A115" s="530" t="str">
        <f t="shared" si="12"/>
        <v>AQ</v>
      </c>
      <c r="B115" s="49" t="str">
        <f t="shared" si="13"/>
        <v>GPLMP</v>
      </c>
      <c r="C115" s="49" t="s">
        <v>249</v>
      </c>
      <c r="D115" s="531" t="s">
        <v>260</v>
      </c>
      <c r="E115" s="49" t="s">
        <v>50</v>
      </c>
      <c r="F115" s="534" t="str">
        <f>R.9PRDevName3</f>
        <v xml:space="preserve"> </v>
      </c>
      <c r="G115" s="542">
        <f>R.9PRDevHrs3</f>
        <v>0</v>
      </c>
      <c r="H115" s="543">
        <f>Table3[[#This Row],[Hrs Rank]]</f>
        <v>0</v>
      </c>
      <c r="I115" s="533">
        <f t="shared" si="8"/>
        <v>0</v>
      </c>
      <c r="J115" s="533">
        <f t="shared" si="9"/>
        <v>0</v>
      </c>
      <c r="K115" s="545"/>
      <c r="L115" s="545"/>
      <c r="M115" s="546" t="s">
        <v>216</v>
      </c>
      <c r="N115" s="546" t="s">
        <v>216</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x14ac:dyDescent="0.2">
      <c r="A116" s="530" t="str">
        <f t="shared" si="12"/>
        <v>AQ</v>
      </c>
      <c r="B116" s="49" t="str">
        <f t="shared" si="13"/>
        <v>GPLMP</v>
      </c>
      <c r="C116" s="49" t="s">
        <v>249</v>
      </c>
      <c r="D116" s="531" t="s">
        <v>260</v>
      </c>
      <c r="E116" s="49" t="s">
        <v>50</v>
      </c>
      <c r="F116" s="534" t="str">
        <f>R.9PRDevName4</f>
        <v xml:space="preserve"> </v>
      </c>
      <c r="G116" s="542">
        <f>R.9PRDevHrs4</f>
        <v>0</v>
      </c>
      <c r="H116" s="543">
        <f>Table3[[#This Row],[Hrs Rank]]</f>
        <v>0</v>
      </c>
      <c r="I116" s="533">
        <f t="shared" si="8"/>
        <v>0</v>
      </c>
      <c r="J116" s="533">
        <f t="shared" si="9"/>
        <v>0</v>
      </c>
      <c r="K116" s="545"/>
      <c r="L116" s="545"/>
      <c r="M116" s="546" t="s">
        <v>216</v>
      </c>
      <c r="N116" s="546" t="s">
        <v>216</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x14ac:dyDescent="0.2">
      <c r="A117" s="530" t="str">
        <f t="shared" si="12"/>
        <v>AQ</v>
      </c>
      <c r="B117" s="49" t="str">
        <f t="shared" si="13"/>
        <v>GPLMP</v>
      </c>
      <c r="C117" s="49" t="s">
        <v>249</v>
      </c>
      <c r="D117" s="531" t="s">
        <v>260</v>
      </c>
      <c r="E117" s="49" t="s">
        <v>49</v>
      </c>
      <c r="F117" s="534">
        <f>R.9PRImpName1</f>
        <v>0</v>
      </c>
      <c r="G117" s="542">
        <f>R.9PRImpHrs1</f>
        <v>0</v>
      </c>
      <c r="H117" s="543">
        <f>Table3[[#This Row],[Hrs Rank]]</f>
        <v>0</v>
      </c>
      <c r="I117" s="533">
        <f t="shared" si="8"/>
        <v>0</v>
      </c>
      <c r="J117" s="533">
        <f t="shared" si="9"/>
        <v>0</v>
      </c>
      <c r="K117" s="545"/>
      <c r="L117" s="545"/>
      <c r="M117" s="546" t="s">
        <v>216</v>
      </c>
      <c r="N117" s="546" t="s">
        <v>216</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x14ac:dyDescent="0.2">
      <c r="A118" s="530" t="str">
        <f t="shared" si="12"/>
        <v>AQ</v>
      </c>
      <c r="B118" s="49" t="str">
        <f t="shared" si="13"/>
        <v>GPLMP</v>
      </c>
      <c r="C118" s="49" t="s">
        <v>249</v>
      </c>
      <c r="D118" s="531" t="s">
        <v>260</v>
      </c>
      <c r="E118" s="49" t="s">
        <v>49</v>
      </c>
      <c r="F118" s="534" t="str">
        <f>R.9PRImpName2</f>
        <v xml:space="preserve"> </v>
      </c>
      <c r="G118" s="542">
        <f>R.9PRImpHrs2</f>
        <v>0</v>
      </c>
      <c r="H118" s="543">
        <f>Table3[[#This Row],[Hrs Rank]]</f>
        <v>0</v>
      </c>
      <c r="I118" s="533">
        <f t="shared" si="8"/>
        <v>0</v>
      </c>
      <c r="J118" s="533">
        <f t="shared" si="9"/>
        <v>0</v>
      </c>
      <c r="K118" s="545"/>
      <c r="L118" s="545"/>
      <c r="M118" s="546" t="s">
        <v>216</v>
      </c>
      <c r="N118" s="546" t="s">
        <v>216</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x14ac:dyDescent="0.2">
      <c r="A119" s="530" t="str">
        <f t="shared" si="12"/>
        <v>AQ</v>
      </c>
      <c r="B119" s="49" t="str">
        <f t="shared" si="13"/>
        <v>GPLMP</v>
      </c>
      <c r="C119" s="49" t="s">
        <v>249</v>
      </c>
      <c r="D119" s="531" t="s">
        <v>260</v>
      </c>
      <c r="E119" s="49" t="s">
        <v>49</v>
      </c>
      <c r="F119" s="534" t="str">
        <f>R.9PRImpName3</f>
        <v xml:space="preserve"> </v>
      </c>
      <c r="G119" s="542">
        <f>R.9PRImpHrs3</f>
        <v>0</v>
      </c>
      <c r="H119" s="543">
        <f>Table3[[#This Row],[Hrs Rank]]</f>
        <v>0</v>
      </c>
      <c r="I119" s="533">
        <f t="shared" si="8"/>
        <v>0</v>
      </c>
      <c r="J119" s="533">
        <f t="shared" si="9"/>
        <v>0</v>
      </c>
      <c r="K119" s="545"/>
      <c r="L119" s="545"/>
      <c r="M119" s="546" t="s">
        <v>216</v>
      </c>
      <c r="N119" s="546" t="s">
        <v>216</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x14ac:dyDescent="0.2">
      <c r="A120" s="530" t="str">
        <f t="shared" si="12"/>
        <v>AQ</v>
      </c>
      <c r="B120" s="49" t="str">
        <f t="shared" si="13"/>
        <v>GPLMP</v>
      </c>
      <c r="C120" s="49" t="s">
        <v>249</v>
      </c>
      <c r="D120" s="531" t="s">
        <v>260</v>
      </c>
      <c r="E120" s="49" t="s">
        <v>49</v>
      </c>
      <c r="F120" s="534" t="str">
        <f>R.9PRImpName4</f>
        <v xml:space="preserve"> </v>
      </c>
      <c r="G120" s="542">
        <f>R.9PRImpHrs4</f>
        <v>0</v>
      </c>
      <c r="H120" s="543">
        <f>Table3[[#This Row],[Hrs Rank]]</f>
        <v>0</v>
      </c>
      <c r="I120" s="533">
        <f t="shared" si="8"/>
        <v>0</v>
      </c>
      <c r="J120" s="533">
        <f t="shared" si="9"/>
        <v>0</v>
      </c>
      <c r="K120" s="545"/>
      <c r="L120" s="545"/>
      <c r="M120" s="546" t="s">
        <v>216</v>
      </c>
      <c r="N120" s="546" t="s">
        <v>216</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x14ac:dyDescent="0.2">
      <c r="A121" s="530" t="str">
        <f t="shared" si="12"/>
        <v>AQ</v>
      </c>
      <c r="B121" s="49" t="str">
        <f t="shared" si="13"/>
        <v>GPLMP</v>
      </c>
      <c r="C121" s="49" t="s">
        <v>249</v>
      </c>
      <c r="D121" s="531" t="s">
        <v>102</v>
      </c>
      <c r="E121" s="49" t="s">
        <v>50</v>
      </c>
      <c r="F121" s="534" t="str">
        <f>R.9WebDevName1</f>
        <v>Michelle Thompson</v>
      </c>
      <c r="G121" s="542">
        <f>R.9WebDevHrs1</f>
        <v>1</v>
      </c>
      <c r="H121" s="543">
        <f>Table3[[#This Row],[Hrs Rank]]</f>
        <v>1</v>
      </c>
      <c r="I121" s="533">
        <f t="shared" si="8"/>
        <v>1</v>
      </c>
      <c r="J121" s="533">
        <f t="shared" si="9"/>
        <v>8</v>
      </c>
      <c r="K121" s="545"/>
      <c r="L121" s="545"/>
      <c r="M121" s="546" t="s">
        <v>216</v>
      </c>
      <c r="N121" s="546" t="s">
        <v>216</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x14ac:dyDescent="0.2">
      <c r="A122" s="530" t="str">
        <f t="shared" si="12"/>
        <v>AQ</v>
      </c>
      <c r="B122" s="49" t="str">
        <f t="shared" si="13"/>
        <v>GPLMP</v>
      </c>
      <c r="C122" s="49" t="s">
        <v>249</v>
      </c>
      <c r="D122" s="531" t="s">
        <v>102</v>
      </c>
      <c r="E122" s="49" t="s">
        <v>50</v>
      </c>
      <c r="F122" s="534" t="str">
        <f>R.9WebDevName2</f>
        <v xml:space="preserve"> </v>
      </c>
      <c r="G122" s="542">
        <f>R.9WebDevHrs2</f>
        <v>0</v>
      </c>
      <c r="H122" s="543">
        <f>Table3[[#This Row],[Hrs Rank]]</f>
        <v>0</v>
      </c>
      <c r="I122" s="533">
        <f t="shared" si="8"/>
        <v>0</v>
      </c>
      <c r="J122" s="533">
        <f t="shared" si="9"/>
        <v>0</v>
      </c>
      <c r="K122" s="545"/>
      <c r="L122" s="545"/>
      <c r="M122" s="546" t="s">
        <v>216</v>
      </c>
      <c r="N122" s="546" t="s">
        <v>216</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x14ac:dyDescent="0.2">
      <c r="A123" s="530" t="str">
        <f t="shared" si="12"/>
        <v>AQ</v>
      </c>
      <c r="B123" s="49" t="str">
        <f t="shared" si="13"/>
        <v>GPLMP</v>
      </c>
      <c r="C123" s="49" t="s">
        <v>249</v>
      </c>
      <c r="D123" s="531" t="s">
        <v>102</v>
      </c>
      <c r="E123" s="49" t="s">
        <v>50</v>
      </c>
      <c r="F123" s="534" t="str">
        <f>R.9WebDevName3</f>
        <v xml:space="preserve"> </v>
      </c>
      <c r="G123" s="542">
        <f>R.9WebDevHrs3</f>
        <v>0</v>
      </c>
      <c r="H123" s="543">
        <f>Table3[[#This Row],[Hrs Rank]]</f>
        <v>0</v>
      </c>
      <c r="I123" s="533">
        <f t="shared" si="8"/>
        <v>0</v>
      </c>
      <c r="J123" s="533">
        <f t="shared" si="9"/>
        <v>0</v>
      </c>
      <c r="K123" s="545"/>
      <c r="L123" s="545"/>
      <c r="M123" s="546" t="s">
        <v>216</v>
      </c>
      <c r="N123" s="546" t="s">
        <v>216</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x14ac:dyDescent="0.2">
      <c r="A124" s="530" t="str">
        <f t="shared" si="12"/>
        <v>AQ</v>
      </c>
      <c r="B124" s="49" t="str">
        <f t="shared" si="13"/>
        <v>GPLMP</v>
      </c>
      <c r="C124" s="49" t="s">
        <v>249</v>
      </c>
      <c r="D124" s="531" t="s">
        <v>102</v>
      </c>
      <c r="E124" s="49" t="s">
        <v>50</v>
      </c>
      <c r="F124" s="534" t="str">
        <f>R.9WebDevName4</f>
        <v xml:space="preserve"> </v>
      </c>
      <c r="G124" s="542">
        <f>R.9WebDevHrs4</f>
        <v>0</v>
      </c>
      <c r="H124" s="543">
        <f>Table3[[#This Row],[Hrs Rank]]</f>
        <v>0</v>
      </c>
      <c r="I124" s="533">
        <f t="shared" si="8"/>
        <v>0</v>
      </c>
      <c r="J124" s="533">
        <f t="shared" si="9"/>
        <v>0</v>
      </c>
      <c r="K124" s="545"/>
      <c r="L124" s="545"/>
      <c r="M124" s="546" t="s">
        <v>216</v>
      </c>
      <c r="N124" s="546" t="s">
        <v>216</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x14ac:dyDescent="0.2">
      <c r="A125" s="530" t="str">
        <f t="shared" si="12"/>
        <v>AQ</v>
      </c>
      <c r="B125" s="49" t="str">
        <f t="shared" si="13"/>
        <v>GPLMP</v>
      </c>
      <c r="C125" s="49" t="s">
        <v>249</v>
      </c>
      <c r="D125" s="531" t="s">
        <v>102</v>
      </c>
      <c r="E125" s="49" t="s">
        <v>49</v>
      </c>
      <c r="F125" s="534" t="str">
        <f>R.9WebImpName1</f>
        <v>Michelle Thompson</v>
      </c>
      <c r="G125" s="542">
        <f>R.9WebImpHrs1</f>
        <v>1</v>
      </c>
      <c r="H125" s="543">
        <f>Table3[[#This Row],[Hrs Rank]]</f>
        <v>1</v>
      </c>
      <c r="I125" s="533">
        <f t="shared" si="8"/>
        <v>1</v>
      </c>
      <c r="J125" s="533">
        <f t="shared" si="9"/>
        <v>8</v>
      </c>
      <c r="K125" s="545"/>
      <c r="L125" s="545"/>
      <c r="M125" s="546" t="s">
        <v>216</v>
      </c>
      <c r="N125" s="546" t="s">
        <v>216</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x14ac:dyDescent="0.2">
      <c r="A126" s="530" t="str">
        <f t="shared" si="12"/>
        <v>AQ</v>
      </c>
      <c r="B126" s="49" t="str">
        <f t="shared" si="13"/>
        <v>GPLMP</v>
      </c>
      <c r="C126" s="49" t="s">
        <v>249</v>
      </c>
      <c r="D126" s="531" t="s">
        <v>102</v>
      </c>
      <c r="E126" s="49" t="s">
        <v>49</v>
      </c>
      <c r="F126" s="534" t="str">
        <f>R.9WebImpName2</f>
        <v xml:space="preserve"> </v>
      </c>
      <c r="G126" s="542">
        <f>R.9WebImpHrs2</f>
        <v>0</v>
      </c>
      <c r="H126" s="543">
        <f>Table3[[#This Row],[Hrs Rank]]</f>
        <v>0</v>
      </c>
      <c r="I126" s="533">
        <f t="shared" si="8"/>
        <v>0</v>
      </c>
      <c r="J126" s="533">
        <f t="shared" si="9"/>
        <v>0</v>
      </c>
      <c r="K126" s="545"/>
      <c r="L126" s="545"/>
      <c r="M126" s="546" t="s">
        <v>216</v>
      </c>
      <c r="N126" s="546" t="s">
        <v>216</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x14ac:dyDescent="0.2">
      <c r="A127" s="530" t="str">
        <f t="shared" si="12"/>
        <v>AQ</v>
      </c>
      <c r="B127" s="49" t="str">
        <f t="shared" si="13"/>
        <v>GPLMP</v>
      </c>
      <c r="C127" s="49" t="s">
        <v>249</v>
      </c>
      <c r="D127" s="531" t="s">
        <v>102</v>
      </c>
      <c r="E127" s="49" t="s">
        <v>49</v>
      </c>
      <c r="F127" s="534" t="str">
        <f>R.9WebImpName3</f>
        <v xml:space="preserve"> </v>
      </c>
      <c r="G127" s="542">
        <f>R.9WebImpHrs3</f>
        <v>0</v>
      </c>
      <c r="H127" s="543">
        <f>Table3[[#This Row],[Hrs Rank]]</f>
        <v>0</v>
      </c>
      <c r="I127" s="533">
        <f t="shared" si="8"/>
        <v>0</v>
      </c>
      <c r="J127" s="533">
        <f t="shared" si="9"/>
        <v>0</v>
      </c>
      <c r="K127" s="545"/>
      <c r="L127" s="545"/>
      <c r="M127" s="546" t="s">
        <v>216</v>
      </c>
      <c r="N127" s="546" t="s">
        <v>216</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x14ac:dyDescent="0.2">
      <c r="A128" s="530" t="str">
        <f t="shared" si="12"/>
        <v>AQ</v>
      </c>
      <c r="B128" s="49" t="str">
        <f t="shared" si="13"/>
        <v>GPLMP</v>
      </c>
      <c r="C128" s="49" t="s">
        <v>249</v>
      </c>
      <c r="D128" s="531" t="s">
        <v>102</v>
      </c>
      <c r="E128" s="49" t="s">
        <v>49</v>
      </c>
      <c r="F128" s="534" t="str">
        <f>R.9WebImpName4</f>
        <v xml:space="preserve"> </v>
      </c>
      <c r="G128" s="542">
        <f>R.9WebImpHrs4</f>
        <v>0</v>
      </c>
      <c r="H128" s="543">
        <f>Table3[[#This Row],[Hrs Rank]]</f>
        <v>0</v>
      </c>
      <c r="I128" s="533">
        <f t="shared" si="8"/>
        <v>0</v>
      </c>
      <c r="J128" s="533">
        <f t="shared" si="9"/>
        <v>0</v>
      </c>
      <c r="K128" s="545"/>
      <c r="L128" s="545"/>
      <c r="M128" s="546" t="s">
        <v>216</v>
      </c>
      <c r="N128" s="546" t="s">
        <v>216</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x14ac:dyDescent="0.2">
      <c r="A129" s="530" t="str">
        <f t="shared" si="12"/>
        <v>AQ</v>
      </c>
      <c r="B129" s="49" t="str">
        <f t="shared" si="13"/>
        <v>GPLMP</v>
      </c>
      <c r="C129" s="49" t="s">
        <v>250</v>
      </c>
      <c r="D129" s="531" t="s">
        <v>138</v>
      </c>
      <c r="E129" s="49" t="s">
        <v>50</v>
      </c>
      <c r="F129" s="534">
        <f>R.10HRDevName1</f>
        <v>0</v>
      </c>
      <c r="G129" s="542">
        <f>R.10HRDevHrs1</f>
        <v>0</v>
      </c>
      <c r="H129" s="543">
        <f>Table3[[#This Row],[Hrs Rank]]</f>
        <v>0</v>
      </c>
      <c r="I129" s="533">
        <f t="shared" si="8"/>
        <v>0</v>
      </c>
      <c r="J129" s="533">
        <f t="shared" si="9"/>
        <v>0</v>
      </c>
      <c r="K129" s="545"/>
      <c r="L129" s="545"/>
      <c r="M129" s="546" t="s">
        <v>216</v>
      </c>
      <c r="N129" s="546" t="s">
        <v>216</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x14ac:dyDescent="0.2">
      <c r="A130" s="530" t="str">
        <f t="shared" si="12"/>
        <v>AQ</v>
      </c>
      <c r="B130" s="49" t="str">
        <f t="shared" si="13"/>
        <v>GPLMP</v>
      </c>
      <c r="C130" s="49" t="s">
        <v>250</v>
      </c>
      <c r="D130" s="531" t="s">
        <v>138</v>
      </c>
      <c r="E130" s="49" t="s">
        <v>50</v>
      </c>
      <c r="F130" s="534">
        <f>R.10HRDevName2</f>
        <v>0</v>
      </c>
      <c r="G130" s="542">
        <f>R.10HRDevHrs2</f>
        <v>0</v>
      </c>
      <c r="H130" s="543">
        <f>Table3[[#This Row],[Hrs Rank]]</f>
        <v>0</v>
      </c>
      <c r="I130" s="533">
        <f t="shared" si="8"/>
        <v>0</v>
      </c>
      <c r="J130" s="533">
        <f t="shared" si="9"/>
        <v>0</v>
      </c>
      <c r="K130" s="545"/>
      <c r="L130" s="545"/>
      <c r="M130" s="546" t="s">
        <v>216</v>
      </c>
      <c r="N130" s="546" t="s">
        <v>216</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x14ac:dyDescent="0.2">
      <c r="A131" s="530" t="str">
        <f t="shared" si="12"/>
        <v>AQ</v>
      </c>
      <c r="B131" s="49" t="str">
        <f t="shared" si="13"/>
        <v>GPLMP</v>
      </c>
      <c r="C131" s="49" t="s">
        <v>250</v>
      </c>
      <c r="D131" s="531" t="s">
        <v>138</v>
      </c>
      <c r="E131" s="49" t="s">
        <v>50</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216</v>
      </c>
      <c r="N131" s="546" t="s">
        <v>216</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x14ac:dyDescent="0.2">
      <c r="A132" s="530" t="str">
        <f t="shared" si="12"/>
        <v>AQ</v>
      </c>
      <c r="B132" s="49" t="str">
        <f t="shared" si="13"/>
        <v>GPLMP</v>
      </c>
      <c r="C132" s="49" t="s">
        <v>250</v>
      </c>
      <c r="D132" s="531" t="s">
        <v>138</v>
      </c>
      <c r="E132" s="49" t="s">
        <v>50</v>
      </c>
      <c r="F132" s="534" t="str">
        <f>R.10HRDevName4</f>
        <v xml:space="preserve"> </v>
      </c>
      <c r="G132" s="542">
        <f>R.10HRDevHrs4</f>
        <v>0</v>
      </c>
      <c r="H132" s="543">
        <f>Table3[[#This Row],[Hrs Rank]]</f>
        <v>0</v>
      </c>
      <c r="I132" s="533">
        <f t="shared" si="14"/>
        <v>0</v>
      </c>
      <c r="J132" s="533">
        <f t="shared" si="15"/>
        <v>0</v>
      </c>
      <c r="K132" s="545"/>
      <c r="L132" s="545"/>
      <c r="M132" s="546" t="s">
        <v>216</v>
      </c>
      <c r="N132" s="546" t="s">
        <v>216</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x14ac:dyDescent="0.2">
      <c r="A133" s="530" t="str">
        <f t="shared" si="12"/>
        <v>AQ</v>
      </c>
      <c r="B133" s="49" t="str">
        <f t="shared" si="13"/>
        <v>GPLMP</v>
      </c>
      <c r="C133" s="49" t="s">
        <v>250</v>
      </c>
      <c r="D133" s="531" t="s">
        <v>138</v>
      </c>
      <c r="E133" s="49" t="s">
        <v>49</v>
      </c>
      <c r="F133" s="534">
        <f>R.10HRImpName1</f>
        <v>0</v>
      </c>
      <c r="G133" s="542">
        <f>R.10HRImpHrs1</f>
        <v>0</v>
      </c>
      <c r="H133" s="543">
        <f>Table3[[#This Row],[Hrs Rank]]</f>
        <v>0</v>
      </c>
      <c r="I133" s="533">
        <f t="shared" si="14"/>
        <v>0</v>
      </c>
      <c r="J133" s="533">
        <f t="shared" si="15"/>
        <v>0</v>
      </c>
      <c r="K133" s="545"/>
      <c r="L133" s="545"/>
      <c r="M133" s="546" t="s">
        <v>216</v>
      </c>
      <c r="N133" s="546" t="s">
        <v>216</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x14ac:dyDescent="0.2">
      <c r="A134" s="530" t="str">
        <f t="shared" si="12"/>
        <v>AQ</v>
      </c>
      <c r="B134" s="49" t="str">
        <f t="shared" si="13"/>
        <v>GPLMP</v>
      </c>
      <c r="C134" s="49" t="s">
        <v>250</v>
      </c>
      <c r="D134" s="531" t="s">
        <v>138</v>
      </c>
      <c r="E134" s="49" t="s">
        <v>49</v>
      </c>
      <c r="F134" s="534" t="str">
        <f>R.10HRImpName2</f>
        <v xml:space="preserve"> </v>
      </c>
      <c r="G134" s="542">
        <f>R.10HRImpHrs2</f>
        <v>0</v>
      </c>
      <c r="H134" s="543">
        <f>Table3[[#This Row],[Hrs Rank]]</f>
        <v>0</v>
      </c>
      <c r="I134" s="533">
        <f t="shared" si="14"/>
        <v>0</v>
      </c>
      <c r="J134" s="533">
        <f t="shared" si="15"/>
        <v>0</v>
      </c>
      <c r="K134" s="545"/>
      <c r="L134" s="545"/>
      <c r="M134" s="546" t="s">
        <v>216</v>
      </c>
      <c r="N134" s="546" t="s">
        <v>216</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x14ac:dyDescent="0.2">
      <c r="A135" s="530" t="str">
        <f t="shared" si="12"/>
        <v>AQ</v>
      </c>
      <c r="B135" s="49" t="str">
        <f t="shared" si="13"/>
        <v>GPLMP</v>
      </c>
      <c r="C135" s="49" t="s">
        <v>250</v>
      </c>
      <c r="D135" s="531" t="s">
        <v>138</v>
      </c>
      <c r="E135" s="49" t="s">
        <v>49</v>
      </c>
      <c r="F135" s="534" t="str">
        <f>R.10HRImpName3</f>
        <v xml:space="preserve"> </v>
      </c>
      <c r="G135" s="542">
        <f>R.10HRImpHrs3</f>
        <v>0</v>
      </c>
      <c r="H135" s="543">
        <f>Table3[[#This Row],[Hrs Rank]]</f>
        <v>0</v>
      </c>
      <c r="I135" s="533">
        <f t="shared" si="14"/>
        <v>0</v>
      </c>
      <c r="J135" s="533">
        <f t="shared" si="15"/>
        <v>0</v>
      </c>
      <c r="K135" s="545"/>
      <c r="L135" s="545"/>
      <c r="M135" s="546" t="s">
        <v>216</v>
      </c>
      <c r="N135" s="546" t="s">
        <v>216</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x14ac:dyDescent="0.2">
      <c r="A136" s="530" t="str">
        <f t="shared" si="12"/>
        <v>AQ</v>
      </c>
      <c r="B136" s="49" t="str">
        <f t="shared" si="13"/>
        <v>GPLMP</v>
      </c>
      <c r="C136" s="49" t="s">
        <v>250</v>
      </c>
      <c r="D136" s="531" t="s">
        <v>138</v>
      </c>
      <c r="E136" s="49" t="s">
        <v>49</v>
      </c>
      <c r="F136" s="534" t="str">
        <f>R.10HRImpName4</f>
        <v xml:space="preserve"> </v>
      </c>
      <c r="G136" s="542">
        <f>R.10HRImpHrs4</f>
        <v>0</v>
      </c>
      <c r="H136" s="543">
        <f>Table3[[#This Row],[Hrs Rank]]</f>
        <v>0</v>
      </c>
      <c r="I136" s="533">
        <f t="shared" si="14"/>
        <v>0</v>
      </c>
      <c r="J136" s="533">
        <f t="shared" si="15"/>
        <v>0</v>
      </c>
      <c r="K136" s="545"/>
      <c r="L136" s="545"/>
      <c r="M136" s="546" t="s">
        <v>216</v>
      </c>
      <c r="N136" s="546" t="s">
        <v>216</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x14ac:dyDescent="0.2">
      <c r="A137" s="530" t="str">
        <f t="shared" si="12"/>
        <v>AQ</v>
      </c>
      <c r="B137" s="49" t="str">
        <f t="shared" si="13"/>
        <v>GPLMP</v>
      </c>
      <c r="C137" s="49" t="s">
        <v>250</v>
      </c>
      <c r="D137" s="531" t="s">
        <v>137</v>
      </c>
      <c r="E137" s="49" t="s">
        <v>50</v>
      </c>
      <c r="F137" s="534">
        <f>R.10PolicyDevName1</f>
        <v>0</v>
      </c>
      <c r="G137" s="542">
        <f>R.10PolicyDevHrs1</f>
        <v>0</v>
      </c>
      <c r="H137" s="543">
        <f>Table3[[#This Row],[Hrs Rank]]</f>
        <v>0</v>
      </c>
      <c r="I137" s="533">
        <f t="shared" si="14"/>
        <v>0</v>
      </c>
      <c r="J137" s="533">
        <f t="shared" si="15"/>
        <v>0</v>
      </c>
      <c r="K137" s="545"/>
      <c r="L137" s="545"/>
      <c r="M137" s="546" t="s">
        <v>216</v>
      </c>
      <c r="N137" s="546" t="s">
        <v>216</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x14ac:dyDescent="0.2">
      <c r="A138" s="530" t="str">
        <f t="shared" si="12"/>
        <v>AQ</v>
      </c>
      <c r="B138" s="49" t="str">
        <f t="shared" si="13"/>
        <v>GPLMP</v>
      </c>
      <c r="C138" s="49" t="s">
        <v>250</v>
      </c>
      <c r="D138" s="531" t="s">
        <v>137</v>
      </c>
      <c r="E138" s="49" t="s">
        <v>50</v>
      </c>
      <c r="F138" s="534" t="str">
        <f>R.10PolicyDevName2</f>
        <v xml:space="preserve"> </v>
      </c>
      <c r="G138" s="542">
        <f>R.10PolicyDevHrs2</f>
        <v>0</v>
      </c>
      <c r="H138" s="543">
        <f>Table3[[#This Row],[Hrs Rank]]</f>
        <v>0</v>
      </c>
      <c r="I138" s="533">
        <f t="shared" si="14"/>
        <v>0</v>
      </c>
      <c r="J138" s="533">
        <f t="shared" si="15"/>
        <v>0</v>
      </c>
      <c r="K138" s="545"/>
      <c r="L138" s="545"/>
      <c r="M138" s="546" t="s">
        <v>216</v>
      </c>
      <c r="N138" s="546" t="s">
        <v>216</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x14ac:dyDescent="0.2">
      <c r="A139" s="530" t="str">
        <f t="shared" si="12"/>
        <v>AQ</v>
      </c>
      <c r="B139" s="49" t="str">
        <f t="shared" si="13"/>
        <v>GPLMP</v>
      </c>
      <c r="C139" s="49" t="s">
        <v>250</v>
      </c>
      <c r="D139" s="531" t="s">
        <v>137</v>
      </c>
      <c r="E139" s="49" t="s">
        <v>50</v>
      </c>
      <c r="F139" s="534" t="str">
        <f>R.10PolicyDevName3</f>
        <v xml:space="preserve"> </v>
      </c>
      <c r="G139" s="542">
        <f>R.10PolicyDevHrs3</f>
        <v>0</v>
      </c>
      <c r="H139" s="543">
        <f>Table3[[#This Row],[Hrs Rank]]</f>
        <v>0</v>
      </c>
      <c r="I139" s="533">
        <f t="shared" si="14"/>
        <v>0</v>
      </c>
      <c r="J139" s="533">
        <f t="shared" si="15"/>
        <v>0</v>
      </c>
      <c r="K139" s="545"/>
      <c r="L139" s="545"/>
      <c r="M139" s="546" t="s">
        <v>216</v>
      </c>
      <c r="N139" s="546" t="s">
        <v>216</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x14ac:dyDescent="0.2">
      <c r="A140" s="530" t="str">
        <f t="shared" si="12"/>
        <v>AQ</v>
      </c>
      <c r="B140" s="49" t="str">
        <f t="shared" si="13"/>
        <v>GPLMP</v>
      </c>
      <c r="C140" s="49" t="s">
        <v>250</v>
      </c>
      <c r="D140" s="531" t="s">
        <v>137</v>
      </c>
      <c r="E140" s="49" t="s">
        <v>50</v>
      </c>
      <c r="F140" s="534" t="str">
        <f>R.10PolicyDevName4</f>
        <v xml:space="preserve"> </v>
      </c>
      <c r="G140" s="542">
        <f>R.10PolicyDevHrs4</f>
        <v>0</v>
      </c>
      <c r="H140" s="543">
        <f>Table3[[#This Row],[Hrs Rank]]</f>
        <v>0</v>
      </c>
      <c r="I140" s="533">
        <f t="shared" si="14"/>
        <v>0</v>
      </c>
      <c r="J140" s="533">
        <f t="shared" si="15"/>
        <v>0</v>
      </c>
      <c r="K140" s="545"/>
      <c r="L140" s="545"/>
      <c r="M140" s="546" t="s">
        <v>216</v>
      </c>
      <c r="N140" s="546" t="s">
        <v>216</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x14ac:dyDescent="0.2">
      <c r="A141" s="530" t="str">
        <f t="shared" si="12"/>
        <v>AQ</v>
      </c>
      <c r="B141" s="49" t="str">
        <f t="shared" si="13"/>
        <v>GPLMP</v>
      </c>
      <c r="C141" s="49" t="s">
        <v>250</v>
      </c>
      <c r="D141" s="531" t="s">
        <v>137</v>
      </c>
      <c r="E141" s="49" t="s">
        <v>49</v>
      </c>
      <c r="F141" s="534">
        <f>R.10PolicyImpName1</f>
        <v>0</v>
      </c>
      <c r="G141" s="542">
        <f>R.10PolicyImpHrs1</f>
        <v>0</v>
      </c>
      <c r="H141" s="543">
        <f>Table3[[#This Row],[Hrs Rank]]</f>
        <v>0</v>
      </c>
      <c r="I141" s="533">
        <f t="shared" si="14"/>
        <v>0</v>
      </c>
      <c r="J141" s="533">
        <f t="shared" si="15"/>
        <v>0</v>
      </c>
      <c r="K141" s="545"/>
      <c r="L141" s="545"/>
      <c r="M141" s="546" t="s">
        <v>216</v>
      </c>
      <c r="N141" s="546" t="s">
        <v>216</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x14ac:dyDescent="0.2">
      <c r="A142" s="530" t="str">
        <f t="shared" si="12"/>
        <v>AQ</v>
      </c>
      <c r="B142" s="49" t="str">
        <f t="shared" si="13"/>
        <v>GPLMP</v>
      </c>
      <c r="C142" s="49" t="s">
        <v>250</v>
      </c>
      <c r="D142" s="531" t="s">
        <v>137</v>
      </c>
      <c r="E142" s="49" t="s">
        <v>49</v>
      </c>
      <c r="F142" s="534" t="str">
        <f>R.10PolicyImpName2</f>
        <v xml:space="preserve"> </v>
      </c>
      <c r="G142" s="542">
        <f>R.10PolicyImpHrs2</f>
        <v>0</v>
      </c>
      <c r="H142" s="543">
        <f>Table3[[#This Row],[Hrs Rank]]</f>
        <v>0</v>
      </c>
      <c r="I142" s="533">
        <f t="shared" si="14"/>
        <v>0</v>
      </c>
      <c r="J142" s="533">
        <f t="shared" si="15"/>
        <v>0</v>
      </c>
      <c r="K142" s="545"/>
      <c r="L142" s="545"/>
      <c r="M142" s="546" t="s">
        <v>216</v>
      </c>
      <c r="N142" s="546" t="s">
        <v>216</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x14ac:dyDescent="0.2">
      <c r="A143" s="530" t="str">
        <f t="shared" si="12"/>
        <v>AQ</v>
      </c>
      <c r="B143" s="49" t="str">
        <f t="shared" si="13"/>
        <v>GPLMP</v>
      </c>
      <c r="C143" s="49" t="s">
        <v>250</v>
      </c>
      <c r="D143" s="531" t="s">
        <v>137</v>
      </c>
      <c r="E143" s="49" t="s">
        <v>49</v>
      </c>
      <c r="F143" s="534" t="str">
        <f>R.10PolicyImpName3</f>
        <v xml:space="preserve"> </v>
      </c>
      <c r="G143" s="542">
        <f>R.10PolicyImpHrs3</f>
        <v>0</v>
      </c>
      <c r="H143" s="543">
        <f>Table3[[#This Row],[Hrs Rank]]</f>
        <v>0</v>
      </c>
      <c r="I143" s="533">
        <f t="shared" si="14"/>
        <v>0</v>
      </c>
      <c r="J143" s="533">
        <f t="shared" si="15"/>
        <v>0</v>
      </c>
      <c r="K143" s="545"/>
      <c r="L143" s="545"/>
      <c r="M143" s="546" t="s">
        <v>216</v>
      </c>
      <c r="N143" s="546" t="s">
        <v>216</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x14ac:dyDescent="0.2">
      <c r="A144" s="530" t="str">
        <f t="shared" si="12"/>
        <v>AQ</v>
      </c>
      <c r="B144" s="49" t="str">
        <f t="shared" si="13"/>
        <v>GPLMP</v>
      </c>
      <c r="C144" s="49" t="s">
        <v>250</v>
      </c>
      <c r="D144" s="531" t="s">
        <v>137</v>
      </c>
      <c r="E144" s="49" t="s">
        <v>49</v>
      </c>
      <c r="F144" s="534" t="str">
        <f>R.10PolicyImpName4</f>
        <v xml:space="preserve"> </v>
      </c>
      <c r="G144" s="542">
        <f>R.10PolicyImpHrs4</f>
        <v>0</v>
      </c>
      <c r="H144" s="543">
        <f>Table3[[#This Row],[Hrs Rank]]</f>
        <v>0</v>
      </c>
      <c r="I144" s="533">
        <f t="shared" si="14"/>
        <v>0</v>
      </c>
      <c r="J144" s="533">
        <f t="shared" si="15"/>
        <v>0</v>
      </c>
      <c r="K144" s="545"/>
      <c r="L144" s="545"/>
      <c r="M144" s="546" t="s">
        <v>216</v>
      </c>
      <c r="N144" s="546" t="s">
        <v>216</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x14ac:dyDescent="0.2">
      <c r="A145" s="530" t="str">
        <f t="shared" si="12"/>
        <v>AQ</v>
      </c>
      <c r="B145" s="49" t="str">
        <f t="shared" si="13"/>
        <v>GPLMP</v>
      </c>
      <c r="C145" s="49" t="s">
        <v>250</v>
      </c>
      <c r="D145" s="531" t="s">
        <v>136</v>
      </c>
      <c r="E145" s="49" t="s">
        <v>50</v>
      </c>
      <c r="F145" s="534" t="str">
        <f>R.10SafetyDevName1</f>
        <v xml:space="preserve"> </v>
      </c>
      <c r="G145" s="542">
        <f>R.10SafetyDevHrs1</f>
        <v>0</v>
      </c>
      <c r="H145" s="543">
        <f>Table3[[#This Row],[Hrs Rank]]</f>
        <v>0</v>
      </c>
      <c r="I145" s="533">
        <f t="shared" si="14"/>
        <v>0</v>
      </c>
      <c r="J145" s="533">
        <f t="shared" si="15"/>
        <v>0</v>
      </c>
      <c r="K145" s="545"/>
      <c r="L145" s="545"/>
      <c r="M145" s="546" t="s">
        <v>216</v>
      </c>
      <c r="N145" s="546" t="s">
        <v>216</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x14ac:dyDescent="0.2">
      <c r="A146" s="530" t="str">
        <f t="shared" si="12"/>
        <v>AQ</v>
      </c>
      <c r="B146" s="49" t="str">
        <f t="shared" si="13"/>
        <v>GPLMP</v>
      </c>
      <c r="C146" s="49" t="s">
        <v>250</v>
      </c>
      <c r="D146" s="531" t="s">
        <v>136</v>
      </c>
      <c r="E146" s="49" t="s">
        <v>50</v>
      </c>
      <c r="F146" s="534" t="str">
        <f>R.10SafetyDevName2</f>
        <v xml:space="preserve"> </v>
      </c>
      <c r="G146" s="542">
        <f>R.10SafetyDevHrs2</f>
        <v>0</v>
      </c>
      <c r="H146" s="543">
        <f>Table3[[#This Row],[Hrs Rank]]</f>
        <v>0</v>
      </c>
      <c r="I146" s="533">
        <f t="shared" si="14"/>
        <v>0</v>
      </c>
      <c r="J146" s="533">
        <f t="shared" si="15"/>
        <v>0</v>
      </c>
      <c r="K146" s="545"/>
      <c r="L146" s="545"/>
      <c r="M146" s="546" t="s">
        <v>216</v>
      </c>
      <c r="N146" s="546" t="s">
        <v>216</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x14ac:dyDescent="0.2">
      <c r="A147" s="530" t="str">
        <f t="shared" si="12"/>
        <v>AQ</v>
      </c>
      <c r="B147" s="49" t="str">
        <f t="shared" si="13"/>
        <v>GPLMP</v>
      </c>
      <c r="C147" s="49" t="s">
        <v>250</v>
      </c>
      <c r="D147" s="531" t="s">
        <v>136</v>
      </c>
      <c r="E147" s="49" t="s">
        <v>50</v>
      </c>
      <c r="F147" s="534" t="str">
        <f>R.10SafetyDevName3</f>
        <v xml:space="preserve"> </v>
      </c>
      <c r="G147" s="542">
        <f>R.10SafetyDevHrs3</f>
        <v>0</v>
      </c>
      <c r="H147" s="543">
        <f>Table3[[#This Row],[Hrs Rank]]</f>
        <v>0</v>
      </c>
      <c r="I147" s="533">
        <f t="shared" si="14"/>
        <v>0</v>
      </c>
      <c r="J147" s="533">
        <f t="shared" si="15"/>
        <v>0</v>
      </c>
      <c r="K147" s="545"/>
      <c r="L147" s="545"/>
      <c r="M147" s="546" t="s">
        <v>216</v>
      </c>
      <c r="N147" s="546" t="s">
        <v>216</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x14ac:dyDescent="0.2">
      <c r="A148" s="530" t="str">
        <f t="shared" si="12"/>
        <v>AQ</v>
      </c>
      <c r="B148" s="49" t="str">
        <f t="shared" si="13"/>
        <v>GPLMP</v>
      </c>
      <c r="C148" s="49" t="s">
        <v>250</v>
      </c>
      <c r="D148" s="531" t="s">
        <v>136</v>
      </c>
      <c r="E148" s="49" t="s">
        <v>50</v>
      </c>
      <c r="F148" s="534" t="str">
        <f>R.10SafetyDevName4</f>
        <v xml:space="preserve"> </v>
      </c>
      <c r="G148" s="542">
        <f>R.10SafetyDevHrs4</f>
        <v>0</v>
      </c>
      <c r="H148" s="543">
        <f>Table3[[#This Row],[Hrs Rank]]</f>
        <v>0</v>
      </c>
      <c r="I148" s="533">
        <f t="shared" si="14"/>
        <v>0</v>
      </c>
      <c r="J148" s="533">
        <f t="shared" si="15"/>
        <v>0</v>
      </c>
      <c r="K148" s="545"/>
      <c r="L148" s="545"/>
      <c r="M148" s="546" t="s">
        <v>216</v>
      </c>
      <c r="N148" s="546" t="s">
        <v>216</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x14ac:dyDescent="0.2">
      <c r="A149" s="530" t="str">
        <f t="shared" ref="A149:A158" si="16">R.1Division</f>
        <v>AQ</v>
      </c>
      <c r="B149" s="49" t="str">
        <f t="shared" ref="B149:B158" si="17">R.1CodeName</f>
        <v>GPLMP</v>
      </c>
      <c r="C149" s="49" t="s">
        <v>250</v>
      </c>
      <c r="D149" s="531" t="s">
        <v>136</v>
      </c>
      <c r="E149" s="49" t="s">
        <v>49</v>
      </c>
      <c r="F149" s="534" t="str">
        <f>R.10SafetyImpName1</f>
        <v xml:space="preserve"> </v>
      </c>
      <c r="G149" s="542">
        <f>R.10SafetyImpHrs1</f>
        <v>0</v>
      </c>
      <c r="H149" s="543">
        <f>Table3[[#This Row],[Hrs Rank]]</f>
        <v>0</v>
      </c>
      <c r="I149" s="533">
        <f t="shared" si="14"/>
        <v>0</v>
      </c>
      <c r="J149" s="533">
        <f t="shared" si="15"/>
        <v>0</v>
      </c>
      <c r="K149" s="545"/>
      <c r="L149" s="545"/>
      <c r="M149" s="546" t="s">
        <v>216</v>
      </c>
      <c r="N149" s="546" t="s">
        <v>216</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x14ac:dyDescent="0.2">
      <c r="A150" s="530" t="str">
        <f t="shared" si="16"/>
        <v>AQ</v>
      </c>
      <c r="B150" s="49" t="str">
        <f t="shared" si="17"/>
        <v>GPLMP</v>
      </c>
      <c r="C150" s="49" t="s">
        <v>250</v>
      </c>
      <c r="D150" s="531" t="s">
        <v>136</v>
      </c>
      <c r="E150" s="49" t="s">
        <v>49</v>
      </c>
      <c r="F150" s="534" t="str">
        <f>R.10SafetyImpName2</f>
        <v xml:space="preserve"> </v>
      </c>
      <c r="G150" s="542">
        <f>R.10SafetyImpHrs2</f>
        <v>0</v>
      </c>
      <c r="H150" s="543">
        <f>Table3[[#This Row],[Hrs Rank]]</f>
        <v>0</v>
      </c>
      <c r="I150" s="533">
        <f t="shared" si="14"/>
        <v>0</v>
      </c>
      <c r="J150" s="533">
        <f t="shared" si="15"/>
        <v>0</v>
      </c>
      <c r="K150" s="545"/>
      <c r="L150" s="545"/>
      <c r="M150" s="546" t="s">
        <v>216</v>
      </c>
      <c r="N150" s="546" t="s">
        <v>216</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x14ac:dyDescent="0.2">
      <c r="A151" s="530" t="str">
        <f t="shared" si="16"/>
        <v>AQ</v>
      </c>
      <c r="B151" s="49" t="str">
        <f t="shared" si="17"/>
        <v>GPLMP</v>
      </c>
      <c r="C151" s="49" t="s">
        <v>250</v>
      </c>
      <c r="D151" s="531" t="s">
        <v>136</v>
      </c>
      <c r="E151" s="49" t="s">
        <v>49</v>
      </c>
      <c r="F151" s="534">
        <f>R.10SafetyImpName3</f>
        <v>0</v>
      </c>
      <c r="G151" s="542">
        <f>R.10SafetyImpHrs3</f>
        <v>0</v>
      </c>
      <c r="H151" s="543">
        <f>Table3[[#This Row],[Hrs Rank]]</f>
        <v>0</v>
      </c>
      <c r="I151" s="533">
        <f t="shared" si="14"/>
        <v>0</v>
      </c>
      <c r="J151" s="533">
        <f t="shared" si="15"/>
        <v>0</v>
      </c>
      <c r="K151" s="545"/>
      <c r="L151" s="545"/>
      <c r="M151" s="546" t="s">
        <v>216</v>
      </c>
      <c r="N151" s="546" t="s">
        <v>216</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x14ac:dyDescent="0.2">
      <c r="A152" s="530" t="str">
        <f t="shared" si="16"/>
        <v>AQ</v>
      </c>
      <c r="B152" s="49" t="str">
        <f t="shared" si="17"/>
        <v>GPLMP</v>
      </c>
      <c r="C152" s="49" t="s">
        <v>250</v>
      </c>
      <c r="D152" s="531" t="s">
        <v>136</v>
      </c>
      <c r="E152" s="49" t="s">
        <v>49</v>
      </c>
      <c r="F152" s="534" t="str">
        <f>R.10SafetyImpName4</f>
        <v xml:space="preserve"> </v>
      </c>
      <c r="G152" s="542">
        <f>R.10SafetyImpHrs4</f>
        <v>0</v>
      </c>
      <c r="H152" s="543">
        <f>Table3[[#This Row],[Hrs Rank]]</f>
        <v>0</v>
      </c>
      <c r="I152" s="533">
        <f t="shared" si="14"/>
        <v>0</v>
      </c>
      <c r="J152" s="533">
        <f t="shared" si="15"/>
        <v>0</v>
      </c>
      <c r="K152" s="545"/>
      <c r="L152" s="545"/>
      <c r="M152" s="546" t="s">
        <v>216</v>
      </c>
      <c r="N152" s="546" t="s">
        <v>216</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x14ac:dyDescent="0.2">
      <c r="A153" s="530" t="str">
        <f t="shared" si="16"/>
        <v>AQ</v>
      </c>
      <c r="B153" s="49" t="str">
        <f t="shared" si="17"/>
        <v>GPLMP</v>
      </c>
      <c r="C153" s="49" t="s">
        <v>250</v>
      </c>
      <c r="D153" s="531" t="s">
        <v>135</v>
      </c>
      <c r="E153" s="49" t="s">
        <v>50</v>
      </c>
      <c r="F153" s="534">
        <f>R.10TrainingDevName1</f>
        <v>0</v>
      </c>
      <c r="G153" s="542">
        <f>R.10TrainingDevHrs1</f>
        <v>0</v>
      </c>
      <c r="H153" s="543">
        <f>Table3[[#This Row],[Hrs Rank]]</f>
        <v>0</v>
      </c>
      <c r="I153" s="533">
        <f t="shared" si="14"/>
        <v>0</v>
      </c>
      <c r="J153" s="533">
        <f t="shared" si="15"/>
        <v>0</v>
      </c>
      <c r="K153" s="545"/>
      <c r="L153" s="545"/>
      <c r="M153" s="546" t="s">
        <v>216</v>
      </c>
      <c r="N153" s="546" t="s">
        <v>216</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x14ac:dyDescent="0.2">
      <c r="A154" s="530" t="str">
        <f t="shared" si="16"/>
        <v>AQ</v>
      </c>
      <c r="B154" s="49" t="str">
        <f t="shared" si="17"/>
        <v>GPLMP</v>
      </c>
      <c r="C154" s="49" t="s">
        <v>250</v>
      </c>
      <c r="D154" s="531" t="s">
        <v>135</v>
      </c>
      <c r="E154" s="49" t="s">
        <v>50</v>
      </c>
      <c r="F154" s="534">
        <f>R.10TrainingDevName2</f>
        <v>0</v>
      </c>
      <c r="G154" s="542">
        <f>R.10TrainingDevHrs2</f>
        <v>0</v>
      </c>
      <c r="H154" s="543">
        <f>Table3[[#This Row],[Hrs Rank]]</f>
        <v>0</v>
      </c>
      <c r="I154" s="533">
        <f t="shared" si="14"/>
        <v>0</v>
      </c>
      <c r="J154" s="533">
        <f t="shared" si="15"/>
        <v>0</v>
      </c>
      <c r="K154" s="545"/>
      <c r="L154" s="545"/>
      <c r="M154" s="546" t="s">
        <v>216</v>
      </c>
      <c r="N154" s="546" t="s">
        <v>216</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x14ac:dyDescent="0.2">
      <c r="A155" s="530" t="str">
        <f t="shared" si="16"/>
        <v>AQ</v>
      </c>
      <c r="B155" s="49" t="str">
        <f t="shared" si="17"/>
        <v>GPLMP</v>
      </c>
      <c r="C155" s="49" t="s">
        <v>250</v>
      </c>
      <c r="D155" s="531" t="s">
        <v>135</v>
      </c>
      <c r="E155" s="49" t="s">
        <v>50</v>
      </c>
      <c r="F155" s="534" t="str">
        <f>R.10TrainingDevName3</f>
        <v xml:space="preserve"> </v>
      </c>
      <c r="G155" s="542">
        <f>R.10TrainingDevHrs3</f>
        <v>0</v>
      </c>
      <c r="H155" s="543">
        <f>Table3[[#This Row],[Hrs Rank]]</f>
        <v>0</v>
      </c>
      <c r="I155" s="533">
        <f t="shared" si="14"/>
        <v>0</v>
      </c>
      <c r="J155" s="533">
        <f t="shared" si="15"/>
        <v>0</v>
      </c>
      <c r="K155" s="545"/>
      <c r="L155" s="545"/>
      <c r="M155" s="546" t="s">
        <v>216</v>
      </c>
      <c r="N155" s="546" t="s">
        <v>216</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x14ac:dyDescent="0.2">
      <c r="A156" s="530" t="str">
        <f t="shared" si="16"/>
        <v>AQ</v>
      </c>
      <c r="B156" s="49" t="str">
        <f t="shared" si="17"/>
        <v>GPLMP</v>
      </c>
      <c r="C156" s="49" t="s">
        <v>250</v>
      </c>
      <c r="D156" s="531" t="s">
        <v>135</v>
      </c>
      <c r="E156" s="49" t="s">
        <v>50</v>
      </c>
      <c r="F156" s="534" t="str">
        <f>R.10TrainingDevName4</f>
        <v xml:space="preserve"> </v>
      </c>
      <c r="G156" s="542">
        <f>R.10TrainingDevHrs4</f>
        <v>0</v>
      </c>
      <c r="H156" s="543">
        <f>Table3[[#This Row],[Hrs Rank]]</f>
        <v>0</v>
      </c>
      <c r="I156" s="533">
        <f t="shared" si="14"/>
        <v>0</v>
      </c>
      <c r="J156" s="533">
        <f t="shared" si="15"/>
        <v>0</v>
      </c>
      <c r="K156" s="550"/>
      <c r="L156" s="550"/>
      <c r="M156" s="546" t="s">
        <v>216</v>
      </c>
      <c r="N156" s="546" t="s">
        <v>216</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x14ac:dyDescent="0.2">
      <c r="A157" s="530" t="str">
        <f t="shared" si="16"/>
        <v>AQ</v>
      </c>
      <c r="B157" s="49" t="str">
        <f t="shared" si="17"/>
        <v>GPLMP</v>
      </c>
      <c r="C157" s="49" t="s">
        <v>250</v>
      </c>
      <c r="D157" s="531" t="s">
        <v>135</v>
      </c>
      <c r="E157" s="49" t="s">
        <v>49</v>
      </c>
      <c r="F157" s="534" t="str">
        <f>R.10TrainingImpName1</f>
        <v xml:space="preserve"> </v>
      </c>
      <c r="G157" s="542">
        <f>R.10TrainingImpHrs1</f>
        <v>0</v>
      </c>
      <c r="H157" s="543">
        <f>Table3[[#This Row],[Hrs Rank]]</f>
        <v>0</v>
      </c>
      <c r="I157" s="533">
        <f t="shared" si="14"/>
        <v>0</v>
      </c>
      <c r="J157" s="533">
        <f t="shared" si="15"/>
        <v>0</v>
      </c>
      <c r="K157" s="550"/>
      <c r="L157" s="550"/>
      <c r="M157" s="546" t="s">
        <v>216</v>
      </c>
      <c r="N157" s="546" t="s">
        <v>216</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x14ac:dyDescent="0.2">
      <c r="A158" s="530" t="str">
        <f t="shared" si="16"/>
        <v>AQ</v>
      </c>
      <c r="B158" s="49" t="str">
        <f t="shared" si="17"/>
        <v>GPLMP</v>
      </c>
      <c r="C158" s="49" t="s">
        <v>250</v>
      </c>
      <c r="D158" s="531" t="s">
        <v>135</v>
      </c>
      <c r="E158" s="49" t="s">
        <v>49</v>
      </c>
      <c r="F158" s="534" t="str">
        <f>R.10TrainingImpName2</f>
        <v xml:space="preserve"> </v>
      </c>
      <c r="G158" s="542">
        <f>R.10TrainingImpHrs2</f>
        <v>0</v>
      </c>
      <c r="H158" s="543">
        <f>Table3[[#This Row],[Hrs Rank]]</f>
        <v>0</v>
      </c>
      <c r="I158" s="533">
        <f t="shared" si="14"/>
        <v>0</v>
      </c>
      <c r="J158" s="533">
        <f t="shared" si="15"/>
        <v>0</v>
      </c>
      <c r="K158" s="550"/>
      <c r="L158" s="550"/>
      <c r="M158" s="546" t="s">
        <v>216</v>
      </c>
      <c r="N158" s="546" t="s">
        <v>216</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x14ac:dyDescent="0.2">
      <c r="A159" s="530" t="str">
        <f t="shared" ref="A159:A190" si="18">R.1Division</f>
        <v>AQ</v>
      </c>
      <c r="B159" s="49" t="str">
        <f t="shared" ref="B159:B190" si="19">R.1CodeName</f>
        <v>GPLMP</v>
      </c>
      <c r="C159" s="49" t="s">
        <v>250</v>
      </c>
      <c r="D159" s="531" t="s">
        <v>135</v>
      </c>
      <c r="E159" s="49" t="s">
        <v>49</v>
      </c>
      <c r="F159" s="534" t="str">
        <f>R.10TrainingImpName3</f>
        <v xml:space="preserve"> </v>
      </c>
      <c r="G159" s="542">
        <f>R.10TrainingImpHrs3</f>
        <v>0</v>
      </c>
      <c r="H159" s="543">
        <f>Table3[[#This Row],[Hrs Rank]]</f>
        <v>0</v>
      </c>
      <c r="I159" s="533">
        <f t="shared" si="14"/>
        <v>0</v>
      </c>
      <c r="J159" s="533">
        <f t="shared" si="15"/>
        <v>0</v>
      </c>
      <c r="K159" s="550"/>
      <c r="L159" s="550"/>
      <c r="M159" s="546" t="s">
        <v>216</v>
      </c>
      <c r="N159" s="546" t="s">
        <v>216</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x14ac:dyDescent="0.2">
      <c r="A160" s="530" t="str">
        <f t="shared" si="18"/>
        <v>AQ</v>
      </c>
      <c r="B160" s="49" t="str">
        <f t="shared" si="19"/>
        <v>GPLMP</v>
      </c>
      <c r="C160" s="49" t="s">
        <v>250</v>
      </c>
      <c r="D160" s="531" t="s">
        <v>135</v>
      </c>
      <c r="E160" s="49" t="s">
        <v>49</v>
      </c>
      <c r="F160" s="534" t="str">
        <f>R.10TrainingImpName4</f>
        <v xml:space="preserve"> </v>
      </c>
      <c r="G160" s="542">
        <f>R.10TrainingImpHrs4</f>
        <v>0</v>
      </c>
      <c r="H160" s="543">
        <f>Table3[[#This Row],[Hrs Rank]]</f>
        <v>0</v>
      </c>
      <c r="I160" s="533">
        <f t="shared" si="14"/>
        <v>0</v>
      </c>
      <c r="J160" s="533">
        <f t="shared" si="15"/>
        <v>0</v>
      </c>
      <c r="K160" s="550"/>
      <c r="L160" s="550"/>
      <c r="M160" s="546" t="s">
        <v>216</v>
      </c>
      <c r="N160" s="546" t="s">
        <v>216</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x14ac:dyDescent="0.2">
      <c r="A161" s="530" t="str">
        <f t="shared" si="18"/>
        <v>AQ</v>
      </c>
      <c r="B161" s="49" t="str">
        <f t="shared" si="19"/>
        <v>GPLMP</v>
      </c>
      <c r="C161" s="49" t="s">
        <v>251</v>
      </c>
      <c r="D161" s="531" t="s">
        <v>261</v>
      </c>
      <c r="E161" s="49" t="s">
        <v>50</v>
      </c>
      <c r="F161" s="534" t="str">
        <f>R.11DivTechDevName1</f>
        <v>Brandy Albertson and Wes Risher</v>
      </c>
      <c r="G161" s="542">
        <f>R.11DivTechDevHrs1</f>
        <v>3</v>
      </c>
      <c r="H161" s="543">
        <f>Table3[[#This Row],[Hrs Rank]]</f>
        <v>3</v>
      </c>
      <c r="I161" s="533">
        <f t="shared" si="14"/>
        <v>40</v>
      </c>
      <c r="J161" s="533">
        <f t="shared" si="15"/>
        <v>80</v>
      </c>
      <c r="K161" s="550"/>
      <c r="L161" s="550"/>
      <c r="M161" s="546" t="s">
        <v>216</v>
      </c>
      <c r="N161" s="546" t="s">
        <v>216</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x14ac:dyDescent="0.2">
      <c r="A162" s="530" t="str">
        <f t="shared" si="18"/>
        <v>AQ</v>
      </c>
      <c r="B162" s="49" t="str">
        <f t="shared" si="19"/>
        <v>GPLMP</v>
      </c>
      <c r="C162" s="49" t="s">
        <v>251</v>
      </c>
      <c r="D162" s="531" t="s">
        <v>261</v>
      </c>
      <c r="E162" s="49" t="s">
        <v>50</v>
      </c>
      <c r="F162" s="534" t="str">
        <f>R.11DivTechDevName2</f>
        <v xml:space="preserve"> </v>
      </c>
      <c r="G162" s="542">
        <f>R.11DivTechDevHrs2</f>
        <v>0</v>
      </c>
      <c r="H162" s="543">
        <f>Table3[[#This Row],[Hrs Rank]]</f>
        <v>0</v>
      </c>
      <c r="I162" s="533">
        <f t="shared" si="14"/>
        <v>0</v>
      </c>
      <c r="J162" s="533">
        <f t="shared" si="15"/>
        <v>0</v>
      </c>
      <c r="K162" s="550"/>
      <c r="L162" s="550"/>
      <c r="M162" s="546" t="s">
        <v>216</v>
      </c>
      <c r="N162" s="546" t="s">
        <v>216</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x14ac:dyDescent="0.2">
      <c r="A163" s="530" t="str">
        <f t="shared" si="18"/>
        <v>AQ</v>
      </c>
      <c r="B163" s="49" t="str">
        <f t="shared" si="19"/>
        <v>GPLMP</v>
      </c>
      <c r="C163" s="49" t="s">
        <v>251</v>
      </c>
      <c r="D163" s="531" t="s">
        <v>261</v>
      </c>
      <c r="E163" s="49" t="s">
        <v>50</v>
      </c>
      <c r="F163" s="534" t="str">
        <f>R.11DivTechDevName3</f>
        <v xml:space="preserve"> </v>
      </c>
      <c r="G163" s="542">
        <f>R.11DivTechDevHrs3</f>
        <v>0</v>
      </c>
      <c r="H163" s="543">
        <f>Table3[[#This Row],[Hrs Rank]]</f>
        <v>0</v>
      </c>
      <c r="I163" s="533">
        <f t="shared" si="14"/>
        <v>0</v>
      </c>
      <c r="J163" s="533">
        <f t="shared" si="15"/>
        <v>0</v>
      </c>
      <c r="K163" s="550"/>
      <c r="L163" s="550"/>
      <c r="M163" s="546" t="s">
        <v>216</v>
      </c>
      <c r="N163" s="546" t="s">
        <v>216</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x14ac:dyDescent="0.2">
      <c r="A164" s="530" t="str">
        <f t="shared" si="18"/>
        <v>AQ</v>
      </c>
      <c r="B164" s="49" t="str">
        <f t="shared" si="19"/>
        <v>GPLMP</v>
      </c>
      <c r="C164" s="49" t="s">
        <v>251</v>
      </c>
      <c r="D164" s="531" t="s">
        <v>261</v>
      </c>
      <c r="E164" s="49" t="s">
        <v>50</v>
      </c>
      <c r="F164" s="534">
        <f>R.11DivTechDevName4</f>
        <v>0</v>
      </c>
      <c r="G164" s="542">
        <f>R.11DivTechDevHrs4</f>
        <v>0</v>
      </c>
      <c r="H164" s="543">
        <f>Table3[[#This Row],[Hrs Rank]]</f>
        <v>0</v>
      </c>
      <c r="I164" s="533">
        <f t="shared" si="14"/>
        <v>0</v>
      </c>
      <c r="J164" s="533">
        <f t="shared" si="15"/>
        <v>0</v>
      </c>
      <c r="K164" s="550"/>
      <c r="L164" s="550"/>
      <c r="M164" s="546" t="s">
        <v>216</v>
      </c>
      <c r="N164" s="546" t="s">
        <v>216</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x14ac:dyDescent="0.2">
      <c r="A165" s="530" t="str">
        <f t="shared" si="18"/>
        <v>AQ</v>
      </c>
      <c r="B165" s="49" t="str">
        <f t="shared" si="19"/>
        <v>GPLMP</v>
      </c>
      <c r="C165" s="49" t="s">
        <v>251</v>
      </c>
      <c r="D165" s="531" t="s">
        <v>261</v>
      </c>
      <c r="E165" s="49" t="s">
        <v>49</v>
      </c>
      <c r="F165" s="534" t="str">
        <f>R.11DivTechImpName1</f>
        <v xml:space="preserve"> </v>
      </c>
      <c r="G165" s="542">
        <f>R.11DivTechImpHrs1</f>
        <v>0</v>
      </c>
      <c r="H165" s="543">
        <f>Table3[[#This Row],[Hrs Rank]]</f>
        <v>0</v>
      </c>
      <c r="I165" s="533">
        <f t="shared" si="14"/>
        <v>0</v>
      </c>
      <c r="J165" s="533">
        <f t="shared" si="15"/>
        <v>0</v>
      </c>
      <c r="K165" s="550"/>
      <c r="L165" s="550"/>
      <c r="M165" s="546" t="s">
        <v>216</v>
      </c>
      <c r="N165" s="546" t="s">
        <v>216</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x14ac:dyDescent="0.2">
      <c r="A166" s="530" t="str">
        <f t="shared" si="18"/>
        <v>AQ</v>
      </c>
      <c r="B166" s="49" t="str">
        <f t="shared" si="19"/>
        <v>GPLMP</v>
      </c>
      <c r="C166" s="49" t="s">
        <v>251</v>
      </c>
      <c r="D166" s="531" t="s">
        <v>261</v>
      </c>
      <c r="E166" s="49" t="s">
        <v>49</v>
      </c>
      <c r="F166" s="534">
        <f>R.11DivTechImpName2</f>
        <v>0</v>
      </c>
      <c r="G166" s="542">
        <f>R.11DivTechImpHrs2</f>
        <v>0</v>
      </c>
      <c r="H166" s="543">
        <f>Table3[[#This Row],[Hrs Rank]]</f>
        <v>0</v>
      </c>
      <c r="I166" s="533">
        <f t="shared" si="14"/>
        <v>0</v>
      </c>
      <c r="J166" s="533">
        <f t="shared" si="15"/>
        <v>0</v>
      </c>
      <c r="K166" s="550"/>
      <c r="L166" s="550"/>
      <c r="M166" s="546" t="s">
        <v>216</v>
      </c>
      <c r="N166" s="546" t="s">
        <v>216</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x14ac:dyDescent="0.2">
      <c r="A167" s="530" t="str">
        <f t="shared" si="18"/>
        <v>AQ</v>
      </c>
      <c r="B167" s="49" t="str">
        <f t="shared" si="19"/>
        <v>GPLMP</v>
      </c>
      <c r="C167" s="49" t="s">
        <v>251</v>
      </c>
      <c r="D167" s="531" t="s">
        <v>261</v>
      </c>
      <c r="E167" s="49" t="s">
        <v>49</v>
      </c>
      <c r="F167" s="534" t="str">
        <f>R.11DivTechImpName3</f>
        <v xml:space="preserve"> </v>
      </c>
      <c r="G167" s="542">
        <f>R.11DivTechImpHrs3</f>
        <v>0</v>
      </c>
      <c r="H167" s="543">
        <f>Table3[[#This Row],[Hrs Rank]]</f>
        <v>0</v>
      </c>
      <c r="I167" s="533">
        <f t="shared" si="14"/>
        <v>0</v>
      </c>
      <c r="J167" s="533">
        <f t="shared" si="15"/>
        <v>0</v>
      </c>
      <c r="K167" s="550"/>
      <c r="L167" s="550"/>
      <c r="M167" s="546" t="s">
        <v>216</v>
      </c>
      <c r="N167" s="546" t="s">
        <v>216</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x14ac:dyDescent="0.2">
      <c r="A168" s="530" t="str">
        <f t="shared" si="18"/>
        <v>AQ</v>
      </c>
      <c r="B168" s="49" t="str">
        <f t="shared" si="19"/>
        <v>GPLMP</v>
      </c>
      <c r="C168" s="49" t="s">
        <v>251</v>
      </c>
      <c r="D168" s="531" t="s">
        <v>261</v>
      </c>
      <c r="E168" s="49" t="s">
        <v>49</v>
      </c>
      <c r="F168" s="534" t="str">
        <f>R.11DivTechImpName4</f>
        <v xml:space="preserve"> </v>
      </c>
      <c r="G168" s="542">
        <f>R.11DivTechImpHrs4</f>
        <v>0</v>
      </c>
      <c r="H168" s="543">
        <f>Table3[[#This Row],[Hrs Rank]]</f>
        <v>0</v>
      </c>
      <c r="I168" s="533">
        <f t="shared" si="14"/>
        <v>0</v>
      </c>
      <c r="J168" s="533">
        <f t="shared" si="15"/>
        <v>0</v>
      </c>
      <c r="K168" s="550"/>
      <c r="L168" s="550"/>
      <c r="M168" s="546" t="s">
        <v>216</v>
      </c>
      <c r="N168" s="546" t="s">
        <v>216</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x14ac:dyDescent="0.2">
      <c r="A169" s="530" t="str">
        <f t="shared" si="18"/>
        <v>AQ</v>
      </c>
      <c r="B169" s="49" t="str">
        <f t="shared" si="19"/>
        <v>GPLMP</v>
      </c>
      <c r="C169" s="49" t="s">
        <v>251</v>
      </c>
      <c r="D169" s="531" t="s">
        <v>133</v>
      </c>
      <c r="E169" s="49" t="s">
        <v>50</v>
      </c>
      <c r="F169" s="534" t="str">
        <f>R.11ITDevName1</f>
        <v xml:space="preserve"> </v>
      </c>
      <c r="G169" s="542">
        <f>R.11ITDevHrs1</f>
        <v>0</v>
      </c>
      <c r="H169" s="543">
        <f>Table3[[#This Row],[Hrs Rank]]</f>
        <v>0</v>
      </c>
      <c r="I169" s="533">
        <f t="shared" si="14"/>
        <v>0</v>
      </c>
      <c r="J169" s="533">
        <f t="shared" si="15"/>
        <v>0</v>
      </c>
      <c r="K169" s="550"/>
      <c r="L169" s="550"/>
      <c r="M169" s="546" t="s">
        <v>216</v>
      </c>
      <c r="N169" s="546" t="s">
        <v>216</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x14ac:dyDescent="0.2">
      <c r="A170" s="530" t="str">
        <f t="shared" si="18"/>
        <v>AQ</v>
      </c>
      <c r="B170" s="49" t="str">
        <f t="shared" si="19"/>
        <v>GPLMP</v>
      </c>
      <c r="C170" s="49" t="s">
        <v>251</v>
      </c>
      <c r="D170" s="531" t="s">
        <v>133</v>
      </c>
      <c r="E170" s="49" t="s">
        <v>50</v>
      </c>
      <c r="F170" s="534" t="str">
        <f>R.11ITDevName2</f>
        <v xml:space="preserve"> </v>
      </c>
      <c r="G170" s="542">
        <f>R.11ITDevHrs2</f>
        <v>0</v>
      </c>
      <c r="H170" s="543">
        <f>Table3[[#This Row],[Hrs Rank]]</f>
        <v>0</v>
      </c>
      <c r="I170" s="533">
        <f t="shared" si="14"/>
        <v>0</v>
      </c>
      <c r="J170" s="533">
        <f t="shared" si="15"/>
        <v>0</v>
      </c>
      <c r="K170" s="550"/>
      <c r="L170" s="550"/>
      <c r="M170" s="546" t="s">
        <v>216</v>
      </c>
      <c r="N170" s="546" t="s">
        <v>216</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x14ac:dyDescent="0.2">
      <c r="A171" s="530" t="str">
        <f t="shared" si="18"/>
        <v>AQ</v>
      </c>
      <c r="B171" s="49" t="str">
        <f t="shared" si="19"/>
        <v>GPLMP</v>
      </c>
      <c r="C171" s="49" t="s">
        <v>251</v>
      </c>
      <c r="D171" s="531" t="s">
        <v>133</v>
      </c>
      <c r="E171" s="49" t="s">
        <v>50</v>
      </c>
      <c r="F171" s="534" t="str">
        <f>R.11ITDevName3</f>
        <v xml:space="preserve"> </v>
      </c>
      <c r="G171" s="542">
        <f>R.11ITDevHrs3</f>
        <v>0</v>
      </c>
      <c r="H171" s="543">
        <f>Table3[[#This Row],[Hrs Rank]]</f>
        <v>0</v>
      </c>
      <c r="I171" s="533">
        <f t="shared" si="14"/>
        <v>0</v>
      </c>
      <c r="J171" s="533">
        <f t="shared" si="15"/>
        <v>0</v>
      </c>
      <c r="K171" s="550"/>
      <c r="L171" s="550"/>
      <c r="M171" s="546" t="s">
        <v>216</v>
      </c>
      <c r="N171" s="546" t="s">
        <v>216</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x14ac:dyDescent="0.2">
      <c r="A172" s="530" t="str">
        <f t="shared" si="18"/>
        <v>AQ</v>
      </c>
      <c r="B172" s="49" t="str">
        <f t="shared" si="19"/>
        <v>GPLMP</v>
      </c>
      <c r="C172" s="49" t="s">
        <v>251</v>
      </c>
      <c r="D172" s="531" t="s">
        <v>133</v>
      </c>
      <c r="E172" s="49" t="s">
        <v>50</v>
      </c>
      <c r="F172" s="534">
        <f>R.11ITDevName4</f>
        <v>0</v>
      </c>
      <c r="G172" s="542">
        <f>R.11ITDevHrs4</f>
        <v>0</v>
      </c>
      <c r="H172" s="543">
        <f>Table3[[#This Row],[Hrs Rank]]</f>
        <v>0</v>
      </c>
      <c r="I172" s="533">
        <f t="shared" si="14"/>
        <v>0</v>
      </c>
      <c r="J172" s="533">
        <f t="shared" si="15"/>
        <v>0</v>
      </c>
      <c r="K172" s="550"/>
      <c r="L172" s="550"/>
      <c r="M172" s="546" t="s">
        <v>216</v>
      </c>
      <c r="N172" s="546" t="s">
        <v>216</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x14ac:dyDescent="0.2">
      <c r="A173" s="530" t="str">
        <f t="shared" si="18"/>
        <v>AQ</v>
      </c>
      <c r="B173" s="49" t="str">
        <f t="shared" si="19"/>
        <v>GPLMP</v>
      </c>
      <c r="C173" s="49" t="s">
        <v>251</v>
      </c>
      <c r="D173" s="531" t="s">
        <v>133</v>
      </c>
      <c r="E173" s="49" t="s">
        <v>49</v>
      </c>
      <c r="F173" s="534">
        <f>R.11ITImpName1</f>
        <v>0</v>
      </c>
      <c r="G173" s="542">
        <f>R.11ITImpHrs1</f>
        <v>0</v>
      </c>
      <c r="H173" s="543">
        <f>Table3[[#This Row],[Hrs Rank]]</f>
        <v>0</v>
      </c>
      <c r="I173" s="533">
        <f t="shared" si="14"/>
        <v>0</v>
      </c>
      <c r="J173" s="533">
        <f t="shared" si="15"/>
        <v>0</v>
      </c>
      <c r="K173" s="550"/>
      <c r="L173" s="550"/>
      <c r="M173" s="546" t="s">
        <v>216</v>
      </c>
      <c r="N173" s="546" t="s">
        <v>216</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x14ac:dyDescent="0.2">
      <c r="A174" s="530" t="str">
        <f t="shared" si="18"/>
        <v>AQ</v>
      </c>
      <c r="B174" s="49" t="str">
        <f t="shared" si="19"/>
        <v>GPLMP</v>
      </c>
      <c r="C174" s="49" t="s">
        <v>251</v>
      </c>
      <c r="D174" s="531" t="s">
        <v>133</v>
      </c>
      <c r="E174" s="49" t="s">
        <v>49</v>
      </c>
      <c r="F174" s="534" t="str">
        <f>R.11ITImpName2</f>
        <v xml:space="preserve"> </v>
      </c>
      <c r="G174" s="542">
        <f>R.11ITImpHrs2</f>
        <v>0</v>
      </c>
      <c r="H174" s="543">
        <f>Table3[[#This Row],[Hrs Rank]]</f>
        <v>0</v>
      </c>
      <c r="I174" s="533">
        <f t="shared" si="14"/>
        <v>0</v>
      </c>
      <c r="J174" s="533">
        <f t="shared" si="15"/>
        <v>0</v>
      </c>
      <c r="K174" s="550"/>
      <c r="L174" s="550"/>
      <c r="M174" s="546" t="s">
        <v>216</v>
      </c>
      <c r="N174" s="546" t="s">
        <v>216</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x14ac:dyDescent="0.2">
      <c r="A175" s="530" t="str">
        <f t="shared" si="18"/>
        <v>AQ</v>
      </c>
      <c r="B175" s="49" t="str">
        <f t="shared" si="19"/>
        <v>GPLMP</v>
      </c>
      <c r="C175" s="49" t="s">
        <v>251</v>
      </c>
      <c r="D175" s="531" t="s">
        <v>133</v>
      </c>
      <c r="E175" s="49" t="s">
        <v>49</v>
      </c>
      <c r="F175" s="534" t="str">
        <f>R.11ITImpName3</f>
        <v xml:space="preserve"> </v>
      </c>
      <c r="G175" s="542">
        <f>R.11ITImpHrs3</f>
        <v>0</v>
      </c>
      <c r="H175" s="543">
        <f>Table3[[#This Row],[Hrs Rank]]</f>
        <v>0</v>
      </c>
      <c r="I175" s="533">
        <f t="shared" si="14"/>
        <v>0</v>
      </c>
      <c r="J175" s="533">
        <f t="shared" si="15"/>
        <v>0</v>
      </c>
      <c r="K175" s="550"/>
      <c r="L175" s="550"/>
      <c r="M175" s="546" t="s">
        <v>216</v>
      </c>
      <c r="N175" s="546" t="s">
        <v>216</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x14ac:dyDescent="0.2">
      <c r="A176" s="530" t="str">
        <f t="shared" si="18"/>
        <v>AQ</v>
      </c>
      <c r="B176" s="49" t="str">
        <f t="shared" si="19"/>
        <v>GPLMP</v>
      </c>
      <c r="C176" s="49" t="s">
        <v>251</v>
      </c>
      <c r="D176" s="531" t="s">
        <v>133</v>
      </c>
      <c r="E176" s="49" t="s">
        <v>49</v>
      </c>
      <c r="F176" s="534" t="str">
        <f>R.11ITImpName4</f>
        <v xml:space="preserve"> </v>
      </c>
      <c r="G176" s="542">
        <f>R.11ITImpHrs4</f>
        <v>0</v>
      </c>
      <c r="H176" s="543">
        <f>Table3[[#This Row],[Hrs Rank]]</f>
        <v>0</v>
      </c>
      <c r="I176" s="533">
        <f t="shared" si="14"/>
        <v>0</v>
      </c>
      <c r="J176" s="533">
        <f t="shared" si="15"/>
        <v>0</v>
      </c>
      <c r="K176" s="550"/>
      <c r="L176" s="550"/>
      <c r="M176" s="546" t="s">
        <v>216</v>
      </c>
      <c r="N176" s="546" t="s">
        <v>216</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x14ac:dyDescent="0.2">
      <c r="A177" s="530" t="str">
        <f t="shared" si="18"/>
        <v>AQ</v>
      </c>
      <c r="B177" s="49" t="str">
        <f t="shared" si="19"/>
        <v>GPLMP</v>
      </c>
      <c r="C177" s="49" t="s">
        <v>251</v>
      </c>
      <c r="D177" s="531" t="s">
        <v>262</v>
      </c>
      <c r="E177" s="49" t="s">
        <v>50</v>
      </c>
      <c r="F177" s="534">
        <f>R.11BSDDevName1</f>
        <v>0</v>
      </c>
      <c r="G177" s="542">
        <f>R.11BSDDevHrs1</f>
        <v>0</v>
      </c>
      <c r="H177" s="543">
        <f>Table3[[#This Row],[Hrs Rank]]</f>
        <v>0</v>
      </c>
      <c r="I177" s="533">
        <f t="shared" si="14"/>
        <v>0</v>
      </c>
      <c r="J177" s="533">
        <f t="shared" si="15"/>
        <v>0</v>
      </c>
      <c r="K177" s="550"/>
      <c r="L177" s="550"/>
      <c r="M177" s="546" t="s">
        <v>216</v>
      </c>
      <c r="N177" s="546" t="s">
        <v>216</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x14ac:dyDescent="0.2">
      <c r="A178" s="530" t="str">
        <f t="shared" si="18"/>
        <v>AQ</v>
      </c>
      <c r="B178" s="49" t="str">
        <f t="shared" si="19"/>
        <v>GPLMP</v>
      </c>
      <c r="C178" s="49" t="s">
        <v>251</v>
      </c>
      <c r="D178" s="531" t="s">
        <v>262</v>
      </c>
      <c r="E178" s="49" t="s">
        <v>50</v>
      </c>
      <c r="F178" s="534" t="str">
        <f>R.11BSDDevName2</f>
        <v xml:space="preserve"> </v>
      </c>
      <c r="G178" s="542">
        <f>R.11BSDDevHrs2</f>
        <v>0</v>
      </c>
      <c r="H178" s="543">
        <f>Table3[[#This Row],[Hrs Rank]]</f>
        <v>0</v>
      </c>
      <c r="I178" s="533">
        <f t="shared" si="14"/>
        <v>0</v>
      </c>
      <c r="J178" s="533">
        <f t="shared" si="15"/>
        <v>0</v>
      </c>
      <c r="K178" s="550"/>
      <c r="L178" s="550"/>
      <c r="M178" s="546" t="s">
        <v>216</v>
      </c>
      <c r="N178" s="546" t="s">
        <v>216</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x14ac:dyDescent="0.2">
      <c r="A179" s="530" t="str">
        <f t="shared" si="18"/>
        <v>AQ</v>
      </c>
      <c r="B179" s="49" t="str">
        <f t="shared" si="19"/>
        <v>GPLMP</v>
      </c>
      <c r="C179" s="49" t="s">
        <v>251</v>
      </c>
      <c r="D179" s="531" t="s">
        <v>262</v>
      </c>
      <c r="E179" s="49" t="s">
        <v>50</v>
      </c>
      <c r="F179" s="534" t="str">
        <f>R.11BSDDevName3</f>
        <v xml:space="preserve"> </v>
      </c>
      <c r="G179" s="542">
        <f>R.11BSDDevHrs3</f>
        <v>0</v>
      </c>
      <c r="H179" s="543">
        <f>Table3[[#This Row],[Hrs Rank]]</f>
        <v>0</v>
      </c>
      <c r="I179" s="533">
        <f t="shared" si="14"/>
        <v>0</v>
      </c>
      <c r="J179" s="533">
        <f t="shared" si="15"/>
        <v>0</v>
      </c>
      <c r="K179" s="550"/>
      <c r="L179" s="550"/>
      <c r="M179" s="546" t="s">
        <v>216</v>
      </c>
      <c r="N179" s="546" t="s">
        <v>216</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x14ac:dyDescent="0.2">
      <c r="A180" s="530" t="str">
        <f t="shared" si="18"/>
        <v>AQ</v>
      </c>
      <c r="B180" s="49" t="str">
        <f t="shared" si="19"/>
        <v>GPLMP</v>
      </c>
      <c r="C180" s="49" t="s">
        <v>251</v>
      </c>
      <c r="D180" s="531" t="s">
        <v>262</v>
      </c>
      <c r="E180" s="49" t="s">
        <v>50</v>
      </c>
      <c r="F180" s="534" t="str">
        <f>R.11BSDDevName4</f>
        <v xml:space="preserve"> </v>
      </c>
      <c r="G180" s="542">
        <f>R.11BSDDevHrs4</f>
        <v>0</v>
      </c>
      <c r="H180" s="543">
        <f>Table3[[#This Row],[Hrs Rank]]</f>
        <v>0</v>
      </c>
      <c r="I180" s="533">
        <f t="shared" si="14"/>
        <v>0</v>
      </c>
      <c r="J180" s="533">
        <f t="shared" si="15"/>
        <v>0</v>
      </c>
      <c r="K180" s="550"/>
      <c r="L180" s="550"/>
      <c r="M180" s="546" t="s">
        <v>216</v>
      </c>
      <c r="N180" s="546" t="s">
        <v>216</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x14ac:dyDescent="0.2">
      <c r="A181" s="530" t="str">
        <f t="shared" si="18"/>
        <v>AQ</v>
      </c>
      <c r="B181" s="49" t="str">
        <f t="shared" si="19"/>
        <v>GPLMP</v>
      </c>
      <c r="C181" s="49" t="s">
        <v>251</v>
      </c>
      <c r="D181" s="531" t="s">
        <v>262</v>
      </c>
      <c r="E181" s="49" t="s">
        <v>49</v>
      </c>
      <c r="F181" s="534">
        <f>R.11BSDImpName1</f>
        <v>0</v>
      </c>
      <c r="G181" s="542">
        <f>R.11BSDImpHrs1</f>
        <v>0</v>
      </c>
      <c r="H181" s="543">
        <f>Table3[[#This Row],[Hrs Rank]]</f>
        <v>0</v>
      </c>
      <c r="I181" s="533">
        <f t="shared" si="14"/>
        <v>0</v>
      </c>
      <c r="J181" s="533">
        <f t="shared" si="15"/>
        <v>0</v>
      </c>
      <c r="K181" s="550"/>
      <c r="L181" s="550"/>
      <c r="M181" s="546" t="s">
        <v>216</v>
      </c>
      <c r="N181" s="546" t="s">
        <v>216</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x14ac:dyDescent="0.2">
      <c r="A182" s="530" t="str">
        <f t="shared" si="18"/>
        <v>AQ</v>
      </c>
      <c r="B182" s="49" t="str">
        <f t="shared" si="19"/>
        <v>GPLMP</v>
      </c>
      <c r="C182" s="49" t="s">
        <v>251</v>
      </c>
      <c r="D182" s="531" t="s">
        <v>262</v>
      </c>
      <c r="E182" s="49" t="s">
        <v>49</v>
      </c>
      <c r="F182" s="534" t="str">
        <f>R.11BSDImpName2</f>
        <v xml:space="preserve"> </v>
      </c>
      <c r="G182" s="542">
        <f>R.11BSDImpHrs2</f>
        <v>0</v>
      </c>
      <c r="H182" s="543">
        <f>Table3[[#This Row],[Hrs Rank]]</f>
        <v>0</v>
      </c>
      <c r="I182" s="533">
        <f t="shared" si="14"/>
        <v>0</v>
      </c>
      <c r="J182" s="533">
        <f t="shared" si="15"/>
        <v>0</v>
      </c>
      <c r="K182" s="550"/>
      <c r="L182" s="550"/>
      <c r="M182" s="546" t="s">
        <v>216</v>
      </c>
      <c r="N182" s="546" t="s">
        <v>216</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x14ac:dyDescent="0.2">
      <c r="A183" s="530" t="str">
        <f t="shared" si="18"/>
        <v>AQ</v>
      </c>
      <c r="B183" s="49" t="str">
        <f t="shared" si="19"/>
        <v>GPLMP</v>
      </c>
      <c r="C183" s="49" t="s">
        <v>251</v>
      </c>
      <c r="D183" s="531" t="s">
        <v>262</v>
      </c>
      <c r="E183" s="49" t="s">
        <v>49</v>
      </c>
      <c r="F183" s="534" t="str">
        <f>R.11BSDImpName3</f>
        <v xml:space="preserve"> </v>
      </c>
      <c r="G183" s="542">
        <f>R.11BSDImpHrs3</f>
        <v>0</v>
      </c>
      <c r="H183" s="543">
        <f>Table3[[#This Row],[Hrs Rank]]</f>
        <v>0</v>
      </c>
      <c r="I183" s="533">
        <f t="shared" si="14"/>
        <v>0</v>
      </c>
      <c r="J183" s="533">
        <f t="shared" si="15"/>
        <v>0</v>
      </c>
      <c r="K183" s="550"/>
      <c r="L183" s="550"/>
      <c r="M183" s="546" t="s">
        <v>216</v>
      </c>
      <c r="N183" s="546" t="s">
        <v>216</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x14ac:dyDescent="0.2">
      <c r="A184" s="530" t="str">
        <f t="shared" si="18"/>
        <v>AQ</v>
      </c>
      <c r="B184" s="49" t="str">
        <f t="shared" si="19"/>
        <v>GPLMP</v>
      </c>
      <c r="C184" s="49" t="s">
        <v>251</v>
      </c>
      <c r="D184" s="531" t="s">
        <v>262</v>
      </c>
      <c r="E184" s="49" t="s">
        <v>49</v>
      </c>
      <c r="F184" s="534" t="str">
        <f>R.11BSDImpName4</f>
        <v xml:space="preserve"> </v>
      </c>
      <c r="G184" s="542">
        <f>R.11BSDImpHrs4</f>
        <v>0</v>
      </c>
      <c r="H184" s="543">
        <f>Table3[[#This Row],[Hrs Rank]]</f>
        <v>0</v>
      </c>
      <c r="I184" s="533">
        <f t="shared" si="14"/>
        <v>0</v>
      </c>
      <c r="J184" s="533">
        <f t="shared" si="15"/>
        <v>0</v>
      </c>
      <c r="K184" s="550"/>
      <c r="L184" s="550"/>
      <c r="M184" s="546" t="s">
        <v>216</v>
      </c>
      <c r="N184" s="546" t="s">
        <v>216</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x14ac:dyDescent="0.2">
      <c r="A185" s="530" t="str">
        <f t="shared" si="18"/>
        <v>AQ</v>
      </c>
      <c r="B185" s="49" t="str">
        <f t="shared" si="19"/>
        <v>GPLMP</v>
      </c>
      <c r="C185" s="49" t="s">
        <v>252</v>
      </c>
      <c r="D185" s="531" t="s">
        <v>148</v>
      </c>
      <c r="E185" s="49" t="s">
        <v>50</v>
      </c>
      <c r="F185" s="534">
        <f>R.12OCEDevName1</f>
        <v>0</v>
      </c>
      <c r="G185" s="542">
        <f>R.12OCEDevHrs1</f>
        <v>0</v>
      </c>
      <c r="H185" s="543">
        <f>Table3[[#This Row],[Hrs Rank]]</f>
        <v>0</v>
      </c>
      <c r="I185" s="533">
        <f t="shared" si="14"/>
        <v>0</v>
      </c>
      <c r="J185" s="533">
        <f t="shared" si="15"/>
        <v>0</v>
      </c>
      <c r="K185" s="550"/>
      <c r="L185" s="550"/>
      <c r="M185" s="546" t="s">
        <v>216</v>
      </c>
      <c r="N185" s="546" t="s">
        <v>216</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x14ac:dyDescent="0.2">
      <c r="A186" s="530" t="str">
        <f t="shared" si="18"/>
        <v>AQ</v>
      </c>
      <c r="B186" s="49" t="str">
        <f t="shared" si="19"/>
        <v>GPLMP</v>
      </c>
      <c r="C186" s="49" t="s">
        <v>252</v>
      </c>
      <c r="D186" s="531" t="s">
        <v>148</v>
      </c>
      <c r="E186" s="49" t="s">
        <v>50</v>
      </c>
      <c r="F186" s="534" t="str">
        <f>R.12OCEDevName2</f>
        <v xml:space="preserve"> </v>
      </c>
      <c r="G186" s="542">
        <f>R.12OCEDevHrs2</f>
        <v>0</v>
      </c>
      <c r="H186" s="543">
        <f>Table3[[#This Row],[Hrs Rank]]</f>
        <v>0</v>
      </c>
      <c r="I186" s="533">
        <f t="shared" si="14"/>
        <v>0</v>
      </c>
      <c r="J186" s="533">
        <f t="shared" si="15"/>
        <v>0</v>
      </c>
      <c r="K186" s="550"/>
      <c r="L186" s="550"/>
      <c r="M186" s="546" t="s">
        <v>216</v>
      </c>
      <c r="N186" s="546" t="s">
        <v>216</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x14ac:dyDescent="0.2">
      <c r="A187" s="530" t="str">
        <f t="shared" si="18"/>
        <v>AQ</v>
      </c>
      <c r="B187" s="49" t="str">
        <f t="shared" si="19"/>
        <v>GPLMP</v>
      </c>
      <c r="C187" s="49" t="s">
        <v>252</v>
      </c>
      <c r="D187" s="531" t="s">
        <v>148</v>
      </c>
      <c r="E187" s="49" t="s">
        <v>50</v>
      </c>
      <c r="F187" s="534" t="str">
        <f>R.12OCEDevName3</f>
        <v xml:space="preserve"> </v>
      </c>
      <c r="G187" s="542">
        <f>R.12OCEDevHrs3</f>
        <v>0</v>
      </c>
      <c r="H187" s="543">
        <f>Table3[[#This Row],[Hrs Rank]]</f>
        <v>0</v>
      </c>
      <c r="I187" s="533">
        <f t="shared" si="14"/>
        <v>0</v>
      </c>
      <c r="J187" s="533">
        <f t="shared" si="15"/>
        <v>0</v>
      </c>
      <c r="K187" s="550"/>
      <c r="L187" s="550"/>
      <c r="M187" s="546" t="s">
        <v>216</v>
      </c>
      <c r="N187" s="546" t="s">
        <v>216</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x14ac:dyDescent="0.2">
      <c r="A188" s="530" t="str">
        <f t="shared" si="18"/>
        <v>AQ</v>
      </c>
      <c r="B188" s="49" t="str">
        <f t="shared" si="19"/>
        <v>GPLMP</v>
      </c>
      <c r="C188" s="49" t="s">
        <v>252</v>
      </c>
      <c r="D188" s="531" t="s">
        <v>148</v>
      </c>
      <c r="E188" s="49" t="s">
        <v>50</v>
      </c>
      <c r="F188" s="534" t="str">
        <f>R.12OCEDevName4</f>
        <v xml:space="preserve"> </v>
      </c>
      <c r="G188" s="542">
        <f>R.12OCEDevHrs4</f>
        <v>0</v>
      </c>
      <c r="H188" s="543">
        <f>Table3[[#This Row],[Hrs Rank]]</f>
        <v>0</v>
      </c>
      <c r="I188" s="533">
        <f t="shared" si="14"/>
        <v>0</v>
      </c>
      <c r="J188" s="533">
        <f t="shared" si="15"/>
        <v>0</v>
      </c>
      <c r="K188" s="550"/>
      <c r="L188" s="550"/>
      <c r="M188" s="546" t="s">
        <v>216</v>
      </c>
      <c r="N188" s="546" t="s">
        <v>216</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x14ac:dyDescent="0.2">
      <c r="A189" s="530" t="str">
        <f t="shared" si="18"/>
        <v>AQ</v>
      </c>
      <c r="B189" s="49" t="str">
        <f t="shared" si="19"/>
        <v>GPLMP</v>
      </c>
      <c r="C189" s="49" t="s">
        <v>252</v>
      </c>
      <c r="D189" s="531" t="s">
        <v>148</v>
      </c>
      <c r="E189" s="49" t="s">
        <v>49</v>
      </c>
      <c r="F189" s="534">
        <f>R.12OCEImpName1</f>
        <v>0</v>
      </c>
      <c r="G189" s="542">
        <f>R.12OCEImpHrs1</f>
        <v>0</v>
      </c>
      <c r="H189" s="543">
        <f>Table3[[#This Row],[Hrs Rank]]</f>
        <v>0</v>
      </c>
      <c r="I189" s="533">
        <f t="shared" si="14"/>
        <v>0</v>
      </c>
      <c r="J189" s="533">
        <f t="shared" si="15"/>
        <v>0</v>
      </c>
      <c r="K189" s="550"/>
      <c r="L189" s="550"/>
      <c r="M189" s="546" t="s">
        <v>216</v>
      </c>
      <c r="N189" s="546" t="s">
        <v>216</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x14ac:dyDescent="0.2">
      <c r="A190" s="530" t="str">
        <f t="shared" si="18"/>
        <v>AQ</v>
      </c>
      <c r="B190" s="49" t="str">
        <f t="shared" si="19"/>
        <v>GPLMP</v>
      </c>
      <c r="C190" s="49" t="s">
        <v>252</v>
      </c>
      <c r="D190" s="531" t="s">
        <v>148</v>
      </c>
      <c r="E190" s="49" t="s">
        <v>49</v>
      </c>
      <c r="F190" s="534">
        <f>R.12OCEImpName2</f>
        <v>0</v>
      </c>
      <c r="G190" s="542">
        <f>R.12OCEImpHrs2</f>
        <v>0</v>
      </c>
      <c r="H190" s="543">
        <f>Table3[[#This Row],[Hrs Rank]]</f>
        <v>0</v>
      </c>
      <c r="I190" s="533">
        <f t="shared" si="14"/>
        <v>0</v>
      </c>
      <c r="J190" s="533">
        <f t="shared" si="15"/>
        <v>0</v>
      </c>
      <c r="K190" s="550"/>
      <c r="L190" s="550"/>
      <c r="M190" s="546" t="s">
        <v>216</v>
      </c>
      <c r="N190" s="546" t="s">
        <v>216</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x14ac:dyDescent="0.2">
      <c r="A191" s="530" t="str">
        <f t="shared" ref="A191:A222" si="20">R.1Division</f>
        <v>AQ</v>
      </c>
      <c r="B191" s="49" t="str">
        <f t="shared" ref="B191:B222" si="21">R.1CodeName</f>
        <v>GPLMP</v>
      </c>
      <c r="C191" s="49" t="s">
        <v>252</v>
      </c>
      <c r="D191" s="531" t="s">
        <v>148</v>
      </c>
      <c r="E191" s="49" t="s">
        <v>49</v>
      </c>
      <c r="F191" s="534" t="str">
        <f>R.12OCEImpName3</f>
        <v xml:space="preserve"> </v>
      </c>
      <c r="G191" s="542">
        <f>R.12OCEImpHrs3</f>
        <v>0</v>
      </c>
      <c r="H191" s="543">
        <f>Table3[[#This Row],[Hrs Rank]]</f>
        <v>0</v>
      </c>
      <c r="I191" s="533">
        <f t="shared" si="14"/>
        <v>0</v>
      </c>
      <c r="J191" s="533">
        <f t="shared" si="15"/>
        <v>0</v>
      </c>
      <c r="K191" s="550"/>
      <c r="L191" s="550"/>
      <c r="M191" s="546" t="s">
        <v>216</v>
      </c>
      <c r="N191" s="546" t="s">
        <v>216</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x14ac:dyDescent="0.2">
      <c r="A192" s="530" t="str">
        <f t="shared" si="20"/>
        <v>AQ</v>
      </c>
      <c r="B192" s="49" t="str">
        <f t="shared" si="21"/>
        <v>GPLMP</v>
      </c>
      <c r="C192" s="49" t="s">
        <v>252</v>
      </c>
      <c r="D192" s="531" t="s">
        <v>148</v>
      </c>
      <c r="E192" s="49" t="s">
        <v>49</v>
      </c>
      <c r="F192" s="534" t="str">
        <f>R.12OCEImpName4</f>
        <v xml:space="preserve"> </v>
      </c>
      <c r="G192" s="542">
        <f>R.12OCEImpHrs4</f>
        <v>0</v>
      </c>
      <c r="H192" s="543">
        <f>Table3[[#This Row],[Hrs Rank]]</f>
        <v>0</v>
      </c>
      <c r="I192" s="533">
        <f t="shared" si="14"/>
        <v>0</v>
      </c>
      <c r="J192" s="533">
        <f t="shared" si="15"/>
        <v>0</v>
      </c>
      <c r="K192" s="550"/>
      <c r="L192" s="550"/>
      <c r="M192" s="546" t="s">
        <v>216</v>
      </c>
      <c r="N192" s="546" t="s">
        <v>216</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x14ac:dyDescent="0.2">
      <c r="A193" s="530" t="str">
        <f t="shared" si="20"/>
        <v>AQ</v>
      </c>
      <c r="B193" s="49" t="str">
        <f t="shared" si="21"/>
        <v>GPLMP</v>
      </c>
      <c r="C193" s="49" t="s">
        <v>253</v>
      </c>
      <c r="D193" s="531" t="s">
        <v>124</v>
      </c>
      <c r="E193" s="49" t="s">
        <v>50</v>
      </c>
      <c r="F193" s="534">
        <f>R.13MonitorDevName1</f>
        <v>0</v>
      </c>
      <c r="G193" s="542">
        <f>R.13MonitorDevHrs1</f>
        <v>0</v>
      </c>
      <c r="H193" s="543">
        <f>Table3[[#This Row],[Hrs Rank]]</f>
        <v>0</v>
      </c>
      <c r="I193" s="533">
        <f t="shared" si="14"/>
        <v>0</v>
      </c>
      <c r="J193" s="533">
        <f t="shared" si="15"/>
        <v>0</v>
      </c>
      <c r="K193" s="550"/>
      <c r="L193" s="550"/>
      <c r="M193" s="546" t="s">
        <v>216</v>
      </c>
      <c r="N193" s="546" t="s">
        <v>216</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x14ac:dyDescent="0.2">
      <c r="A194" s="530" t="str">
        <f t="shared" si="20"/>
        <v>AQ</v>
      </c>
      <c r="B194" s="49" t="str">
        <f t="shared" si="21"/>
        <v>GPLMP</v>
      </c>
      <c r="C194" s="49" t="s">
        <v>253</v>
      </c>
      <c r="D194" s="531" t="s">
        <v>124</v>
      </c>
      <c r="E194" s="49" t="s">
        <v>50</v>
      </c>
      <c r="F194" s="534">
        <f>R.13MonitorDevName2</f>
        <v>0</v>
      </c>
      <c r="G194" s="542">
        <f>R.13MonitorDevHrs2</f>
        <v>0</v>
      </c>
      <c r="H194" s="543">
        <f>Table3[[#This Row],[Hrs Rank]]</f>
        <v>0</v>
      </c>
      <c r="I194" s="533">
        <f t="shared" si="14"/>
        <v>0</v>
      </c>
      <c r="J194" s="533">
        <f t="shared" si="15"/>
        <v>0</v>
      </c>
      <c r="K194" s="550"/>
      <c r="L194" s="550"/>
      <c r="M194" s="546" t="s">
        <v>216</v>
      </c>
      <c r="N194" s="546" t="s">
        <v>216</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x14ac:dyDescent="0.2">
      <c r="A195" s="530" t="str">
        <f t="shared" si="20"/>
        <v>AQ</v>
      </c>
      <c r="B195" s="49" t="str">
        <f t="shared" si="21"/>
        <v>GPLMP</v>
      </c>
      <c r="C195" s="49" t="s">
        <v>253</v>
      </c>
      <c r="D195" s="531" t="s">
        <v>124</v>
      </c>
      <c r="E195" s="49" t="s">
        <v>50</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216</v>
      </c>
      <c r="N195" s="546" t="s">
        <v>216</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x14ac:dyDescent="0.2">
      <c r="A196" s="530" t="str">
        <f t="shared" si="20"/>
        <v>AQ</v>
      </c>
      <c r="B196" s="49" t="str">
        <f t="shared" si="21"/>
        <v>GPLMP</v>
      </c>
      <c r="C196" s="49" t="s">
        <v>253</v>
      </c>
      <c r="D196" s="531" t="s">
        <v>124</v>
      </c>
      <c r="E196" s="49" t="s">
        <v>50</v>
      </c>
      <c r="F196" s="534" t="str">
        <f>R.13MonitorDevName4</f>
        <v xml:space="preserve"> </v>
      </c>
      <c r="G196" s="542">
        <f>R.13MonitorDevHrs4</f>
        <v>0</v>
      </c>
      <c r="H196" s="543">
        <f>Table3[[#This Row],[Hrs Rank]]</f>
        <v>0</v>
      </c>
      <c r="I196" s="533">
        <f t="shared" si="22"/>
        <v>0</v>
      </c>
      <c r="J196" s="533">
        <f t="shared" si="23"/>
        <v>0</v>
      </c>
      <c r="K196" s="550"/>
      <c r="L196" s="550"/>
      <c r="M196" s="546" t="s">
        <v>216</v>
      </c>
      <c r="N196" s="546" t="s">
        <v>216</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x14ac:dyDescent="0.2">
      <c r="A197" s="530" t="str">
        <f t="shared" si="20"/>
        <v>AQ</v>
      </c>
      <c r="B197" s="49" t="str">
        <f t="shared" si="21"/>
        <v>GPLMP</v>
      </c>
      <c r="C197" s="49" t="s">
        <v>253</v>
      </c>
      <c r="D197" s="531" t="s">
        <v>124</v>
      </c>
      <c r="E197" s="49" t="s">
        <v>49</v>
      </c>
      <c r="F197" s="534">
        <f>R.13MonitorImpName1</f>
        <v>0</v>
      </c>
      <c r="G197" s="542">
        <f>R.13MonitorImpHrs1</f>
        <v>0</v>
      </c>
      <c r="H197" s="543">
        <f>Table3[[#This Row],[Hrs Rank]]</f>
        <v>0</v>
      </c>
      <c r="I197" s="533">
        <f t="shared" si="22"/>
        <v>0</v>
      </c>
      <c r="J197" s="533">
        <f t="shared" si="23"/>
        <v>0</v>
      </c>
      <c r="K197" s="550"/>
      <c r="L197" s="550"/>
      <c r="M197" s="546" t="s">
        <v>216</v>
      </c>
      <c r="N197" s="546" t="s">
        <v>216</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x14ac:dyDescent="0.2">
      <c r="A198" s="530" t="str">
        <f t="shared" si="20"/>
        <v>AQ</v>
      </c>
      <c r="B198" s="49" t="str">
        <f t="shared" si="21"/>
        <v>GPLMP</v>
      </c>
      <c r="C198" s="49" t="s">
        <v>253</v>
      </c>
      <c r="D198" s="531" t="s">
        <v>124</v>
      </c>
      <c r="E198" s="49" t="s">
        <v>49</v>
      </c>
      <c r="F198" s="534" t="str">
        <f>R.13MonitorImpName2</f>
        <v xml:space="preserve"> </v>
      </c>
      <c r="G198" s="542">
        <f>R.13MonitorImpHrs2</f>
        <v>0</v>
      </c>
      <c r="H198" s="543">
        <f>Table3[[#This Row],[Hrs Rank]]</f>
        <v>0</v>
      </c>
      <c r="I198" s="533">
        <f t="shared" si="22"/>
        <v>0</v>
      </c>
      <c r="J198" s="533">
        <f t="shared" si="23"/>
        <v>0</v>
      </c>
      <c r="K198" s="550"/>
      <c r="L198" s="550"/>
      <c r="M198" s="546" t="s">
        <v>216</v>
      </c>
      <c r="N198" s="546" t="s">
        <v>216</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x14ac:dyDescent="0.2">
      <c r="A199" s="530" t="str">
        <f t="shared" si="20"/>
        <v>AQ</v>
      </c>
      <c r="B199" s="49" t="str">
        <f t="shared" si="21"/>
        <v>GPLMP</v>
      </c>
      <c r="C199" s="49" t="s">
        <v>253</v>
      </c>
      <c r="D199" s="531" t="s">
        <v>124</v>
      </c>
      <c r="E199" s="49" t="s">
        <v>49</v>
      </c>
      <c r="F199" s="534" t="str">
        <f>R.13MonitorImpName3</f>
        <v xml:space="preserve"> </v>
      </c>
      <c r="G199" s="542">
        <f>R.13MonitorImpHrs3</f>
        <v>0</v>
      </c>
      <c r="H199" s="543">
        <f>Table3[[#This Row],[Hrs Rank]]</f>
        <v>0</v>
      </c>
      <c r="I199" s="533">
        <f t="shared" si="22"/>
        <v>0</v>
      </c>
      <c r="J199" s="533">
        <f t="shared" si="23"/>
        <v>0</v>
      </c>
      <c r="K199" s="550"/>
      <c r="L199" s="550"/>
      <c r="M199" s="546" t="s">
        <v>216</v>
      </c>
      <c r="N199" s="546" t="s">
        <v>216</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x14ac:dyDescent="0.2">
      <c r="A200" s="530" t="str">
        <f t="shared" si="20"/>
        <v>AQ</v>
      </c>
      <c r="B200" s="49" t="str">
        <f t="shared" si="21"/>
        <v>GPLMP</v>
      </c>
      <c r="C200" s="49" t="s">
        <v>253</v>
      </c>
      <c r="D200" s="531" t="s">
        <v>124</v>
      </c>
      <c r="E200" s="49" t="s">
        <v>49</v>
      </c>
      <c r="F200" s="534" t="str">
        <f>R.13MonitorImpName4</f>
        <v xml:space="preserve"> </v>
      </c>
      <c r="G200" s="542">
        <f>R.13MonitorImpHrs4</f>
        <v>0</v>
      </c>
      <c r="H200" s="543">
        <f>Table3[[#This Row],[Hrs Rank]]</f>
        <v>0</v>
      </c>
      <c r="I200" s="533">
        <f t="shared" si="22"/>
        <v>0</v>
      </c>
      <c r="J200" s="533">
        <f t="shared" si="23"/>
        <v>0</v>
      </c>
      <c r="K200" s="550"/>
      <c r="L200" s="550"/>
      <c r="M200" s="546" t="s">
        <v>216</v>
      </c>
      <c r="N200" s="546" t="s">
        <v>216</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x14ac:dyDescent="0.2">
      <c r="A201" s="530" t="str">
        <f t="shared" si="20"/>
        <v>AQ</v>
      </c>
      <c r="B201" s="49" t="str">
        <f t="shared" si="21"/>
        <v>GPLMP</v>
      </c>
      <c r="C201" s="49" t="s">
        <v>253</v>
      </c>
      <c r="D201" s="531" t="s">
        <v>125</v>
      </c>
      <c r="E201" s="49" t="s">
        <v>50</v>
      </c>
      <c r="F201" s="534">
        <f>R.13TestDevName1</f>
        <v>0</v>
      </c>
      <c r="G201" s="542">
        <f>R.13TestDevHrs1</f>
        <v>0</v>
      </c>
      <c r="H201" s="543">
        <f>Table3[[#This Row],[Hrs Rank]]</f>
        <v>0</v>
      </c>
      <c r="I201" s="533">
        <f t="shared" si="22"/>
        <v>0</v>
      </c>
      <c r="J201" s="533">
        <f t="shared" si="23"/>
        <v>0</v>
      </c>
      <c r="K201" s="550"/>
      <c r="L201" s="550"/>
      <c r="M201" s="546" t="s">
        <v>216</v>
      </c>
      <c r="N201" s="546" t="s">
        <v>216</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x14ac:dyDescent="0.2">
      <c r="A202" s="530" t="str">
        <f t="shared" si="20"/>
        <v>AQ</v>
      </c>
      <c r="B202" s="49" t="str">
        <f t="shared" si="21"/>
        <v>GPLMP</v>
      </c>
      <c r="C202" s="49" t="s">
        <v>253</v>
      </c>
      <c r="D202" s="531" t="s">
        <v>125</v>
      </c>
      <c r="E202" s="49" t="s">
        <v>50</v>
      </c>
      <c r="F202" s="534" t="str">
        <f>R.13TestDevName2</f>
        <v xml:space="preserve"> </v>
      </c>
      <c r="G202" s="542">
        <f>R.13TestDevHrs2</f>
        <v>0</v>
      </c>
      <c r="H202" s="543">
        <f>Table3[[#This Row],[Hrs Rank]]</f>
        <v>0</v>
      </c>
      <c r="I202" s="533">
        <f t="shared" si="22"/>
        <v>0</v>
      </c>
      <c r="J202" s="533">
        <f t="shared" si="23"/>
        <v>0</v>
      </c>
      <c r="K202" s="550"/>
      <c r="L202" s="550"/>
      <c r="M202" s="546" t="s">
        <v>216</v>
      </c>
      <c r="N202" s="546" t="s">
        <v>216</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x14ac:dyDescent="0.2">
      <c r="A203" s="530" t="str">
        <f t="shared" si="20"/>
        <v>AQ</v>
      </c>
      <c r="B203" s="49" t="str">
        <f t="shared" si="21"/>
        <v>GPLMP</v>
      </c>
      <c r="C203" s="49" t="s">
        <v>253</v>
      </c>
      <c r="D203" s="531" t="s">
        <v>125</v>
      </c>
      <c r="E203" s="49" t="s">
        <v>50</v>
      </c>
      <c r="F203" s="534" t="str">
        <f>R.13TestDevName3</f>
        <v xml:space="preserve"> </v>
      </c>
      <c r="G203" s="542">
        <f>R.13TestDevHrs3</f>
        <v>0</v>
      </c>
      <c r="H203" s="543">
        <f>Table3[[#This Row],[Hrs Rank]]</f>
        <v>0</v>
      </c>
      <c r="I203" s="533">
        <f t="shared" si="22"/>
        <v>0</v>
      </c>
      <c r="J203" s="533">
        <f t="shared" si="23"/>
        <v>0</v>
      </c>
      <c r="K203" s="550"/>
      <c r="L203" s="550"/>
      <c r="M203" s="546" t="s">
        <v>216</v>
      </c>
      <c r="N203" s="546" t="s">
        <v>216</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x14ac:dyDescent="0.2">
      <c r="A204" s="530" t="str">
        <f t="shared" si="20"/>
        <v>AQ</v>
      </c>
      <c r="B204" s="49" t="str">
        <f t="shared" si="21"/>
        <v>GPLMP</v>
      </c>
      <c r="C204" s="49" t="s">
        <v>253</v>
      </c>
      <c r="D204" s="531" t="s">
        <v>125</v>
      </c>
      <c r="E204" s="49" t="s">
        <v>50</v>
      </c>
      <c r="F204" s="534" t="str">
        <f>R.13TestDevName4</f>
        <v xml:space="preserve"> </v>
      </c>
      <c r="G204" s="542">
        <f>R.13TestDevHrs4</f>
        <v>0</v>
      </c>
      <c r="H204" s="543">
        <f>Table3[[#This Row],[Hrs Rank]]</f>
        <v>0</v>
      </c>
      <c r="I204" s="533">
        <f t="shared" si="22"/>
        <v>0</v>
      </c>
      <c r="J204" s="533">
        <f t="shared" si="23"/>
        <v>0</v>
      </c>
      <c r="K204" s="550"/>
      <c r="L204" s="550"/>
      <c r="M204" s="546" t="s">
        <v>216</v>
      </c>
      <c r="N204" s="546" t="s">
        <v>216</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x14ac:dyDescent="0.2">
      <c r="A205" s="530" t="str">
        <f t="shared" si="20"/>
        <v>AQ</v>
      </c>
      <c r="B205" s="49" t="str">
        <f t="shared" si="21"/>
        <v>GPLMP</v>
      </c>
      <c r="C205" s="49" t="s">
        <v>253</v>
      </c>
      <c r="D205" s="531" t="s">
        <v>125</v>
      </c>
      <c r="E205" s="49" t="s">
        <v>49</v>
      </c>
      <c r="F205" s="534">
        <f>R.13TestImpName1</f>
        <v>0</v>
      </c>
      <c r="G205" s="542">
        <f>R.13TestImpHrs1</f>
        <v>0</v>
      </c>
      <c r="H205" s="543">
        <f>Table3[[#This Row],[Hrs Rank]]</f>
        <v>0</v>
      </c>
      <c r="I205" s="533">
        <f t="shared" si="22"/>
        <v>0</v>
      </c>
      <c r="J205" s="533">
        <f t="shared" si="23"/>
        <v>0</v>
      </c>
      <c r="K205" s="550"/>
      <c r="L205" s="550"/>
      <c r="M205" s="546" t="s">
        <v>216</v>
      </c>
      <c r="N205" s="546" t="s">
        <v>216</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x14ac:dyDescent="0.2">
      <c r="A206" s="530" t="str">
        <f t="shared" si="20"/>
        <v>AQ</v>
      </c>
      <c r="B206" s="49" t="str">
        <f t="shared" si="21"/>
        <v>GPLMP</v>
      </c>
      <c r="C206" s="49" t="s">
        <v>253</v>
      </c>
      <c r="D206" s="531" t="s">
        <v>125</v>
      </c>
      <c r="E206" s="49" t="s">
        <v>49</v>
      </c>
      <c r="F206" s="534" t="str">
        <f>R.13TestImpName2</f>
        <v xml:space="preserve"> </v>
      </c>
      <c r="G206" s="542">
        <f>R.13TestImpHrs2</f>
        <v>0</v>
      </c>
      <c r="H206" s="543">
        <f>Table3[[#This Row],[Hrs Rank]]</f>
        <v>0</v>
      </c>
      <c r="I206" s="533">
        <f t="shared" si="22"/>
        <v>0</v>
      </c>
      <c r="J206" s="533">
        <f t="shared" si="23"/>
        <v>0</v>
      </c>
      <c r="K206" s="550"/>
      <c r="L206" s="550"/>
      <c r="M206" s="546" t="s">
        <v>216</v>
      </c>
      <c r="N206" s="546" t="s">
        <v>216</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x14ac:dyDescent="0.2">
      <c r="A207" s="530" t="str">
        <f t="shared" si="20"/>
        <v>AQ</v>
      </c>
      <c r="B207" s="49" t="str">
        <f t="shared" si="21"/>
        <v>GPLMP</v>
      </c>
      <c r="C207" s="49" t="s">
        <v>253</v>
      </c>
      <c r="D207" s="531" t="s">
        <v>125</v>
      </c>
      <c r="E207" s="49" t="s">
        <v>49</v>
      </c>
      <c r="F207" s="534" t="str">
        <f>R.13TestImpName3</f>
        <v xml:space="preserve"> </v>
      </c>
      <c r="G207" s="542">
        <f>R.13TestImpHrs3</f>
        <v>0</v>
      </c>
      <c r="H207" s="543">
        <f>Table3[[#This Row],[Hrs Rank]]</f>
        <v>0</v>
      </c>
      <c r="I207" s="533">
        <f t="shared" si="22"/>
        <v>0</v>
      </c>
      <c r="J207" s="533">
        <f t="shared" si="23"/>
        <v>0</v>
      </c>
      <c r="K207" s="550"/>
      <c r="L207" s="550"/>
      <c r="M207" s="546" t="s">
        <v>216</v>
      </c>
      <c r="N207" s="546" t="s">
        <v>216</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x14ac:dyDescent="0.2">
      <c r="A208" s="530" t="str">
        <f t="shared" si="20"/>
        <v>AQ</v>
      </c>
      <c r="B208" s="49" t="str">
        <f t="shared" si="21"/>
        <v>GPLMP</v>
      </c>
      <c r="C208" s="49" t="s">
        <v>253</v>
      </c>
      <c r="D208" s="531" t="s">
        <v>125</v>
      </c>
      <c r="E208" s="49" t="s">
        <v>49</v>
      </c>
      <c r="F208" s="534" t="str">
        <f>R.13TestImpName4</f>
        <v xml:space="preserve"> </v>
      </c>
      <c r="G208" s="542">
        <f>R.13TestImpHrs4</f>
        <v>0</v>
      </c>
      <c r="H208" s="543">
        <f>Table3[[#This Row],[Hrs Rank]]</f>
        <v>0</v>
      </c>
      <c r="I208" s="533">
        <f t="shared" si="22"/>
        <v>0</v>
      </c>
      <c r="J208" s="533">
        <f t="shared" si="23"/>
        <v>0</v>
      </c>
      <c r="K208" s="550"/>
      <c r="L208" s="550"/>
      <c r="M208" s="546" t="s">
        <v>216</v>
      </c>
      <c r="N208" s="546" t="s">
        <v>216</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x14ac:dyDescent="0.2">
      <c r="A209" s="530" t="str">
        <f t="shared" si="20"/>
        <v>AQ</v>
      </c>
      <c r="B209" s="49" t="str">
        <f t="shared" si="21"/>
        <v>GPLMP</v>
      </c>
      <c r="C209" s="49" t="s">
        <v>253</v>
      </c>
      <c r="D209" s="531" t="s">
        <v>131</v>
      </c>
      <c r="E209" s="49" t="s">
        <v>50</v>
      </c>
      <c r="F209" s="534">
        <f>R.13QADevName1</f>
        <v>0</v>
      </c>
      <c r="G209" s="542">
        <f>R.13QADevHrs1</f>
        <v>0</v>
      </c>
      <c r="H209" s="543">
        <f>Table3[[#This Row],[Hrs Rank]]</f>
        <v>0</v>
      </c>
      <c r="I209" s="533">
        <f t="shared" si="22"/>
        <v>0</v>
      </c>
      <c r="J209" s="533">
        <f t="shared" si="23"/>
        <v>0</v>
      </c>
      <c r="K209" s="550"/>
      <c r="L209" s="550"/>
      <c r="M209" s="546" t="s">
        <v>216</v>
      </c>
      <c r="N209" s="546" t="s">
        <v>216</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x14ac:dyDescent="0.2">
      <c r="A210" s="530" t="str">
        <f t="shared" si="20"/>
        <v>AQ</v>
      </c>
      <c r="B210" s="49" t="str">
        <f t="shared" si="21"/>
        <v>GPLMP</v>
      </c>
      <c r="C210" s="49" t="s">
        <v>253</v>
      </c>
      <c r="D210" s="531" t="s">
        <v>131</v>
      </c>
      <c r="E210" s="49" t="s">
        <v>50</v>
      </c>
      <c r="F210" s="534">
        <f>R.13QADevName2</f>
        <v>0</v>
      </c>
      <c r="G210" s="542">
        <f>R.13QADevHrs2</f>
        <v>0</v>
      </c>
      <c r="H210" s="543">
        <f>Table3[[#This Row],[Hrs Rank]]</f>
        <v>0</v>
      </c>
      <c r="I210" s="533">
        <f t="shared" si="22"/>
        <v>0</v>
      </c>
      <c r="J210" s="533">
        <f t="shared" si="23"/>
        <v>0</v>
      </c>
      <c r="K210" s="550"/>
      <c r="L210" s="550"/>
      <c r="M210" s="546" t="s">
        <v>216</v>
      </c>
      <c r="N210" s="546" t="s">
        <v>216</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x14ac:dyDescent="0.2">
      <c r="A211" s="530" t="str">
        <f t="shared" si="20"/>
        <v>AQ</v>
      </c>
      <c r="B211" s="49" t="str">
        <f t="shared" si="21"/>
        <v>GPLMP</v>
      </c>
      <c r="C211" s="49" t="s">
        <v>253</v>
      </c>
      <c r="D211" s="531" t="s">
        <v>131</v>
      </c>
      <c r="E211" s="49" t="s">
        <v>50</v>
      </c>
      <c r="F211" s="534">
        <f>R.13QADevName3</f>
        <v>0</v>
      </c>
      <c r="G211" s="542">
        <f>R.13QADevHrs3</f>
        <v>0</v>
      </c>
      <c r="H211" s="543">
        <f>Table3[[#This Row],[Hrs Rank]]</f>
        <v>0</v>
      </c>
      <c r="I211" s="533">
        <f t="shared" si="22"/>
        <v>0</v>
      </c>
      <c r="J211" s="533">
        <f t="shared" si="23"/>
        <v>0</v>
      </c>
      <c r="K211" s="550"/>
      <c r="L211" s="550"/>
      <c r="M211" s="546" t="s">
        <v>216</v>
      </c>
      <c r="N211" s="546" t="s">
        <v>216</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x14ac:dyDescent="0.2">
      <c r="A212" s="530" t="str">
        <f t="shared" si="20"/>
        <v>AQ</v>
      </c>
      <c r="B212" s="49" t="str">
        <f t="shared" si="21"/>
        <v>GPLMP</v>
      </c>
      <c r="C212" s="49" t="s">
        <v>253</v>
      </c>
      <c r="D212" s="531" t="s">
        <v>131</v>
      </c>
      <c r="E212" s="49" t="s">
        <v>50</v>
      </c>
      <c r="F212" s="534">
        <f>R.13QADevName4</f>
        <v>0</v>
      </c>
      <c r="G212" s="542">
        <f>R.13QADevHrs4</f>
        <v>0</v>
      </c>
      <c r="H212" s="543">
        <f>Table3[[#This Row],[Hrs Rank]]</f>
        <v>0</v>
      </c>
      <c r="I212" s="533">
        <f t="shared" si="22"/>
        <v>0</v>
      </c>
      <c r="J212" s="533">
        <f t="shared" si="23"/>
        <v>0</v>
      </c>
      <c r="K212" s="550"/>
      <c r="L212" s="550"/>
      <c r="M212" s="546" t="s">
        <v>216</v>
      </c>
      <c r="N212" s="546" t="s">
        <v>216</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x14ac:dyDescent="0.2">
      <c r="A213" s="530" t="str">
        <f t="shared" si="20"/>
        <v>AQ</v>
      </c>
      <c r="B213" s="49" t="str">
        <f t="shared" si="21"/>
        <v>GPLMP</v>
      </c>
      <c r="C213" s="49" t="s">
        <v>253</v>
      </c>
      <c r="D213" s="531" t="s">
        <v>131</v>
      </c>
      <c r="E213" s="49" t="s">
        <v>49</v>
      </c>
      <c r="F213" s="534">
        <f>R.13QAImpName1</f>
        <v>0</v>
      </c>
      <c r="G213" s="542">
        <f>R.13QAImpHrs1</f>
        <v>0</v>
      </c>
      <c r="H213" s="543">
        <f>Table3[[#This Row],[Hrs Rank]]</f>
        <v>0</v>
      </c>
      <c r="I213" s="533">
        <f t="shared" si="22"/>
        <v>0</v>
      </c>
      <c r="J213" s="533">
        <f t="shared" si="23"/>
        <v>0</v>
      </c>
      <c r="K213" s="550"/>
      <c r="L213" s="550"/>
      <c r="M213" s="546" t="s">
        <v>216</v>
      </c>
      <c r="N213" s="546" t="s">
        <v>216</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x14ac:dyDescent="0.2">
      <c r="A214" s="530" t="str">
        <f t="shared" si="20"/>
        <v>AQ</v>
      </c>
      <c r="B214" s="49" t="str">
        <f t="shared" si="21"/>
        <v>GPLMP</v>
      </c>
      <c r="C214" s="49" t="s">
        <v>253</v>
      </c>
      <c r="D214" s="531" t="s">
        <v>131</v>
      </c>
      <c r="E214" s="49" t="s">
        <v>49</v>
      </c>
      <c r="F214" s="534">
        <f>R.13QAImpName2</f>
        <v>0</v>
      </c>
      <c r="G214" s="542">
        <f>R.13QAImpHrs2</f>
        <v>0</v>
      </c>
      <c r="H214" s="543">
        <f>Table3[[#This Row],[Hrs Rank]]</f>
        <v>0</v>
      </c>
      <c r="I214" s="533">
        <f t="shared" si="22"/>
        <v>0</v>
      </c>
      <c r="J214" s="533">
        <f t="shared" si="23"/>
        <v>0</v>
      </c>
      <c r="K214" s="550"/>
      <c r="L214" s="550"/>
      <c r="M214" s="546" t="s">
        <v>216</v>
      </c>
      <c r="N214" s="546" t="s">
        <v>216</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x14ac:dyDescent="0.2">
      <c r="A215" s="530" t="str">
        <f t="shared" si="20"/>
        <v>AQ</v>
      </c>
      <c r="B215" s="49" t="str">
        <f t="shared" si="21"/>
        <v>GPLMP</v>
      </c>
      <c r="C215" s="49" t="s">
        <v>253</v>
      </c>
      <c r="D215" s="531" t="s">
        <v>131</v>
      </c>
      <c r="E215" s="49" t="s">
        <v>49</v>
      </c>
      <c r="F215" s="534">
        <f>R.13QAImpName3</f>
        <v>0</v>
      </c>
      <c r="G215" s="542">
        <f>R.13QAImpHrs3</f>
        <v>0</v>
      </c>
      <c r="H215" s="543">
        <f>Table3[[#This Row],[Hrs Rank]]</f>
        <v>0</v>
      </c>
      <c r="I215" s="533">
        <f t="shared" si="22"/>
        <v>0</v>
      </c>
      <c r="J215" s="533">
        <f t="shared" si="23"/>
        <v>0</v>
      </c>
      <c r="K215" s="550"/>
      <c r="L215" s="550"/>
      <c r="M215" s="546" t="s">
        <v>216</v>
      </c>
      <c r="N215" s="546" t="s">
        <v>216</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x14ac:dyDescent="0.2">
      <c r="A216" s="530" t="str">
        <f t="shared" si="20"/>
        <v>AQ</v>
      </c>
      <c r="B216" s="49" t="str">
        <f t="shared" si="21"/>
        <v>GPLMP</v>
      </c>
      <c r="C216" s="49" t="s">
        <v>253</v>
      </c>
      <c r="D216" s="531" t="s">
        <v>131</v>
      </c>
      <c r="E216" s="49" t="s">
        <v>49</v>
      </c>
      <c r="F216" s="534">
        <f>R.13QAImpName4</f>
        <v>0</v>
      </c>
      <c r="G216" s="542">
        <f>R.13QAImpHrs4</f>
        <v>0</v>
      </c>
      <c r="H216" s="543">
        <f>Table3[[#This Row],[Hrs Rank]]</f>
        <v>0</v>
      </c>
      <c r="I216" s="533">
        <f t="shared" si="22"/>
        <v>0</v>
      </c>
      <c r="J216" s="533">
        <f t="shared" si="23"/>
        <v>0</v>
      </c>
      <c r="K216" s="550"/>
      <c r="L216" s="550"/>
      <c r="M216" s="546" t="s">
        <v>216</v>
      </c>
      <c r="N216" s="546" t="s">
        <v>216</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x14ac:dyDescent="0.2">
      <c r="A217" s="530" t="str">
        <f t="shared" si="20"/>
        <v>AQ</v>
      </c>
      <c r="B217" s="49" t="str">
        <f t="shared" si="21"/>
        <v>GPLMP</v>
      </c>
      <c r="C217" s="49" t="s">
        <v>254</v>
      </c>
      <c r="D217" s="531" t="s">
        <v>126</v>
      </c>
      <c r="E217" s="49" t="s">
        <v>50</v>
      </c>
      <c r="F217" s="534">
        <f>R.14LRAPADevName1</f>
        <v>0</v>
      </c>
      <c r="G217" s="542">
        <v>0</v>
      </c>
      <c r="H217" s="543">
        <f>Table3[[#This Row],[Hrs Rank]]</f>
        <v>0</v>
      </c>
      <c r="I217" s="533">
        <f t="shared" si="22"/>
        <v>0</v>
      </c>
      <c r="J217" s="533">
        <f t="shared" si="23"/>
        <v>0</v>
      </c>
      <c r="K217" s="550"/>
      <c r="L217" s="550"/>
      <c r="M217" s="546" t="s">
        <v>216</v>
      </c>
      <c r="N217" s="546" t="s">
        <v>216</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x14ac:dyDescent="0.2">
      <c r="A218" s="530" t="str">
        <f t="shared" si="20"/>
        <v>AQ</v>
      </c>
      <c r="B218" s="49" t="str">
        <f t="shared" si="21"/>
        <v>GPLMP</v>
      </c>
      <c r="C218" s="49" t="s">
        <v>254</v>
      </c>
      <c r="D218" s="531" t="s">
        <v>126</v>
      </c>
      <c r="E218" s="49" t="s">
        <v>50</v>
      </c>
      <c r="F218" s="534" t="str">
        <f>R.14LRAPADevName2</f>
        <v xml:space="preserve"> </v>
      </c>
      <c r="G218" s="542">
        <f>R.14LRAPADevHrs1</f>
        <v>0</v>
      </c>
      <c r="H218" s="543">
        <f>Table3[[#This Row],[Hrs Rank]]</f>
        <v>0</v>
      </c>
      <c r="I218" s="533">
        <f t="shared" si="22"/>
        <v>0</v>
      </c>
      <c r="J218" s="533">
        <f t="shared" si="23"/>
        <v>0</v>
      </c>
      <c r="K218" s="550"/>
      <c r="L218" s="550"/>
      <c r="M218" s="546" t="s">
        <v>216</v>
      </c>
      <c r="N218" s="546" t="s">
        <v>216</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x14ac:dyDescent="0.2">
      <c r="A219" s="530" t="str">
        <f t="shared" si="20"/>
        <v>AQ</v>
      </c>
      <c r="B219" s="49" t="str">
        <f t="shared" si="21"/>
        <v>GPLMP</v>
      </c>
      <c r="C219" s="49" t="s">
        <v>254</v>
      </c>
      <c r="D219" s="531" t="s">
        <v>126</v>
      </c>
      <c r="E219" s="49" t="s">
        <v>50</v>
      </c>
      <c r="F219" s="534" t="str">
        <f>R.14LRAPADevName3</f>
        <v xml:space="preserve"> </v>
      </c>
      <c r="G219" s="542">
        <f>R.14LRAPADevHrs2</f>
        <v>0</v>
      </c>
      <c r="H219" s="543">
        <f>Table3[[#This Row],[Hrs Rank]]</f>
        <v>0</v>
      </c>
      <c r="I219" s="533">
        <f t="shared" si="22"/>
        <v>0</v>
      </c>
      <c r="J219" s="533">
        <f t="shared" si="23"/>
        <v>0</v>
      </c>
      <c r="K219" s="550"/>
      <c r="L219" s="550"/>
      <c r="M219" s="546" t="s">
        <v>216</v>
      </c>
      <c r="N219" s="546" t="s">
        <v>216</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x14ac:dyDescent="0.2">
      <c r="A220" s="530" t="str">
        <f t="shared" si="20"/>
        <v>AQ</v>
      </c>
      <c r="B220" s="49" t="str">
        <f t="shared" si="21"/>
        <v>GPLMP</v>
      </c>
      <c r="C220" s="49" t="s">
        <v>254</v>
      </c>
      <c r="D220" s="531" t="s">
        <v>126</v>
      </c>
      <c r="E220" s="49" t="s">
        <v>50</v>
      </c>
      <c r="F220" s="534" t="str">
        <f>R.14LRAPADevName4</f>
        <v xml:space="preserve"> </v>
      </c>
      <c r="G220" s="542">
        <f>R.14LRAPADevHrs3</f>
        <v>0</v>
      </c>
      <c r="H220" s="543">
        <f>Table3[[#This Row],[Hrs Rank]]</f>
        <v>0</v>
      </c>
      <c r="I220" s="533">
        <f t="shared" si="22"/>
        <v>0</v>
      </c>
      <c r="J220" s="533">
        <f t="shared" si="23"/>
        <v>0</v>
      </c>
      <c r="K220" s="550"/>
      <c r="L220" s="550"/>
      <c r="M220" s="546" t="s">
        <v>216</v>
      </c>
      <c r="N220" s="546" t="s">
        <v>216</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x14ac:dyDescent="0.2">
      <c r="A221" s="530" t="str">
        <f t="shared" si="20"/>
        <v>AQ</v>
      </c>
      <c r="B221" s="49" t="str">
        <f t="shared" si="21"/>
        <v>GPLMP</v>
      </c>
      <c r="C221" s="49" t="s">
        <v>254</v>
      </c>
      <c r="D221" s="531" t="s">
        <v>126</v>
      </c>
      <c r="E221" s="49" t="s">
        <v>49</v>
      </c>
      <c r="F221" s="534" t="str">
        <f>R.14LRAPAImpName1</f>
        <v xml:space="preserve"> </v>
      </c>
      <c r="G221" s="542">
        <f>R.14LRAPADevHrs4</f>
        <v>0</v>
      </c>
      <c r="H221" s="543">
        <f>Table3[[#This Row],[Hrs Rank]]</f>
        <v>0</v>
      </c>
      <c r="I221" s="533">
        <f t="shared" si="22"/>
        <v>0</v>
      </c>
      <c r="J221" s="533">
        <f t="shared" si="23"/>
        <v>0</v>
      </c>
      <c r="K221" s="550"/>
      <c r="L221" s="550"/>
      <c r="M221" s="546" t="s">
        <v>216</v>
      </c>
      <c r="N221" s="546" t="s">
        <v>216</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x14ac:dyDescent="0.2">
      <c r="A222" s="530" t="str">
        <f t="shared" si="20"/>
        <v>AQ</v>
      </c>
      <c r="B222" s="49" t="str">
        <f t="shared" si="21"/>
        <v>GPLMP</v>
      </c>
      <c r="C222" s="49" t="s">
        <v>254</v>
      </c>
      <c r="D222" s="531" t="s">
        <v>126</v>
      </c>
      <c r="E222" s="49" t="s">
        <v>49</v>
      </c>
      <c r="F222" s="534" t="str">
        <f>R.14LRAPAImpName2</f>
        <v xml:space="preserve"> </v>
      </c>
      <c r="G222" s="542">
        <f>R.14LRAPAImpHrs2</f>
        <v>0</v>
      </c>
      <c r="H222" s="543">
        <f>Table3[[#This Row],[Hrs Rank]]</f>
        <v>0</v>
      </c>
      <c r="I222" s="533">
        <f t="shared" si="22"/>
        <v>0</v>
      </c>
      <c r="J222" s="533">
        <f t="shared" si="23"/>
        <v>0</v>
      </c>
      <c r="K222" s="550"/>
      <c r="L222" s="550"/>
      <c r="M222" s="546" t="s">
        <v>216</v>
      </c>
      <c r="N222" s="546" t="s">
        <v>216</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x14ac:dyDescent="0.2">
      <c r="A223" s="530" t="str">
        <f t="shared" ref="A223:A254" si="24">R.1Division</f>
        <v>AQ</v>
      </c>
      <c r="B223" s="49" t="str">
        <f t="shared" ref="B223:B254" si="25">R.1CodeName</f>
        <v>GPLMP</v>
      </c>
      <c r="C223" s="49" t="s">
        <v>254</v>
      </c>
      <c r="D223" s="531" t="s">
        <v>126</v>
      </c>
      <c r="E223" s="49" t="s">
        <v>49</v>
      </c>
      <c r="F223" s="534" t="str">
        <f>R.14LRAPAImpName3</f>
        <v xml:space="preserve"> </v>
      </c>
      <c r="G223" s="542">
        <v>0</v>
      </c>
      <c r="H223" s="543">
        <f>Table3[[#This Row],[Hrs Rank]]</f>
        <v>0</v>
      </c>
      <c r="I223" s="533">
        <f t="shared" si="22"/>
        <v>0</v>
      </c>
      <c r="J223" s="533">
        <f t="shared" si="23"/>
        <v>0</v>
      </c>
      <c r="K223" s="550"/>
      <c r="L223" s="550"/>
      <c r="M223" s="546" t="s">
        <v>216</v>
      </c>
      <c r="N223" s="546" t="s">
        <v>216</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x14ac:dyDescent="0.2">
      <c r="A224" s="530" t="str">
        <f t="shared" si="24"/>
        <v>AQ</v>
      </c>
      <c r="B224" s="49" t="str">
        <f t="shared" si="25"/>
        <v>GPLMP</v>
      </c>
      <c r="C224" s="49" t="s">
        <v>254</v>
      </c>
      <c r="D224" s="531" t="s">
        <v>126</v>
      </c>
      <c r="E224" s="49" t="s">
        <v>49</v>
      </c>
      <c r="F224" s="534" t="str">
        <f>R.14LRAPAImpName4</f>
        <v xml:space="preserve"> </v>
      </c>
      <c r="G224" s="542">
        <f>R.14LRAPAImpHrs4</f>
        <v>0</v>
      </c>
      <c r="H224" s="543">
        <f>Table3[[#This Row],[Hrs Rank]]</f>
        <v>0</v>
      </c>
      <c r="I224" s="533">
        <f t="shared" si="22"/>
        <v>0</v>
      </c>
      <c r="J224" s="533">
        <f t="shared" si="23"/>
        <v>0</v>
      </c>
      <c r="K224" s="550"/>
      <c r="L224" s="550"/>
      <c r="M224" s="546" t="s">
        <v>216</v>
      </c>
      <c r="N224" s="546" t="s">
        <v>216</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x14ac:dyDescent="0.2">
      <c r="A225" s="530" t="str">
        <f t="shared" si="24"/>
        <v>AQ</v>
      </c>
      <c r="B225" s="49" t="str">
        <f t="shared" si="25"/>
        <v>GPLMP</v>
      </c>
      <c r="C225" s="49" t="s">
        <v>254</v>
      </c>
      <c r="D225" s="531" t="s">
        <v>127</v>
      </c>
      <c r="E225" s="49" t="s">
        <v>50</v>
      </c>
      <c r="F225" s="542" t="str">
        <f>R.14EPADevName1</f>
        <v>Lucy Edmondson</v>
      </c>
      <c r="G225" s="542">
        <f>R.14EPADevHrs1</f>
        <v>3</v>
      </c>
      <c r="H225" s="543">
        <f>Table3[[#This Row],[Hrs Rank]]</f>
        <v>3</v>
      </c>
      <c r="I225" s="533">
        <f t="shared" si="22"/>
        <v>40</v>
      </c>
      <c r="J225" s="533">
        <f t="shared" si="23"/>
        <v>80</v>
      </c>
      <c r="K225" s="550"/>
      <c r="L225" s="550"/>
      <c r="M225" s="546" t="s">
        <v>216</v>
      </c>
      <c r="N225" s="546" t="s">
        <v>216</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x14ac:dyDescent="0.2">
      <c r="A226" s="530" t="str">
        <f t="shared" si="24"/>
        <v>AQ</v>
      </c>
      <c r="B226" s="49" t="str">
        <f t="shared" si="25"/>
        <v>GPLMP</v>
      </c>
      <c r="C226" s="49" t="s">
        <v>254</v>
      </c>
      <c r="D226" s="531" t="s">
        <v>127</v>
      </c>
      <c r="E226" s="49" t="s">
        <v>50</v>
      </c>
      <c r="F226" s="542" t="str">
        <f>R.14EPADevName2</f>
        <v xml:space="preserve"> </v>
      </c>
      <c r="G226" s="542">
        <f>R.14EPADevHrs2</f>
        <v>0</v>
      </c>
      <c r="H226" s="543">
        <f>Table3[[#This Row],[Hrs Rank]]</f>
        <v>0</v>
      </c>
      <c r="I226" s="533">
        <f t="shared" si="22"/>
        <v>0</v>
      </c>
      <c r="J226" s="533">
        <f t="shared" si="23"/>
        <v>0</v>
      </c>
      <c r="K226" s="550"/>
      <c r="L226" s="550"/>
      <c r="M226" s="546" t="s">
        <v>216</v>
      </c>
      <c r="N226" s="546" t="s">
        <v>216</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x14ac:dyDescent="0.2">
      <c r="A227" s="530" t="str">
        <f t="shared" si="24"/>
        <v>AQ</v>
      </c>
      <c r="B227" s="49" t="str">
        <f t="shared" si="25"/>
        <v>GPLMP</v>
      </c>
      <c r="C227" s="49" t="s">
        <v>254</v>
      </c>
      <c r="D227" s="531" t="s">
        <v>127</v>
      </c>
      <c r="E227" s="49" t="s">
        <v>50</v>
      </c>
      <c r="F227" s="542" t="str">
        <f>R.14EPADevName3</f>
        <v xml:space="preserve"> </v>
      </c>
      <c r="G227" s="542">
        <f>R.14EPADevHrs3</f>
        <v>0</v>
      </c>
      <c r="H227" s="543">
        <f>Table3[[#This Row],[Hrs Rank]]</f>
        <v>0</v>
      </c>
      <c r="I227" s="533">
        <f t="shared" si="22"/>
        <v>0</v>
      </c>
      <c r="J227" s="533">
        <f t="shared" si="23"/>
        <v>0</v>
      </c>
      <c r="K227" s="550"/>
      <c r="L227" s="550"/>
      <c r="M227" s="546" t="s">
        <v>216</v>
      </c>
      <c r="N227" s="546" t="s">
        <v>216</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x14ac:dyDescent="0.2">
      <c r="A228" s="530" t="str">
        <f t="shared" si="24"/>
        <v>AQ</v>
      </c>
      <c r="B228" s="49" t="str">
        <f t="shared" si="25"/>
        <v>GPLMP</v>
      </c>
      <c r="C228" s="49" t="s">
        <v>254</v>
      </c>
      <c r="D228" s="531" t="s">
        <v>127</v>
      </c>
      <c r="E228" s="49" t="s">
        <v>50</v>
      </c>
      <c r="F228" s="542" t="str">
        <f>R.14EPADevName4</f>
        <v xml:space="preserve"> </v>
      </c>
      <c r="G228" s="542">
        <f>R.14EPADevHrs4</f>
        <v>0</v>
      </c>
      <c r="H228" s="543">
        <f>Table3[[#This Row],[Hrs Rank]]</f>
        <v>0</v>
      </c>
      <c r="I228" s="533">
        <f t="shared" si="22"/>
        <v>0</v>
      </c>
      <c r="J228" s="533">
        <f t="shared" si="23"/>
        <v>0</v>
      </c>
      <c r="K228" s="550"/>
      <c r="L228" s="550"/>
      <c r="M228" s="546" t="s">
        <v>216</v>
      </c>
      <c r="N228" s="546" t="s">
        <v>216</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x14ac:dyDescent="0.2">
      <c r="A229" s="530" t="str">
        <f t="shared" si="24"/>
        <v>AQ</v>
      </c>
      <c r="B229" s="49" t="str">
        <f t="shared" si="25"/>
        <v>GPLMP</v>
      </c>
      <c r="C229" s="49" t="s">
        <v>254</v>
      </c>
      <c r="D229" s="531" t="s">
        <v>127</v>
      </c>
      <c r="E229" s="49" t="s">
        <v>49</v>
      </c>
      <c r="F229" s="542" t="str">
        <f>R.14EPAImpName1</f>
        <v xml:space="preserve"> </v>
      </c>
      <c r="G229" s="542">
        <f>R.14EPAImpHrs1</f>
        <v>0</v>
      </c>
      <c r="H229" s="543">
        <f>Table3[[#This Row],[Hrs Rank]]</f>
        <v>0</v>
      </c>
      <c r="I229" s="533">
        <f t="shared" si="22"/>
        <v>0</v>
      </c>
      <c r="J229" s="533">
        <f t="shared" si="23"/>
        <v>0</v>
      </c>
      <c r="K229" s="550"/>
      <c r="L229" s="550"/>
      <c r="M229" s="546" t="s">
        <v>216</v>
      </c>
      <c r="N229" s="546" t="s">
        <v>216</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x14ac:dyDescent="0.2">
      <c r="A230" s="530" t="str">
        <f t="shared" si="24"/>
        <v>AQ</v>
      </c>
      <c r="B230" s="49" t="str">
        <f t="shared" si="25"/>
        <v>GPLMP</v>
      </c>
      <c r="C230" s="49" t="s">
        <v>254</v>
      </c>
      <c r="D230" s="531" t="s">
        <v>127</v>
      </c>
      <c r="E230" s="49" t="s">
        <v>49</v>
      </c>
      <c r="F230" s="542" t="str">
        <f>R.14EPAImpName2</f>
        <v xml:space="preserve"> </v>
      </c>
      <c r="G230" s="542">
        <f>R.14EPAImpHrs2</f>
        <v>0</v>
      </c>
      <c r="H230" s="543">
        <f>Table3[[#This Row],[Hrs Rank]]</f>
        <v>0</v>
      </c>
      <c r="I230" s="533">
        <f t="shared" si="22"/>
        <v>0</v>
      </c>
      <c r="J230" s="533">
        <f t="shared" si="23"/>
        <v>0</v>
      </c>
      <c r="K230" s="550"/>
      <c r="L230" s="550"/>
      <c r="M230" s="546" t="s">
        <v>216</v>
      </c>
      <c r="N230" s="546" t="s">
        <v>216</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x14ac:dyDescent="0.2">
      <c r="A231" s="530" t="str">
        <f t="shared" si="24"/>
        <v>AQ</v>
      </c>
      <c r="B231" s="49" t="str">
        <f t="shared" si="25"/>
        <v>GPLMP</v>
      </c>
      <c r="C231" s="49" t="s">
        <v>254</v>
      </c>
      <c r="D231" s="531" t="s">
        <v>127</v>
      </c>
      <c r="E231" s="49" t="s">
        <v>49</v>
      </c>
      <c r="F231" s="542" t="str">
        <f>R.14EPAImpName3</f>
        <v xml:space="preserve"> </v>
      </c>
      <c r="G231" s="542">
        <f>R.14EPAImpHrs3</f>
        <v>0</v>
      </c>
      <c r="H231" s="543">
        <f>Table3[[#This Row],[Hrs Rank]]</f>
        <v>0</v>
      </c>
      <c r="I231" s="533">
        <f t="shared" si="22"/>
        <v>0</v>
      </c>
      <c r="J231" s="533">
        <f t="shared" si="23"/>
        <v>0</v>
      </c>
      <c r="K231" s="550"/>
      <c r="L231" s="550"/>
      <c r="M231" s="546" t="s">
        <v>216</v>
      </c>
      <c r="N231" s="546" t="s">
        <v>216</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x14ac:dyDescent="0.2">
      <c r="A232" s="530" t="str">
        <f t="shared" si="24"/>
        <v>AQ</v>
      </c>
      <c r="B232" s="49" t="str">
        <f t="shared" si="25"/>
        <v>GPLMP</v>
      </c>
      <c r="C232" s="49" t="s">
        <v>254</v>
      </c>
      <c r="D232" s="531" t="s">
        <v>127</v>
      </c>
      <c r="E232" s="49" t="s">
        <v>49</v>
      </c>
      <c r="F232" s="534" t="str">
        <f>R.14EPAImpName4</f>
        <v xml:space="preserve"> </v>
      </c>
      <c r="G232" s="542">
        <f>R.14EPAImpHrs4</f>
        <v>0</v>
      </c>
      <c r="H232" s="543">
        <f>Table3[[#This Row],[Hrs Rank]]</f>
        <v>0</v>
      </c>
      <c r="I232" s="533">
        <f t="shared" si="22"/>
        <v>0</v>
      </c>
      <c r="J232" s="533">
        <f t="shared" si="23"/>
        <v>0</v>
      </c>
      <c r="K232" s="550"/>
      <c r="L232" s="550"/>
      <c r="M232" s="546" t="s">
        <v>216</v>
      </c>
      <c r="N232" s="546" t="s">
        <v>216</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x14ac:dyDescent="0.2">
      <c r="A233" s="530" t="str">
        <f t="shared" si="24"/>
        <v>AQ</v>
      </c>
      <c r="B233" s="49" t="str">
        <f t="shared" si="25"/>
        <v>GPLMP</v>
      </c>
      <c r="C233" s="49" t="s">
        <v>254</v>
      </c>
      <c r="D233" s="531" t="s">
        <v>128</v>
      </c>
      <c r="E233" s="49" t="s">
        <v>50</v>
      </c>
      <c r="F233" s="534" t="str">
        <f>R.14MuniDevName1</f>
        <v>Dan Moore</v>
      </c>
      <c r="G233" s="542">
        <f>R.14MuniDevHrs1</f>
        <v>4</v>
      </c>
      <c r="H233" s="543">
        <f>Table3[[#This Row],[Hrs Rank]]</f>
        <v>4</v>
      </c>
      <c r="I233" s="533">
        <f t="shared" si="22"/>
        <v>80</v>
      </c>
      <c r="J233" s="533">
        <f t="shared" si="23"/>
        <v>170</v>
      </c>
      <c r="K233" s="550"/>
      <c r="L233" s="550"/>
      <c r="M233" s="546" t="s">
        <v>216</v>
      </c>
      <c r="N233" s="546" t="s">
        <v>216</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x14ac:dyDescent="0.2">
      <c r="A234" s="530" t="str">
        <f t="shared" si="24"/>
        <v>AQ</v>
      </c>
      <c r="B234" s="49" t="str">
        <f t="shared" si="25"/>
        <v>GPLMP</v>
      </c>
      <c r="C234" s="49" t="s">
        <v>254</v>
      </c>
      <c r="D234" s="531" t="s">
        <v>128</v>
      </c>
      <c r="E234" s="49" t="s">
        <v>50</v>
      </c>
      <c r="F234" s="534" t="str">
        <f>R.14MuniDevName2</f>
        <v xml:space="preserve"> </v>
      </c>
      <c r="G234" s="542">
        <f>R.14MuniDevHrs2</f>
        <v>0</v>
      </c>
      <c r="H234" s="543">
        <f>Table3[[#This Row],[Hrs Rank]]</f>
        <v>0</v>
      </c>
      <c r="I234" s="533">
        <f t="shared" si="22"/>
        <v>0</v>
      </c>
      <c r="J234" s="533">
        <f t="shared" si="23"/>
        <v>0</v>
      </c>
      <c r="K234" s="550"/>
      <c r="L234" s="550"/>
      <c r="M234" s="546" t="s">
        <v>216</v>
      </c>
      <c r="N234" s="546" t="s">
        <v>216</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x14ac:dyDescent="0.2">
      <c r="A235" s="530" t="str">
        <f t="shared" si="24"/>
        <v>AQ</v>
      </c>
      <c r="B235" s="49" t="str">
        <f t="shared" si="25"/>
        <v>GPLMP</v>
      </c>
      <c r="C235" s="49" t="s">
        <v>254</v>
      </c>
      <c r="D235" s="531" t="s">
        <v>128</v>
      </c>
      <c r="E235" s="49" t="s">
        <v>50</v>
      </c>
      <c r="F235" s="534" t="str">
        <f>R.14MuniDevName3</f>
        <v xml:space="preserve"> </v>
      </c>
      <c r="G235" s="542">
        <f>R.14MuniDevHrs3</f>
        <v>0</v>
      </c>
      <c r="H235" s="543">
        <f>Table3[[#This Row],[Hrs Rank]]</f>
        <v>0</v>
      </c>
      <c r="I235" s="533">
        <f t="shared" si="22"/>
        <v>0</v>
      </c>
      <c r="J235" s="533">
        <f t="shared" si="23"/>
        <v>0</v>
      </c>
      <c r="K235" s="550"/>
      <c r="L235" s="550"/>
      <c r="M235" s="546" t="s">
        <v>216</v>
      </c>
      <c r="N235" s="546" t="s">
        <v>216</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x14ac:dyDescent="0.2">
      <c r="A236" s="530" t="str">
        <f t="shared" si="24"/>
        <v>AQ</v>
      </c>
      <c r="B236" s="49" t="str">
        <f t="shared" si="25"/>
        <v>GPLMP</v>
      </c>
      <c r="C236" s="49" t="s">
        <v>254</v>
      </c>
      <c r="D236" s="531" t="s">
        <v>128</v>
      </c>
      <c r="E236" s="49" t="s">
        <v>50</v>
      </c>
      <c r="F236" s="534" t="str">
        <f>R.14MuniDevName4</f>
        <v xml:space="preserve"> </v>
      </c>
      <c r="G236" s="542">
        <f>R.14MuniDevHrs4</f>
        <v>0</v>
      </c>
      <c r="H236" s="543">
        <f>Table3[[#This Row],[Hrs Rank]]</f>
        <v>0</v>
      </c>
      <c r="I236" s="533">
        <f t="shared" si="22"/>
        <v>0</v>
      </c>
      <c r="J236" s="533">
        <f t="shared" si="23"/>
        <v>0</v>
      </c>
      <c r="K236" s="550"/>
      <c r="L236" s="550"/>
      <c r="M236" s="546" t="s">
        <v>216</v>
      </c>
      <c r="N236" s="546" t="s">
        <v>216</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x14ac:dyDescent="0.2">
      <c r="A237" s="530" t="str">
        <f t="shared" si="24"/>
        <v>AQ</v>
      </c>
      <c r="B237" s="49" t="str">
        <f t="shared" si="25"/>
        <v>GPLMP</v>
      </c>
      <c r="C237" s="49" t="s">
        <v>254</v>
      </c>
      <c r="D237" s="531" t="s">
        <v>128</v>
      </c>
      <c r="E237" s="49" t="s">
        <v>49</v>
      </c>
      <c r="F237" s="534" t="str">
        <f>R.14MuniImpName1</f>
        <v xml:space="preserve"> </v>
      </c>
      <c r="G237" s="542">
        <f>R.14MuniImpHrs1</f>
        <v>0</v>
      </c>
      <c r="H237" s="543">
        <f>Table3[[#This Row],[Hrs Rank]]</f>
        <v>0</v>
      </c>
      <c r="I237" s="533">
        <f t="shared" si="22"/>
        <v>0</v>
      </c>
      <c r="J237" s="533">
        <f t="shared" si="23"/>
        <v>0</v>
      </c>
      <c r="K237" s="550"/>
      <c r="L237" s="550"/>
      <c r="M237" s="546" t="s">
        <v>216</v>
      </c>
      <c r="N237" s="546" t="s">
        <v>216</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x14ac:dyDescent="0.2">
      <c r="A238" s="530" t="str">
        <f t="shared" si="24"/>
        <v>AQ</v>
      </c>
      <c r="B238" s="49" t="str">
        <f t="shared" si="25"/>
        <v>GPLMP</v>
      </c>
      <c r="C238" s="49" t="s">
        <v>254</v>
      </c>
      <c r="D238" s="531" t="s">
        <v>128</v>
      </c>
      <c r="E238" s="49" t="s">
        <v>49</v>
      </c>
      <c r="F238" s="534" t="str">
        <f>R.14MuniImpName2</f>
        <v xml:space="preserve"> </v>
      </c>
      <c r="G238" s="542">
        <f>R.14MuniImpHrs2</f>
        <v>0</v>
      </c>
      <c r="H238" s="543">
        <f>Table3[[#This Row],[Hrs Rank]]</f>
        <v>0</v>
      </c>
      <c r="I238" s="533">
        <f t="shared" si="22"/>
        <v>0</v>
      </c>
      <c r="J238" s="533">
        <f t="shared" si="23"/>
        <v>0</v>
      </c>
      <c r="K238" s="550"/>
      <c r="L238" s="550"/>
      <c r="M238" s="546" t="s">
        <v>216</v>
      </c>
      <c r="N238" s="546" t="s">
        <v>216</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x14ac:dyDescent="0.2">
      <c r="A239" s="530" t="str">
        <f t="shared" si="24"/>
        <v>AQ</v>
      </c>
      <c r="B239" s="49" t="str">
        <f t="shared" si="25"/>
        <v>GPLMP</v>
      </c>
      <c r="C239" s="49" t="s">
        <v>254</v>
      </c>
      <c r="D239" s="531" t="s">
        <v>128</v>
      </c>
      <c r="E239" s="49" t="s">
        <v>49</v>
      </c>
      <c r="F239" s="534" t="str">
        <f>R.14MuniImpName3</f>
        <v xml:space="preserve"> </v>
      </c>
      <c r="G239" s="542">
        <f>R.14MuniImpHrs3</f>
        <v>0</v>
      </c>
      <c r="H239" s="543">
        <f>Table3[[#This Row],[Hrs Rank]]</f>
        <v>0</v>
      </c>
      <c r="I239" s="533">
        <f t="shared" si="22"/>
        <v>0</v>
      </c>
      <c r="J239" s="533">
        <f t="shared" si="23"/>
        <v>0</v>
      </c>
      <c r="K239" s="550"/>
      <c r="L239" s="550"/>
      <c r="M239" s="546" t="s">
        <v>216</v>
      </c>
      <c r="N239" s="546" t="s">
        <v>216</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x14ac:dyDescent="0.2">
      <c r="A240" s="530" t="str">
        <f t="shared" si="24"/>
        <v>AQ</v>
      </c>
      <c r="B240" s="49" t="str">
        <f t="shared" si="25"/>
        <v>GPLMP</v>
      </c>
      <c r="C240" s="49" t="s">
        <v>254</v>
      </c>
      <c r="D240" s="531" t="s">
        <v>128</v>
      </c>
      <c r="E240" s="49" t="s">
        <v>49</v>
      </c>
      <c r="F240" s="534" t="str">
        <f>R.14MuniImpName4</f>
        <v xml:space="preserve"> </v>
      </c>
      <c r="G240" s="542">
        <f>R.14MuniImpHrs4</f>
        <v>0</v>
      </c>
      <c r="H240" s="543">
        <f>Table3[[#This Row],[Hrs Rank]]</f>
        <v>0</v>
      </c>
      <c r="I240" s="533">
        <f t="shared" si="22"/>
        <v>0</v>
      </c>
      <c r="J240" s="533">
        <f t="shared" si="23"/>
        <v>0</v>
      </c>
      <c r="K240" s="550"/>
      <c r="L240" s="550"/>
      <c r="M240" s="546" t="s">
        <v>216</v>
      </c>
      <c r="N240" s="546" t="s">
        <v>216</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x14ac:dyDescent="0.2">
      <c r="A241" s="530" t="str">
        <f t="shared" si="24"/>
        <v>AQ</v>
      </c>
      <c r="B241" s="49" t="str">
        <f t="shared" si="25"/>
        <v>GPLMP</v>
      </c>
      <c r="C241" s="49" t="s">
        <v>254</v>
      </c>
      <c r="D241" s="531" t="s">
        <v>129</v>
      </c>
      <c r="E241" s="49" t="s">
        <v>50</v>
      </c>
      <c r="F241" s="534">
        <f>R.14CountyDevName1</f>
        <v>0</v>
      </c>
      <c r="G241" s="542">
        <f>R.14CountyDevHrs1</f>
        <v>0</v>
      </c>
      <c r="H241" s="543">
        <f>Table3[[#This Row],[Hrs Rank]]</f>
        <v>0</v>
      </c>
      <c r="I241" s="533">
        <f t="shared" si="22"/>
        <v>0</v>
      </c>
      <c r="J241" s="533">
        <f t="shared" si="23"/>
        <v>0</v>
      </c>
      <c r="K241" s="550"/>
      <c r="L241" s="550"/>
      <c r="M241" s="546" t="s">
        <v>216</v>
      </c>
      <c r="N241" s="546" t="s">
        <v>216</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x14ac:dyDescent="0.2">
      <c r="A242" s="530" t="str">
        <f t="shared" si="24"/>
        <v>AQ</v>
      </c>
      <c r="B242" s="49" t="str">
        <f t="shared" si="25"/>
        <v>GPLMP</v>
      </c>
      <c r="C242" s="49" t="s">
        <v>254</v>
      </c>
      <c r="D242" s="531" t="s">
        <v>129</v>
      </c>
      <c r="E242" s="49" t="s">
        <v>50</v>
      </c>
      <c r="F242" s="534" t="str">
        <f>R.14CountyDevName2</f>
        <v xml:space="preserve"> </v>
      </c>
      <c r="G242" s="542">
        <f>R.14CountyDevHrs2</f>
        <v>0</v>
      </c>
      <c r="H242" s="543">
        <f>Table3[[#This Row],[Hrs Rank]]</f>
        <v>0</v>
      </c>
      <c r="I242" s="533">
        <f t="shared" si="22"/>
        <v>0</v>
      </c>
      <c r="J242" s="533">
        <f t="shared" si="23"/>
        <v>0</v>
      </c>
      <c r="K242" s="550"/>
      <c r="L242" s="550"/>
      <c r="M242" s="546" t="s">
        <v>216</v>
      </c>
      <c r="N242" s="546" t="s">
        <v>216</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x14ac:dyDescent="0.2">
      <c r="A243" s="530" t="str">
        <f t="shared" si="24"/>
        <v>AQ</v>
      </c>
      <c r="B243" s="49" t="str">
        <f t="shared" si="25"/>
        <v>GPLMP</v>
      </c>
      <c r="C243" s="49" t="s">
        <v>254</v>
      </c>
      <c r="D243" s="531" t="s">
        <v>129</v>
      </c>
      <c r="E243" s="49" t="s">
        <v>50</v>
      </c>
      <c r="F243" s="534" t="str">
        <f>R.14CountyDevName3</f>
        <v xml:space="preserve"> </v>
      </c>
      <c r="G243" s="542">
        <f>R.14CountyDevHrs3</f>
        <v>0</v>
      </c>
      <c r="H243" s="543">
        <f>Table3[[#This Row],[Hrs Rank]]</f>
        <v>0</v>
      </c>
      <c r="I243" s="533">
        <f t="shared" si="22"/>
        <v>0</v>
      </c>
      <c r="J243" s="533">
        <f t="shared" si="23"/>
        <v>0</v>
      </c>
      <c r="K243" s="550"/>
      <c r="L243" s="550"/>
      <c r="M243" s="546" t="s">
        <v>216</v>
      </c>
      <c r="N243" s="546" t="s">
        <v>216</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x14ac:dyDescent="0.2">
      <c r="A244" s="530" t="str">
        <f t="shared" si="24"/>
        <v>AQ</v>
      </c>
      <c r="B244" s="49" t="str">
        <f t="shared" si="25"/>
        <v>GPLMP</v>
      </c>
      <c r="C244" s="49" t="s">
        <v>254</v>
      </c>
      <c r="D244" s="531" t="s">
        <v>129</v>
      </c>
      <c r="E244" s="49" t="s">
        <v>50</v>
      </c>
      <c r="F244" s="534" t="str">
        <f>R.14CountyDevName4</f>
        <v xml:space="preserve"> </v>
      </c>
      <c r="G244" s="542">
        <f>R.14CountyDevHrs4</f>
        <v>0</v>
      </c>
      <c r="H244" s="543">
        <f>Table3[[#This Row],[Hrs Rank]]</f>
        <v>0</v>
      </c>
      <c r="I244" s="533">
        <f t="shared" si="22"/>
        <v>0</v>
      </c>
      <c r="J244" s="533">
        <f t="shared" si="23"/>
        <v>0</v>
      </c>
      <c r="K244" s="550"/>
      <c r="L244" s="550"/>
      <c r="M244" s="546" t="s">
        <v>216</v>
      </c>
      <c r="N244" s="546" t="s">
        <v>216</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x14ac:dyDescent="0.2">
      <c r="A245" s="530" t="str">
        <f t="shared" si="24"/>
        <v>AQ</v>
      </c>
      <c r="B245" s="49" t="str">
        <f t="shared" si="25"/>
        <v>GPLMP</v>
      </c>
      <c r="C245" s="49" t="s">
        <v>254</v>
      </c>
      <c r="D245" s="531" t="s">
        <v>129</v>
      </c>
      <c r="E245" s="49" t="s">
        <v>49</v>
      </c>
      <c r="F245" s="534">
        <f>R.14CountyImpName1</f>
        <v>0</v>
      </c>
      <c r="G245" s="542">
        <f>R.14CountyImpHrs1</f>
        <v>0</v>
      </c>
      <c r="H245" s="543">
        <f>Table3[[#This Row],[Hrs Rank]]</f>
        <v>0</v>
      </c>
      <c r="I245" s="533">
        <f t="shared" si="22"/>
        <v>0</v>
      </c>
      <c r="J245" s="533">
        <f t="shared" si="23"/>
        <v>0</v>
      </c>
      <c r="K245" s="550"/>
      <c r="L245" s="550"/>
      <c r="M245" s="546" t="s">
        <v>216</v>
      </c>
      <c r="N245" s="546" t="s">
        <v>216</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x14ac:dyDescent="0.2">
      <c r="A246" s="530" t="str">
        <f t="shared" si="24"/>
        <v>AQ</v>
      </c>
      <c r="B246" s="49" t="str">
        <f t="shared" si="25"/>
        <v>GPLMP</v>
      </c>
      <c r="C246" s="49" t="s">
        <v>254</v>
      </c>
      <c r="D246" s="531" t="s">
        <v>129</v>
      </c>
      <c r="E246" s="49" t="s">
        <v>49</v>
      </c>
      <c r="F246" s="534" t="str">
        <f>R.14CountyImpName2</f>
        <v xml:space="preserve"> </v>
      </c>
      <c r="G246" s="542">
        <f>R.14CountyImpHrs2</f>
        <v>0</v>
      </c>
      <c r="H246" s="543">
        <f>Table3[[#This Row],[Hrs Rank]]</f>
        <v>0</v>
      </c>
      <c r="I246" s="533">
        <f t="shared" si="22"/>
        <v>0</v>
      </c>
      <c r="J246" s="533">
        <f t="shared" si="23"/>
        <v>0</v>
      </c>
      <c r="K246" s="550"/>
      <c r="L246" s="550"/>
      <c r="M246" s="546" t="s">
        <v>216</v>
      </c>
      <c r="N246" s="546" t="s">
        <v>216</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x14ac:dyDescent="0.2">
      <c r="A247" s="530" t="str">
        <f t="shared" si="24"/>
        <v>AQ</v>
      </c>
      <c r="B247" s="49" t="str">
        <f t="shared" si="25"/>
        <v>GPLMP</v>
      </c>
      <c r="C247" s="49" t="s">
        <v>254</v>
      </c>
      <c r="D247" s="531" t="s">
        <v>129</v>
      </c>
      <c r="E247" s="49" t="s">
        <v>49</v>
      </c>
      <c r="F247" s="534" t="str">
        <f>R.14CountyImpName3</f>
        <v xml:space="preserve"> </v>
      </c>
      <c r="G247" s="542">
        <f>R.14CountyImpHrs3</f>
        <v>0</v>
      </c>
      <c r="H247" s="543">
        <f>Table3[[#This Row],[Hrs Rank]]</f>
        <v>0</v>
      </c>
      <c r="I247" s="533">
        <f t="shared" si="22"/>
        <v>0</v>
      </c>
      <c r="J247" s="533">
        <f t="shared" si="23"/>
        <v>0</v>
      </c>
      <c r="K247" s="550"/>
      <c r="L247" s="550"/>
      <c r="M247" s="546" t="s">
        <v>216</v>
      </c>
      <c r="N247" s="546" t="s">
        <v>216</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x14ac:dyDescent="0.2">
      <c r="A248" s="530" t="str">
        <f t="shared" si="24"/>
        <v>AQ</v>
      </c>
      <c r="B248" s="49" t="str">
        <f t="shared" si="25"/>
        <v>GPLMP</v>
      </c>
      <c r="C248" s="49" t="s">
        <v>254</v>
      </c>
      <c r="D248" s="531" t="s">
        <v>129</v>
      </c>
      <c r="E248" s="49" t="s">
        <v>49</v>
      </c>
      <c r="F248" s="534" t="str">
        <f>R.14CountyImpName4</f>
        <v xml:space="preserve"> </v>
      </c>
      <c r="G248" s="542">
        <f>R.14CountyImpHrs4</f>
        <v>0</v>
      </c>
      <c r="H248" s="543">
        <f>Table3[[#This Row],[Hrs Rank]]</f>
        <v>0</v>
      </c>
      <c r="I248" s="533">
        <f t="shared" si="22"/>
        <v>0</v>
      </c>
      <c r="J248" s="533">
        <f t="shared" si="23"/>
        <v>0</v>
      </c>
      <c r="K248" s="550"/>
      <c r="L248" s="550"/>
      <c r="M248" s="546" t="s">
        <v>216</v>
      </c>
      <c r="N248" s="546" t="s">
        <v>216</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x14ac:dyDescent="0.2">
      <c r="A249" s="530" t="str">
        <f t="shared" si="24"/>
        <v>AQ</v>
      </c>
      <c r="B249" s="49" t="str">
        <f t="shared" si="25"/>
        <v>GPLMP</v>
      </c>
      <c r="C249" s="49" t="s">
        <v>254</v>
      </c>
      <c r="D249" s="531" t="s">
        <v>130</v>
      </c>
      <c r="E249" s="49" t="s">
        <v>50</v>
      </c>
      <c r="F249" s="534">
        <f>R.14DistrictsDevName1</f>
        <v>0</v>
      </c>
      <c r="G249" s="542">
        <f>R.14DistrictsDevHrs1</f>
        <v>0</v>
      </c>
      <c r="H249" s="543">
        <f>Table3[[#This Row],[Hrs Rank]]</f>
        <v>0</v>
      </c>
      <c r="I249" s="533">
        <f t="shared" si="22"/>
        <v>0</v>
      </c>
      <c r="J249" s="533">
        <f t="shared" si="23"/>
        <v>0</v>
      </c>
      <c r="K249" s="550"/>
      <c r="L249" s="550"/>
      <c r="M249" s="546" t="s">
        <v>216</v>
      </c>
      <c r="N249" s="546" t="s">
        <v>216</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x14ac:dyDescent="0.2">
      <c r="A250" s="530" t="str">
        <f t="shared" si="24"/>
        <v>AQ</v>
      </c>
      <c r="B250" s="49" t="str">
        <f t="shared" si="25"/>
        <v>GPLMP</v>
      </c>
      <c r="C250" s="49" t="s">
        <v>254</v>
      </c>
      <c r="D250" s="531" t="s">
        <v>130</v>
      </c>
      <c r="E250" s="49" t="s">
        <v>50</v>
      </c>
      <c r="F250" s="534" t="str">
        <f>R.14DistrictsDevName2</f>
        <v xml:space="preserve"> </v>
      </c>
      <c r="G250" s="542">
        <f>R.14DistrictsDevHrs2</f>
        <v>0</v>
      </c>
      <c r="H250" s="543">
        <f>Table3[[#This Row],[Hrs Rank]]</f>
        <v>0</v>
      </c>
      <c r="I250" s="533">
        <f t="shared" si="22"/>
        <v>0</v>
      </c>
      <c r="J250" s="533">
        <f t="shared" si="23"/>
        <v>0</v>
      </c>
      <c r="K250" s="550"/>
      <c r="L250" s="550"/>
      <c r="M250" s="546" t="s">
        <v>216</v>
      </c>
      <c r="N250" s="546" t="s">
        <v>216</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x14ac:dyDescent="0.2">
      <c r="A251" s="530" t="str">
        <f t="shared" si="24"/>
        <v>AQ</v>
      </c>
      <c r="B251" s="49" t="str">
        <f t="shared" si="25"/>
        <v>GPLMP</v>
      </c>
      <c r="C251" s="49" t="s">
        <v>254</v>
      </c>
      <c r="D251" s="531" t="s">
        <v>130</v>
      </c>
      <c r="E251" s="49" t="s">
        <v>50</v>
      </c>
      <c r="F251" s="534" t="str">
        <f>R.14DistrictsDevName3</f>
        <v xml:space="preserve"> </v>
      </c>
      <c r="G251" s="542">
        <f>R.14DistrictsDevHrs3</f>
        <v>0</v>
      </c>
      <c r="H251" s="543">
        <f>Table3[[#This Row],[Hrs Rank]]</f>
        <v>0</v>
      </c>
      <c r="I251" s="533">
        <f t="shared" si="22"/>
        <v>0</v>
      </c>
      <c r="J251" s="533">
        <f t="shared" si="23"/>
        <v>0</v>
      </c>
      <c r="K251" s="550"/>
      <c r="L251" s="550"/>
      <c r="M251" s="546" t="s">
        <v>216</v>
      </c>
      <c r="N251" s="546" t="s">
        <v>216</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x14ac:dyDescent="0.2">
      <c r="A252" s="530" t="str">
        <f t="shared" si="24"/>
        <v>AQ</v>
      </c>
      <c r="B252" s="49" t="str">
        <f t="shared" si="25"/>
        <v>GPLMP</v>
      </c>
      <c r="C252" s="49" t="s">
        <v>254</v>
      </c>
      <c r="D252" s="531" t="s">
        <v>130</v>
      </c>
      <c r="E252" s="49" t="s">
        <v>50</v>
      </c>
      <c r="F252" s="534" t="str">
        <f>R.14DistrictsDevName4</f>
        <v xml:space="preserve"> </v>
      </c>
      <c r="G252" s="542">
        <f>R.14DistrictsDevHrs4</f>
        <v>0</v>
      </c>
      <c r="H252" s="543">
        <f>Table3[[#This Row],[Hrs Rank]]</f>
        <v>0</v>
      </c>
      <c r="I252" s="533">
        <f t="shared" si="22"/>
        <v>0</v>
      </c>
      <c r="J252" s="533">
        <f t="shared" si="23"/>
        <v>0</v>
      </c>
      <c r="K252" s="550"/>
      <c r="L252" s="550"/>
      <c r="M252" s="546" t="s">
        <v>216</v>
      </c>
      <c r="N252" s="546" t="s">
        <v>216</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x14ac:dyDescent="0.2">
      <c r="A253" s="530" t="str">
        <f t="shared" si="24"/>
        <v>AQ</v>
      </c>
      <c r="B253" s="49" t="str">
        <f t="shared" si="25"/>
        <v>GPLMP</v>
      </c>
      <c r="C253" s="49" t="s">
        <v>254</v>
      </c>
      <c r="D253" s="531" t="s">
        <v>130</v>
      </c>
      <c r="E253" s="49" t="s">
        <v>49</v>
      </c>
      <c r="F253" s="534">
        <f>R.14DistrictsImpName1</f>
        <v>0</v>
      </c>
      <c r="G253" s="542">
        <f>R.14DistrictsImpHrs1</f>
        <v>0</v>
      </c>
      <c r="H253" s="543">
        <f>Table3[[#This Row],[Hrs Rank]]</f>
        <v>0</v>
      </c>
      <c r="I253" s="533">
        <f t="shared" si="22"/>
        <v>0</v>
      </c>
      <c r="J253" s="533">
        <f t="shared" si="23"/>
        <v>0</v>
      </c>
      <c r="K253" s="550"/>
      <c r="L253" s="550"/>
      <c r="M253" s="546" t="s">
        <v>216</v>
      </c>
      <c r="N253" s="546" t="s">
        <v>216</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x14ac:dyDescent="0.2">
      <c r="A254" s="530" t="str">
        <f t="shared" si="24"/>
        <v>AQ</v>
      </c>
      <c r="B254" s="49" t="str">
        <f t="shared" si="25"/>
        <v>GPLMP</v>
      </c>
      <c r="C254" s="49" t="s">
        <v>254</v>
      </c>
      <c r="D254" s="531" t="s">
        <v>130</v>
      </c>
      <c r="E254" s="49" t="s">
        <v>49</v>
      </c>
      <c r="F254" s="534" t="str">
        <f>R.14DistrictsImpName2</f>
        <v xml:space="preserve"> </v>
      </c>
      <c r="G254" s="542">
        <f>R.14DistrictsImpHrs2</f>
        <v>0</v>
      </c>
      <c r="H254" s="543">
        <f>Table3[[#This Row],[Hrs Rank]]</f>
        <v>0</v>
      </c>
      <c r="I254" s="533">
        <f t="shared" si="22"/>
        <v>0</v>
      </c>
      <c r="J254" s="533">
        <f t="shared" si="23"/>
        <v>0</v>
      </c>
      <c r="K254" s="550"/>
      <c r="L254" s="550"/>
      <c r="M254" s="546" t="s">
        <v>216</v>
      </c>
      <c r="N254" s="546" t="s">
        <v>216</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x14ac:dyDescent="0.2">
      <c r="A255" s="530" t="str">
        <f t="shared" ref="A255:A286" si="26">R.1Division</f>
        <v>AQ</v>
      </c>
      <c r="B255" s="49" t="str">
        <f t="shared" ref="B255:B286" si="27">R.1CodeName</f>
        <v>GPLMP</v>
      </c>
      <c r="C255" s="49" t="s">
        <v>254</v>
      </c>
      <c r="D255" s="531" t="s">
        <v>130</v>
      </c>
      <c r="E255" s="49" t="s">
        <v>49</v>
      </c>
      <c r="F255" s="534" t="str">
        <f>R.14DistrictsImpName3</f>
        <v xml:space="preserve"> </v>
      </c>
      <c r="G255" s="542">
        <f>R.14DistrictsImpHrs3</f>
        <v>0</v>
      </c>
      <c r="H255" s="543">
        <f>Table3[[#This Row],[Hrs Rank]]</f>
        <v>0</v>
      </c>
      <c r="I255" s="533">
        <f t="shared" si="22"/>
        <v>0</v>
      </c>
      <c r="J255" s="533">
        <f t="shared" si="23"/>
        <v>0</v>
      </c>
      <c r="K255" s="550"/>
      <c r="L255" s="550"/>
      <c r="M255" s="546" t="s">
        <v>216</v>
      </c>
      <c r="N255" s="546" t="s">
        <v>216</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x14ac:dyDescent="0.2">
      <c r="A256" s="530" t="str">
        <f t="shared" si="26"/>
        <v>AQ</v>
      </c>
      <c r="B256" s="49" t="str">
        <f t="shared" si="27"/>
        <v>GPLMP</v>
      </c>
      <c r="C256" s="49" t="s">
        <v>254</v>
      </c>
      <c r="D256" s="531" t="s">
        <v>130</v>
      </c>
      <c r="E256" s="49" t="s">
        <v>49</v>
      </c>
      <c r="F256" s="534" t="str">
        <f>R.14DistrictsImpName4</f>
        <v xml:space="preserve"> </v>
      </c>
      <c r="G256" s="542">
        <f>R.14DistrictsImpHrs4</f>
        <v>0</v>
      </c>
      <c r="H256" s="543">
        <f>Table3[[#This Row],[Hrs Rank]]</f>
        <v>0</v>
      </c>
      <c r="I256" s="533">
        <f t="shared" si="22"/>
        <v>0</v>
      </c>
      <c r="J256" s="533">
        <f t="shared" si="23"/>
        <v>0</v>
      </c>
      <c r="K256" s="550"/>
      <c r="L256" s="550"/>
      <c r="M256" s="546" t="s">
        <v>216</v>
      </c>
      <c r="N256" s="546" t="s">
        <v>216</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x14ac:dyDescent="0.2">
      <c r="A257" s="530" t="str">
        <f t="shared" si="26"/>
        <v>AQ</v>
      </c>
      <c r="B257" s="49" t="str">
        <f t="shared" si="27"/>
        <v>GPLMP</v>
      </c>
      <c r="C257" s="49" t="s">
        <v>254</v>
      </c>
      <c r="D257" s="531" t="s">
        <v>263</v>
      </c>
      <c r="E257" s="49" t="s">
        <v>50</v>
      </c>
      <c r="F257" s="534" t="str">
        <f>R.14TribeDevName1</f>
        <v>Christine Svetkovich</v>
      </c>
      <c r="G257" s="542">
        <f>R.14TribeDevHrs1</f>
        <v>0</v>
      </c>
      <c r="H257" s="543">
        <f>Table3[[#This Row],[Hrs Rank]]</f>
        <v>0</v>
      </c>
      <c r="I257" s="533">
        <f t="shared" si="22"/>
        <v>0</v>
      </c>
      <c r="J257" s="533">
        <f t="shared" si="23"/>
        <v>0</v>
      </c>
      <c r="K257" s="550"/>
      <c r="L257" s="550"/>
      <c r="M257" s="546" t="s">
        <v>216</v>
      </c>
      <c r="N257" s="546" t="s">
        <v>216</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x14ac:dyDescent="0.2">
      <c r="A258" s="530" t="str">
        <f t="shared" si="26"/>
        <v>AQ</v>
      </c>
      <c r="B258" s="49" t="str">
        <f t="shared" si="27"/>
        <v>GPLMP</v>
      </c>
      <c r="C258" s="49" t="s">
        <v>254</v>
      </c>
      <c r="D258" s="531" t="s">
        <v>263</v>
      </c>
      <c r="E258" s="49" t="s">
        <v>50</v>
      </c>
      <c r="F258" s="534" t="str">
        <f>R.14TribeDevName2</f>
        <v xml:space="preserve"> </v>
      </c>
      <c r="G258" s="542">
        <f>R.14TribeDevHrs2</f>
        <v>0</v>
      </c>
      <c r="H258" s="543">
        <f>Table3[[#This Row],[Hrs Rank]]</f>
        <v>0</v>
      </c>
      <c r="I258" s="533">
        <f t="shared" si="22"/>
        <v>0</v>
      </c>
      <c r="J258" s="533">
        <f t="shared" si="23"/>
        <v>0</v>
      </c>
      <c r="K258" s="550"/>
      <c r="L258" s="550"/>
      <c r="M258" s="546" t="s">
        <v>216</v>
      </c>
      <c r="N258" s="546" t="s">
        <v>216</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x14ac:dyDescent="0.2">
      <c r="A259" s="530" t="str">
        <f t="shared" si="26"/>
        <v>AQ</v>
      </c>
      <c r="B259" s="49" t="str">
        <f t="shared" si="27"/>
        <v>GPLMP</v>
      </c>
      <c r="C259" s="49" t="s">
        <v>254</v>
      </c>
      <c r="D259" s="531" t="s">
        <v>263</v>
      </c>
      <c r="E259" s="49" t="s">
        <v>50</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216</v>
      </c>
      <c r="N259" s="546" t="s">
        <v>216</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x14ac:dyDescent="0.2">
      <c r="A260" s="530" t="str">
        <f t="shared" si="26"/>
        <v>AQ</v>
      </c>
      <c r="B260" s="49" t="str">
        <f t="shared" si="27"/>
        <v>GPLMP</v>
      </c>
      <c r="C260" s="49" t="s">
        <v>254</v>
      </c>
      <c r="D260" s="531" t="s">
        <v>263</v>
      </c>
      <c r="E260" s="49" t="s">
        <v>50</v>
      </c>
      <c r="F260" s="534" t="str">
        <f>R.14TribeDevName4</f>
        <v xml:space="preserve"> </v>
      </c>
      <c r="G260" s="542">
        <f>R.14TribeDevHrs4</f>
        <v>0</v>
      </c>
      <c r="H260" s="543">
        <f>Table3[[#This Row],[Hrs Rank]]</f>
        <v>0</v>
      </c>
      <c r="I260" s="533">
        <f t="shared" si="28"/>
        <v>0</v>
      </c>
      <c r="J260" s="533">
        <f t="shared" si="29"/>
        <v>0</v>
      </c>
      <c r="K260" s="550"/>
      <c r="L260" s="550"/>
      <c r="M260" s="546" t="s">
        <v>216</v>
      </c>
      <c r="N260" s="546" t="s">
        <v>216</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x14ac:dyDescent="0.2">
      <c r="A261" s="530" t="str">
        <f t="shared" si="26"/>
        <v>AQ</v>
      </c>
      <c r="B261" s="49" t="str">
        <f t="shared" si="27"/>
        <v>GPLMP</v>
      </c>
      <c r="C261" s="49" t="s">
        <v>254</v>
      </c>
      <c r="D261" s="531" t="s">
        <v>263</v>
      </c>
      <c r="E261" s="49" t="s">
        <v>49</v>
      </c>
      <c r="F261" s="534">
        <f>R.14TribeImpName1</f>
        <v>0</v>
      </c>
      <c r="G261" s="542">
        <f>R.14TribeImpHrs1</f>
        <v>0</v>
      </c>
      <c r="H261" s="543">
        <f>Table3[[#This Row],[Hrs Rank]]</f>
        <v>0</v>
      </c>
      <c r="I261" s="533">
        <f t="shared" si="28"/>
        <v>0</v>
      </c>
      <c r="J261" s="533">
        <f t="shared" si="29"/>
        <v>0</v>
      </c>
      <c r="K261" s="550"/>
      <c r="L261" s="550"/>
      <c r="M261" s="546" t="s">
        <v>216</v>
      </c>
      <c r="N261" s="546" t="s">
        <v>216</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x14ac:dyDescent="0.2">
      <c r="A262" s="530" t="str">
        <f t="shared" si="26"/>
        <v>AQ</v>
      </c>
      <c r="B262" s="49" t="str">
        <f t="shared" si="27"/>
        <v>GPLMP</v>
      </c>
      <c r="C262" s="49" t="s">
        <v>254</v>
      </c>
      <c r="D262" s="531" t="s">
        <v>263</v>
      </c>
      <c r="E262" s="49" t="s">
        <v>49</v>
      </c>
      <c r="F262" s="534" t="str">
        <f>R.14TribeImpName2</f>
        <v xml:space="preserve"> </v>
      </c>
      <c r="G262" s="542">
        <f>R.14TribeImpHrs2</f>
        <v>0</v>
      </c>
      <c r="H262" s="543">
        <f>Table3[[#This Row],[Hrs Rank]]</f>
        <v>0</v>
      </c>
      <c r="I262" s="533">
        <f t="shared" si="28"/>
        <v>0</v>
      </c>
      <c r="J262" s="533">
        <f t="shared" si="29"/>
        <v>0</v>
      </c>
      <c r="K262" s="550"/>
      <c r="L262" s="550"/>
      <c r="M262" s="546" t="s">
        <v>216</v>
      </c>
      <c r="N262" s="546" t="s">
        <v>216</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x14ac:dyDescent="0.2">
      <c r="A263" s="530" t="str">
        <f t="shared" si="26"/>
        <v>AQ</v>
      </c>
      <c r="B263" s="49" t="str">
        <f t="shared" si="27"/>
        <v>GPLMP</v>
      </c>
      <c r="C263" s="49" t="s">
        <v>254</v>
      </c>
      <c r="D263" s="531" t="s">
        <v>263</v>
      </c>
      <c r="E263" s="49" t="s">
        <v>49</v>
      </c>
      <c r="F263" s="534" t="str">
        <f>R.14TribeImpName3</f>
        <v xml:space="preserve"> </v>
      </c>
      <c r="G263" s="542">
        <f>R.14TribeImpHrs3</f>
        <v>0</v>
      </c>
      <c r="H263" s="543">
        <f>Table3[[#This Row],[Hrs Rank]]</f>
        <v>0</v>
      </c>
      <c r="I263" s="533">
        <f t="shared" si="28"/>
        <v>0</v>
      </c>
      <c r="J263" s="533">
        <f t="shared" si="29"/>
        <v>0</v>
      </c>
      <c r="K263" s="550"/>
      <c r="L263" s="550"/>
      <c r="M263" s="546" t="s">
        <v>216</v>
      </c>
      <c r="N263" s="546" t="s">
        <v>216</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x14ac:dyDescent="0.2">
      <c r="A264" s="530" t="str">
        <f t="shared" si="26"/>
        <v>AQ</v>
      </c>
      <c r="B264" s="49" t="str">
        <f t="shared" si="27"/>
        <v>GPLMP</v>
      </c>
      <c r="C264" s="49" t="s">
        <v>254</v>
      </c>
      <c r="D264" s="531" t="s">
        <v>263</v>
      </c>
      <c r="E264" s="49" t="s">
        <v>49</v>
      </c>
      <c r="F264" s="534" t="str">
        <f>R.14TribeImpName4</f>
        <v xml:space="preserve"> </v>
      </c>
      <c r="G264" s="542">
        <f>R.14TribeImpHrs4</f>
        <v>0</v>
      </c>
      <c r="H264" s="543">
        <f>Table3[[#This Row],[Hrs Rank]]</f>
        <v>0</v>
      </c>
      <c r="I264" s="533">
        <f t="shared" si="28"/>
        <v>0</v>
      </c>
      <c r="J264" s="533">
        <f t="shared" si="29"/>
        <v>0</v>
      </c>
      <c r="K264" s="550"/>
      <c r="L264" s="550"/>
      <c r="M264" s="546" t="s">
        <v>216</v>
      </c>
      <c r="N264" s="546" t="s">
        <v>216</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x14ac:dyDescent="0.2">
      <c r="A265" s="530" t="str">
        <f t="shared" si="26"/>
        <v>AQ</v>
      </c>
      <c r="B265" s="49" t="str">
        <f t="shared" si="27"/>
        <v>GPLMP</v>
      </c>
      <c r="C265" s="49" t="s">
        <v>255</v>
      </c>
      <c r="D265" s="531" t="str">
        <f>'15CustomParticipants'!D$9</f>
        <v>Enter custom role 1</v>
      </c>
      <c r="E265" s="49" t="s">
        <v>50</v>
      </c>
      <c r="F265" s="534" t="str">
        <f t="shared" ref="F265:F280" si="30">R.3PAname</f>
        <v>PA name</v>
      </c>
      <c r="G265" s="542"/>
      <c r="H265" s="543">
        <f>Table3[[#This Row],[Hrs Rank]]</f>
        <v>0</v>
      </c>
      <c r="I265" s="533">
        <f t="shared" si="28"/>
        <v>0</v>
      </c>
      <c r="J265" s="533">
        <f t="shared" si="29"/>
        <v>0</v>
      </c>
      <c r="K265" s="550"/>
      <c r="L265" s="550"/>
      <c r="M265" s="546" t="s">
        <v>216</v>
      </c>
      <c r="N265" s="546" t="s">
        <v>216</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x14ac:dyDescent="0.2">
      <c r="A266" s="530" t="str">
        <f t="shared" si="26"/>
        <v>AQ</v>
      </c>
      <c r="B266" s="49" t="str">
        <f t="shared" si="27"/>
        <v>GPLMP</v>
      </c>
      <c r="C266" s="49" t="s">
        <v>255</v>
      </c>
      <c r="D266" s="531" t="str">
        <f>'15CustomParticipants'!D$9</f>
        <v>Enter custom role 1</v>
      </c>
      <c r="E266" s="49" t="s">
        <v>50</v>
      </c>
      <c r="F266" s="534" t="str">
        <f t="shared" si="30"/>
        <v>PA name</v>
      </c>
      <c r="G266" s="542"/>
      <c r="H266" s="543">
        <f>Table3[[#This Row],[Hrs Rank]]</f>
        <v>0</v>
      </c>
      <c r="I266" s="533">
        <f t="shared" si="28"/>
        <v>0</v>
      </c>
      <c r="J266" s="533">
        <f t="shared" si="29"/>
        <v>0</v>
      </c>
      <c r="K266" s="550"/>
      <c r="L266" s="550"/>
      <c r="M266" s="546" t="s">
        <v>216</v>
      </c>
      <c r="N266" s="546" t="s">
        <v>216</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x14ac:dyDescent="0.2">
      <c r="A267" s="530" t="str">
        <f t="shared" si="26"/>
        <v>AQ</v>
      </c>
      <c r="B267" s="49" t="str">
        <f t="shared" si="27"/>
        <v>GPLMP</v>
      </c>
      <c r="C267" s="49" t="s">
        <v>255</v>
      </c>
      <c r="D267" s="531" t="str">
        <f>'15CustomParticipants'!D$9</f>
        <v>Enter custom role 1</v>
      </c>
      <c r="E267" s="49" t="s">
        <v>50</v>
      </c>
      <c r="F267" s="534" t="str">
        <f t="shared" si="30"/>
        <v>PA name</v>
      </c>
      <c r="G267" s="542"/>
      <c r="H267" s="543">
        <f>Table3[[#This Row],[Hrs Rank]]</f>
        <v>0</v>
      </c>
      <c r="I267" s="533">
        <f t="shared" si="28"/>
        <v>0</v>
      </c>
      <c r="J267" s="533">
        <f t="shared" si="29"/>
        <v>0</v>
      </c>
      <c r="K267" s="550"/>
      <c r="L267" s="550"/>
      <c r="M267" s="546" t="s">
        <v>216</v>
      </c>
      <c r="N267" s="546" t="s">
        <v>216</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x14ac:dyDescent="0.2">
      <c r="A268" s="530" t="str">
        <f t="shared" si="26"/>
        <v>AQ</v>
      </c>
      <c r="B268" s="49" t="str">
        <f t="shared" si="27"/>
        <v>GPLMP</v>
      </c>
      <c r="C268" s="49" t="s">
        <v>255</v>
      </c>
      <c r="D268" s="531" t="str">
        <f>'15CustomParticipants'!D$9</f>
        <v>Enter custom role 1</v>
      </c>
      <c r="E268" s="49" t="s">
        <v>50</v>
      </c>
      <c r="F268" s="534" t="str">
        <f t="shared" si="30"/>
        <v>PA name</v>
      </c>
      <c r="G268" s="542"/>
      <c r="H268" s="543">
        <f>Table3[[#This Row],[Hrs Rank]]</f>
        <v>0</v>
      </c>
      <c r="I268" s="533">
        <f t="shared" si="28"/>
        <v>0</v>
      </c>
      <c r="J268" s="533">
        <f t="shared" si="29"/>
        <v>0</v>
      </c>
      <c r="K268" s="550"/>
      <c r="L268" s="550"/>
      <c r="M268" s="546" t="s">
        <v>216</v>
      </c>
      <c r="N268" s="546" t="s">
        <v>216</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x14ac:dyDescent="0.2">
      <c r="A269" s="530" t="str">
        <f t="shared" si="26"/>
        <v>AQ</v>
      </c>
      <c r="B269" s="49" t="str">
        <f t="shared" si="27"/>
        <v>GPLMP</v>
      </c>
      <c r="C269" s="49" t="s">
        <v>255</v>
      </c>
      <c r="D269" s="531" t="str">
        <f>'15CustomParticipants'!D$9</f>
        <v>Enter custom role 1</v>
      </c>
      <c r="E269" s="49" t="s">
        <v>49</v>
      </c>
      <c r="F269" s="534" t="str">
        <f t="shared" si="30"/>
        <v>PA name</v>
      </c>
      <c r="G269" s="542"/>
      <c r="H269" s="543">
        <f>Table3[[#This Row],[Hrs Rank]]</f>
        <v>0</v>
      </c>
      <c r="I269" s="533">
        <f t="shared" si="28"/>
        <v>0</v>
      </c>
      <c r="J269" s="533">
        <f t="shared" si="29"/>
        <v>0</v>
      </c>
      <c r="K269" s="550"/>
      <c r="L269" s="550"/>
      <c r="M269" s="546" t="s">
        <v>216</v>
      </c>
      <c r="N269" s="546" t="s">
        <v>216</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x14ac:dyDescent="0.2">
      <c r="A270" s="530" t="str">
        <f t="shared" si="26"/>
        <v>AQ</v>
      </c>
      <c r="B270" s="49" t="str">
        <f t="shared" si="27"/>
        <v>GPLMP</v>
      </c>
      <c r="C270" s="49" t="s">
        <v>255</v>
      </c>
      <c r="D270" s="531" t="str">
        <f>'15CustomParticipants'!D$9</f>
        <v>Enter custom role 1</v>
      </c>
      <c r="E270" s="49" t="s">
        <v>49</v>
      </c>
      <c r="F270" s="534" t="str">
        <f t="shared" si="30"/>
        <v>PA name</v>
      </c>
      <c r="G270" s="542"/>
      <c r="H270" s="543">
        <f>Table3[[#This Row],[Hrs Rank]]</f>
        <v>0</v>
      </c>
      <c r="I270" s="533">
        <f t="shared" si="28"/>
        <v>0</v>
      </c>
      <c r="J270" s="533">
        <f t="shared" si="29"/>
        <v>0</v>
      </c>
      <c r="K270" s="550"/>
      <c r="L270" s="550"/>
      <c r="M270" s="546" t="s">
        <v>216</v>
      </c>
      <c r="N270" s="546" t="s">
        <v>216</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x14ac:dyDescent="0.2">
      <c r="A271" s="530" t="str">
        <f t="shared" si="26"/>
        <v>AQ</v>
      </c>
      <c r="B271" s="49" t="str">
        <f t="shared" si="27"/>
        <v>GPLMP</v>
      </c>
      <c r="C271" s="49" t="s">
        <v>255</v>
      </c>
      <c r="D271" s="531" t="str">
        <f>'15CustomParticipants'!D$9</f>
        <v>Enter custom role 1</v>
      </c>
      <c r="E271" s="49" t="s">
        <v>49</v>
      </c>
      <c r="F271" s="534" t="str">
        <f t="shared" si="30"/>
        <v>PA name</v>
      </c>
      <c r="G271" s="542"/>
      <c r="H271" s="543">
        <f>Table3[[#This Row],[Hrs Rank]]</f>
        <v>0</v>
      </c>
      <c r="I271" s="533">
        <f t="shared" si="28"/>
        <v>0</v>
      </c>
      <c r="J271" s="533">
        <f t="shared" si="29"/>
        <v>0</v>
      </c>
      <c r="K271" s="550"/>
      <c r="L271" s="550"/>
      <c r="M271" s="546" t="s">
        <v>216</v>
      </c>
      <c r="N271" s="546" t="s">
        <v>216</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x14ac:dyDescent="0.2">
      <c r="A272" s="530" t="str">
        <f t="shared" si="26"/>
        <v>AQ</v>
      </c>
      <c r="B272" s="49" t="str">
        <f t="shared" si="27"/>
        <v>GPLMP</v>
      </c>
      <c r="C272" s="49" t="s">
        <v>255</v>
      </c>
      <c r="D272" s="531" t="str">
        <f>'15CustomParticipants'!D$9</f>
        <v>Enter custom role 1</v>
      </c>
      <c r="E272" s="49" t="s">
        <v>49</v>
      </c>
      <c r="F272" s="534" t="str">
        <f t="shared" si="30"/>
        <v>PA name</v>
      </c>
      <c r="G272" s="542"/>
      <c r="H272" s="543">
        <f>Table3[[#This Row],[Hrs Rank]]</f>
        <v>0</v>
      </c>
      <c r="I272" s="533">
        <f t="shared" si="28"/>
        <v>0</v>
      </c>
      <c r="J272" s="533">
        <f t="shared" si="29"/>
        <v>0</v>
      </c>
      <c r="K272" s="550"/>
      <c r="L272" s="550"/>
      <c r="M272" s="546" t="s">
        <v>216</v>
      </c>
      <c r="N272" s="546" t="s">
        <v>216</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x14ac:dyDescent="0.2">
      <c r="A273" s="530" t="str">
        <f t="shared" si="26"/>
        <v>AQ</v>
      </c>
      <c r="B273" s="49" t="str">
        <f t="shared" si="27"/>
        <v>GPLMP</v>
      </c>
      <c r="C273" s="49" t="s">
        <v>255</v>
      </c>
      <c r="D273" s="531" t="str">
        <f>'15CustomParticipants'!D$25</f>
        <v>Enter custom role 2</v>
      </c>
      <c r="E273" s="49" t="s">
        <v>50</v>
      </c>
      <c r="F273" s="534" t="str">
        <f t="shared" si="30"/>
        <v>PA name</v>
      </c>
      <c r="G273" s="542"/>
      <c r="H273" s="543">
        <f>Table3[[#This Row],[Hrs Rank]]</f>
        <v>0</v>
      </c>
      <c r="I273" s="533">
        <f t="shared" si="28"/>
        <v>0</v>
      </c>
      <c r="J273" s="533">
        <f t="shared" si="29"/>
        <v>0</v>
      </c>
      <c r="K273" s="550"/>
      <c r="L273" s="550"/>
      <c r="M273" s="546" t="s">
        <v>216</v>
      </c>
      <c r="N273" s="546" t="s">
        <v>216</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x14ac:dyDescent="0.2">
      <c r="A274" s="530" t="str">
        <f t="shared" si="26"/>
        <v>AQ</v>
      </c>
      <c r="B274" s="49" t="str">
        <f t="shared" si="27"/>
        <v>GPLMP</v>
      </c>
      <c r="C274" s="49" t="s">
        <v>255</v>
      </c>
      <c r="D274" s="531" t="str">
        <f>'15CustomParticipants'!D$25</f>
        <v>Enter custom role 2</v>
      </c>
      <c r="E274" s="49" t="s">
        <v>50</v>
      </c>
      <c r="F274" s="534" t="str">
        <f t="shared" si="30"/>
        <v>PA name</v>
      </c>
      <c r="G274" s="542"/>
      <c r="H274" s="543">
        <f>Table3[[#This Row],[Hrs Rank]]</f>
        <v>0</v>
      </c>
      <c r="I274" s="533">
        <f t="shared" si="28"/>
        <v>0</v>
      </c>
      <c r="J274" s="533">
        <f t="shared" si="29"/>
        <v>0</v>
      </c>
      <c r="K274" s="550"/>
      <c r="L274" s="550"/>
      <c r="M274" s="546" t="s">
        <v>216</v>
      </c>
      <c r="N274" s="546" t="s">
        <v>216</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x14ac:dyDescent="0.2">
      <c r="A275" s="530" t="str">
        <f t="shared" si="26"/>
        <v>AQ</v>
      </c>
      <c r="B275" s="49" t="str">
        <f t="shared" si="27"/>
        <v>GPLMP</v>
      </c>
      <c r="C275" s="49" t="s">
        <v>255</v>
      </c>
      <c r="D275" s="531" t="str">
        <f>'15CustomParticipants'!D$25</f>
        <v>Enter custom role 2</v>
      </c>
      <c r="E275" s="49" t="s">
        <v>50</v>
      </c>
      <c r="F275" s="534" t="str">
        <f t="shared" si="30"/>
        <v>PA name</v>
      </c>
      <c r="G275" s="542"/>
      <c r="H275" s="543">
        <f>Table3[[#This Row],[Hrs Rank]]</f>
        <v>0</v>
      </c>
      <c r="I275" s="533">
        <f t="shared" si="28"/>
        <v>0</v>
      </c>
      <c r="J275" s="533">
        <f t="shared" si="29"/>
        <v>0</v>
      </c>
      <c r="K275" s="550"/>
      <c r="L275" s="550"/>
      <c r="M275" s="546" t="s">
        <v>216</v>
      </c>
      <c r="N275" s="546" t="s">
        <v>216</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x14ac:dyDescent="0.2">
      <c r="A276" s="530" t="str">
        <f t="shared" si="26"/>
        <v>AQ</v>
      </c>
      <c r="B276" s="49" t="str">
        <f t="shared" si="27"/>
        <v>GPLMP</v>
      </c>
      <c r="C276" s="49" t="s">
        <v>255</v>
      </c>
      <c r="D276" s="531" t="str">
        <f>'15CustomParticipants'!D$25</f>
        <v>Enter custom role 2</v>
      </c>
      <c r="E276" s="49" t="s">
        <v>50</v>
      </c>
      <c r="F276" s="534" t="str">
        <f t="shared" si="30"/>
        <v>PA name</v>
      </c>
      <c r="G276" s="542"/>
      <c r="H276" s="543">
        <f>Table3[[#This Row],[Hrs Rank]]</f>
        <v>0</v>
      </c>
      <c r="I276" s="533">
        <f t="shared" si="28"/>
        <v>0</v>
      </c>
      <c r="J276" s="533">
        <f t="shared" si="29"/>
        <v>0</v>
      </c>
      <c r="K276" s="550"/>
      <c r="L276" s="550"/>
      <c r="M276" s="546" t="s">
        <v>216</v>
      </c>
      <c r="N276" s="546" t="s">
        <v>216</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x14ac:dyDescent="0.2">
      <c r="A277" s="530" t="str">
        <f t="shared" si="26"/>
        <v>AQ</v>
      </c>
      <c r="B277" s="49" t="str">
        <f t="shared" si="27"/>
        <v>GPLMP</v>
      </c>
      <c r="C277" s="49" t="s">
        <v>255</v>
      </c>
      <c r="D277" s="531" t="str">
        <f>'15CustomParticipants'!D$25</f>
        <v>Enter custom role 2</v>
      </c>
      <c r="E277" s="49" t="s">
        <v>49</v>
      </c>
      <c r="F277" s="534" t="str">
        <f t="shared" si="30"/>
        <v>PA name</v>
      </c>
      <c r="G277" s="542"/>
      <c r="H277" s="543">
        <f>Table3[[#This Row],[Hrs Rank]]</f>
        <v>0</v>
      </c>
      <c r="I277" s="533">
        <f t="shared" si="28"/>
        <v>0</v>
      </c>
      <c r="J277" s="533">
        <f t="shared" si="29"/>
        <v>0</v>
      </c>
      <c r="K277" s="550"/>
      <c r="L277" s="550"/>
      <c r="M277" s="546" t="s">
        <v>216</v>
      </c>
      <c r="N277" s="546" t="s">
        <v>216</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x14ac:dyDescent="0.2">
      <c r="A278" s="530" t="str">
        <f t="shared" si="26"/>
        <v>AQ</v>
      </c>
      <c r="B278" s="49" t="str">
        <f t="shared" si="27"/>
        <v>GPLMP</v>
      </c>
      <c r="C278" s="49" t="s">
        <v>255</v>
      </c>
      <c r="D278" s="531" t="str">
        <f>'15CustomParticipants'!D$25</f>
        <v>Enter custom role 2</v>
      </c>
      <c r="E278" s="49" t="s">
        <v>49</v>
      </c>
      <c r="F278" s="534" t="str">
        <f t="shared" si="30"/>
        <v>PA name</v>
      </c>
      <c r="G278" s="542"/>
      <c r="H278" s="543">
        <f>Table3[[#This Row],[Hrs Rank]]</f>
        <v>0</v>
      </c>
      <c r="I278" s="533">
        <f t="shared" si="28"/>
        <v>0</v>
      </c>
      <c r="J278" s="533">
        <f t="shared" si="29"/>
        <v>0</v>
      </c>
      <c r="K278" s="550"/>
      <c r="L278" s="550"/>
      <c r="M278" s="546" t="s">
        <v>216</v>
      </c>
      <c r="N278" s="546" t="s">
        <v>216</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x14ac:dyDescent="0.2">
      <c r="A279" s="530" t="str">
        <f t="shared" si="26"/>
        <v>AQ</v>
      </c>
      <c r="B279" s="49" t="str">
        <f t="shared" si="27"/>
        <v>GPLMP</v>
      </c>
      <c r="C279" s="49" t="s">
        <v>255</v>
      </c>
      <c r="D279" s="531" t="str">
        <f>'15CustomParticipants'!D$25</f>
        <v>Enter custom role 2</v>
      </c>
      <c r="E279" s="49" t="s">
        <v>49</v>
      </c>
      <c r="F279" s="534" t="str">
        <f t="shared" si="30"/>
        <v>PA name</v>
      </c>
      <c r="G279" s="542"/>
      <c r="H279" s="543">
        <f>Table3[[#This Row],[Hrs Rank]]</f>
        <v>0</v>
      </c>
      <c r="I279" s="533">
        <f t="shared" si="28"/>
        <v>0</v>
      </c>
      <c r="J279" s="533">
        <f t="shared" si="29"/>
        <v>0</v>
      </c>
      <c r="K279" s="550"/>
      <c r="L279" s="550"/>
      <c r="M279" s="546" t="s">
        <v>216</v>
      </c>
      <c r="N279" s="546" t="s">
        <v>216</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x14ac:dyDescent="0.2">
      <c r="A280" s="530" t="str">
        <f t="shared" si="26"/>
        <v>AQ</v>
      </c>
      <c r="B280" s="49" t="str">
        <f t="shared" si="27"/>
        <v>GPLMP</v>
      </c>
      <c r="C280" s="49" t="s">
        <v>255</v>
      </c>
      <c r="D280" s="531" t="str">
        <f>'15CustomParticipants'!D$25</f>
        <v>Enter custom role 2</v>
      </c>
      <c r="E280" s="49" t="s">
        <v>49</v>
      </c>
      <c r="F280" s="534" t="str">
        <f t="shared" si="30"/>
        <v>PA name</v>
      </c>
      <c r="G280" s="542"/>
      <c r="H280" s="543">
        <f>Table3[[#This Row],[Hrs Rank]]</f>
        <v>0</v>
      </c>
      <c r="I280" s="533">
        <f t="shared" si="28"/>
        <v>0</v>
      </c>
      <c r="J280" s="533">
        <f t="shared" si="29"/>
        <v>0</v>
      </c>
      <c r="K280" s="550"/>
      <c r="L280" s="550"/>
      <c r="M280" s="546" t="s">
        <v>216</v>
      </c>
      <c r="N280" s="546" t="s">
        <v>216</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x14ac:dyDescent="0.2">
      <c r="A281" s="530" t="str">
        <f t="shared" si="26"/>
        <v>AQ</v>
      </c>
      <c r="B281" s="49" t="str">
        <f t="shared" si="27"/>
        <v>GPLMP</v>
      </c>
      <c r="C281" s="49" t="s">
        <v>255</v>
      </c>
      <c r="D281" s="531" t="str">
        <f>'15CustomParticipants'!D$41</f>
        <v>Enter custom role 3</v>
      </c>
      <c r="E281" s="49" t="s">
        <v>50</v>
      </c>
      <c r="F281" s="534" t="str">
        <f t="shared" ref="F281:F296" si="31">R.3PAname</f>
        <v>PA name</v>
      </c>
      <c r="G281" s="542"/>
      <c r="H281" s="543">
        <f>Table3[[#This Row],[Hrs Rank]]</f>
        <v>0</v>
      </c>
      <c r="I281" s="533">
        <f t="shared" si="28"/>
        <v>0</v>
      </c>
      <c r="J281" s="533">
        <f t="shared" si="29"/>
        <v>0</v>
      </c>
      <c r="K281" s="550"/>
      <c r="L281" s="550"/>
      <c r="M281" s="546" t="s">
        <v>216</v>
      </c>
      <c r="N281" s="546" t="s">
        <v>216</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x14ac:dyDescent="0.2">
      <c r="A282" s="530" t="str">
        <f t="shared" si="26"/>
        <v>AQ</v>
      </c>
      <c r="B282" s="49" t="str">
        <f t="shared" si="27"/>
        <v>GPLMP</v>
      </c>
      <c r="C282" s="49" t="s">
        <v>255</v>
      </c>
      <c r="D282" s="531" t="str">
        <f>'15CustomParticipants'!D$41</f>
        <v>Enter custom role 3</v>
      </c>
      <c r="E282" s="49" t="s">
        <v>50</v>
      </c>
      <c r="F282" s="534" t="str">
        <f t="shared" si="31"/>
        <v>PA name</v>
      </c>
      <c r="G282" s="542"/>
      <c r="H282" s="543">
        <f>Table3[[#This Row],[Hrs Rank]]</f>
        <v>0</v>
      </c>
      <c r="I282" s="533">
        <f t="shared" si="28"/>
        <v>0</v>
      </c>
      <c r="J282" s="533">
        <f t="shared" si="29"/>
        <v>0</v>
      </c>
      <c r="K282" s="550"/>
      <c r="L282" s="550"/>
      <c r="M282" s="546" t="s">
        <v>216</v>
      </c>
      <c r="N282" s="546" t="s">
        <v>216</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x14ac:dyDescent="0.2">
      <c r="A283" s="530" t="str">
        <f t="shared" si="26"/>
        <v>AQ</v>
      </c>
      <c r="B283" s="49" t="str">
        <f t="shared" si="27"/>
        <v>GPLMP</v>
      </c>
      <c r="C283" s="49" t="s">
        <v>255</v>
      </c>
      <c r="D283" s="531" t="str">
        <f>'15CustomParticipants'!D$41</f>
        <v>Enter custom role 3</v>
      </c>
      <c r="E283" s="49" t="s">
        <v>50</v>
      </c>
      <c r="F283" s="534" t="str">
        <f t="shared" si="31"/>
        <v>PA name</v>
      </c>
      <c r="G283" s="542"/>
      <c r="H283" s="543">
        <f>Table3[[#This Row],[Hrs Rank]]</f>
        <v>0</v>
      </c>
      <c r="I283" s="533">
        <f t="shared" si="28"/>
        <v>0</v>
      </c>
      <c r="J283" s="533">
        <f t="shared" si="29"/>
        <v>0</v>
      </c>
      <c r="K283" s="550"/>
      <c r="L283" s="550"/>
      <c r="M283" s="546" t="s">
        <v>216</v>
      </c>
      <c r="N283" s="546" t="s">
        <v>216</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x14ac:dyDescent="0.2">
      <c r="A284" s="530" t="str">
        <f t="shared" si="26"/>
        <v>AQ</v>
      </c>
      <c r="B284" s="49" t="str">
        <f t="shared" si="27"/>
        <v>GPLMP</v>
      </c>
      <c r="C284" s="49" t="s">
        <v>255</v>
      </c>
      <c r="D284" s="531" t="str">
        <f>'15CustomParticipants'!D$41</f>
        <v>Enter custom role 3</v>
      </c>
      <c r="E284" s="49" t="s">
        <v>50</v>
      </c>
      <c r="F284" s="534" t="str">
        <f t="shared" si="31"/>
        <v>PA name</v>
      </c>
      <c r="G284" s="542"/>
      <c r="H284" s="543">
        <f>Table3[[#This Row],[Hrs Rank]]</f>
        <v>0</v>
      </c>
      <c r="I284" s="533">
        <f t="shared" si="28"/>
        <v>0</v>
      </c>
      <c r="J284" s="533">
        <f t="shared" si="29"/>
        <v>0</v>
      </c>
      <c r="K284" s="550"/>
      <c r="L284" s="550"/>
      <c r="M284" s="546" t="s">
        <v>216</v>
      </c>
      <c r="N284" s="546" t="s">
        <v>216</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x14ac:dyDescent="0.2">
      <c r="A285" s="530" t="str">
        <f t="shared" si="26"/>
        <v>AQ</v>
      </c>
      <c r="B285" s="49" t="str">
        <f t="shared" si="27"/>
        <v>GPLMP</v>
      </c>
      <c r="C285" s="49" t="s">
        <v>255</v>
      </c>
      <c r="D285" s="531" t="str">
        <f>'15CustomParticipants'!D$41</f>
        <v>Enter custom role 3</v>
      </c>
      <c r="E285" s="49" t="s">
        <v>49</v>
      </c>
      <c r="F285" s="534" t="str">
        <f t="shared" si="31"/>
        <v>PA name</v>
      </c>
      <c r="G285" s="542"/>
      <c r="H285" s="543">
        <f>Table3[[#This Row],[Hrs Rank]]</f>
        <v>0</v>
      </c>
      <c r="I285" s="533">
        <f t="shared" si="28"/>
        <v>0</v>
      </c>
      <c r="J285" s="533">
        <f t="shared" si="29"/>
        <v>0</v>
      </c>
      <c r="K285" s="550"/>
      <c r="L285" s="550"/>
      <c r="M285" s="546" t="s">
        <v>216</v>
      </c>
      <c r="N285" s="546" t="s">
        <v>216</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x14ac:dyDescent="0.2">
      <c r="A286" s="530" t="str">
        <f t="shared" si="26"/>
        <v>AQ</v>
      </c>
      <c r="B286" s="49" t="str">
        <f t="shared" si="27"/>
        <v>GPLMP</v>
      </c>
      <c r="C286" s="49" t="s">
        <v>255</v>
      </c>
      <c r="D286" s="531" t="str">
        <f>'15CustomParticipants'!D$41</f>
        <v>Enter custom role 3</v>
      </c>
      <c r="E286" s="49" t="s">
        <v>49</v>
      </c>
      <c r="F286" s="534" t="str">
        <f t="shared" si="31"/>
        <v>PA name</v>
      </c>
      <c r="G286" s="542"/>
      <c r="H286" s="543">
        <f>Table3[[#This Row],[Hrs Rank]]</f>
        <v>0</v>
      </c>
      <c r="I286" s="533">
        <f t="shared" si="28"/>
        <v>0</v>
      </c>
      <c r="J286" s="533">
        <f t="shared" si="29"/>
        <v>0</v>
      </c>
      <c r="K286" s="550"/>
      <c r="L286" s="550"/>
      <c r="M286" s="546" t="s">
        <v>216</v>
      </c>
      <c r="N286" s="546" t="s">
        <v>216</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x14ac:dyDescent="0.2">
      <c r="A287" s="530" t="str">
        <f t="shared" ref="A287:A296" si="32">R.1Division</f>
        <v>AQ</v>
      </c>
      <c r="B287" s="49" t="str">
        <f t="shared" ref="B287:B296" si="33">R.1CodeName</f>
        <v>GPLMP</v>
      </c>
      <c r="C287" s="49" t="s">
        <v>255</v>
      </c>
      <c r="D287" s="531" t="str">
        <f>'15CustomParticipants'!D$41</f>
        <v>Enter custom role 3</v>
      </c>
      <c r="E287" s="49" t="s">
        <v>49</v>
      </c>
      <c r="F287" s="534" t="str">
        <f t="shared" si="31"/>
        <v>PA name</v>
      </c>
      <c r="G287" s="542"/>
      <c r="H287" s="543">
        <f>Table3[[#This Row],[Hrs Rank]]</f>
        <v>0</v>
      </c>
      <c r="I287" s="533">
        <f t="shared" si="28"/>
        <v>0</v>
      </c>
      <c r="J287" s="533">
        <f t="shared" si="29"/>
        <v>0</v>
      </c>
      <c r="K287" s="550"/>
      <c r="L287" s="550"/>
      <c r="M287" s="546" t="s">
        <v>216</v>
      </c>
      <c r="N287" s="546" t="s">
        <v>216</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x14ac:dyDescent="0.2">
      <c r="A288" s="530" t="str">
        <f t="shared" si="32"/>
        <v>AQ</v>
      </c>
      <c r="B288" s="49" t="str">
        <f t="shared" si="33"/>
        <v>GPLMP</v>
      </c>
      <c r="C288" s="49" t="s">
        <v>255</v>
      </c>
      <c r="D288" s="531" t="str">
        <f>'15CustomParticipants'!D$41</f>
        <v>Enter custom role 3</v>
      </c>
      <c r="E288" s="49" t="s">
        <v>49</v>
      </c>
      <c r="F288" s="534" t="str">
        <f t="shared" si="31"/>
        <v>PA name</v>
      </c>
      <c r="G288" s="542"/>
      <c r="H288" s="543">
        <f>Table3[[#This Row],[Hrs Rank]]</f>
        <v>0</v>
      </c>
      <c r="I288" s="533">
        <f t="shared" si="28"/>
        <v>0</v>
      </c>
      <c r="J288" s="533">
        <f t="shared" si="29"/>
        <v>0</v>
      </c>
      <c r="K288" s="550"/>
      <c r="L288" s="550"/>
      <c r="M288" s="546" t="s">
        <v>216</v>
      </c>
      <c r="N288" s="546" t="s">
        <v>216</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x14ac:dyDescent="0.2">
      <c r="A289" s="530" t="str">
        <f t="shared" si="32"/>
        <v>AQ</v>
      </c>
      <c r="B289" s="49" t="str">
        <f t="shared" si="33"/>
        <v>GPLMP</v>
      </c>
      <c r="C289" s="49" t="s">
        <v>255</v>
      </c>
      <c r="D289" s="531" t="str">
        <f>'15CustomParticipants'!D$57</f>
        <v>Enter custom role 4</v>
      </c>
      <c r="E289" s="49" t="s">
        <v>50</v>
      </c>
      <c r="F289" s="534" t="str">
        <f t="shared" si="31"/>
        <v>PA name</v>
      </c>
      <c r="G289" s="542"/>
      <c r="H289" s="543">
        <f>Table3[[#This Row],[Hrs Rank]]</f>
        <v>0</v>
      </c>
      <c r="I289" s="533">
        <f t="shared" si="28"/>
        <v>0</v>
      </c>
      <c r="J289" s="533">
        <f t="shared" si="29"/>
        <v>0</v>
      </c>
      <c r="K289" s="550"/>
      <c r="L289" s="550"/>
      <c r="M289" s="546" t="s">
        <v>216</v>
      </c>
      <c r="N289" s="546" t="s">
        <v>216</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x14ac:dyDescent="0.2">
      <c r="A290" s="530" t="str">
        <f t="shared" si="32"/>
        <v>AQ</v>
      </c>
      <c r="B290" s="49" t="str">
        <f t="shared" si="33"/>
        <v>GPLMP</v>
      </c>
      <c r="C290" s="49" t="s">
        <v>255</v>
      </c>
      <c r="D290" s="531" t="str">
        <f>'15CustomParticipants'!D$57</f>
        <v>Enter custom role 4</v>
      </c>
      <c r="E290" s="49" t="s">
        <v>50</v>
      </c>
      <c r="F290" s="534" t="str">
        <f t="shared" si="31"/>
        <v>PA name</v>
      </c>
      <c r="G290" s="542"/>
      <c r="H290" s="543">
        <f>Table3[[#This Row],[Hrs Rank]]</f>
        <v>0</v>
      </c>
      <c r="I290" s="533">
        <f t="shared" si="28"/>
        <v>0</v>
      </c>
      <c r="J290" s="533">
        <f t="shared" si="29"/>
        <v>0</v>
      </c>
      <c r="K290" s="550"/>
      <c r="L290" s="550"/>
      <c r="M290" s="546" t="s">
        <v>216</v>
      </c>
      <c r="N290" s="546" t="s">
        <v>216</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x14ac:dyDescent="0.2">
      <c r="A291" s="530" t="str">
        <f t="shared" si="32"/>
        <v>AQ</v>
      </c>
      <c r="B291" s="49" t="str">
        <f t="shared" si="33"/>
        <v>GPLMP</v>
      </c>
      <c r="C291" s="49" t="s">
        <v>255</v>
      </c>
      <c r="D291" s="531" t="str">
        <f>'15CustomParticipants'!D$57</f>
        <v>Enter custom role 4</v>
      </c>
      <c r="E291" s="49" t="s">
        <v>50</v>
      </c>
      <c r="F291" s="534" t="str">
        <f t="shared" si="31"/>
        <v>PA name</v>
      </c>
      <c r="G291" s="542"/>
      <c r="H291" s="543">
        <f>Table3[[#This Row],[Hrs Rank]]</f>
        <v>0</v>
      </c>
      <c r="I291" s="533">
        <f t="shared" si="28"/>
        <v>0</v>
      </c>
      <c r="J291" s="533">
        <f t="shared" si="29"/>
        <v>0</v>
      </c>
      <c r="K291" s="550"/>
      <c r="L291" s="550"/>
      <c r="M291" s="546" t="s">
        <v>216</v>
      </c>
      <c r="N291" s="546" t="s">
        <v>216</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x14ac:dyDescent="0.2">
      <c r="A292" s="530" t="str">
        <f t="shared" si="32"/>
        <v>AQ</v>
      </c>
      <c r="B292" s="49" t="str">
        <f t="shared" si="33"/>
        <v>GPLMP</v>
      </c>
      <c r="C292" s="49" t="s">
        <v>255</v>
      </c>
      <c r="D292" s="531" t="str">
        <f>'15CustomParticipants'!D$57</f>
        <v>Enter custom role 4</v>
      </c>
      <c r="E292" s="49" t="s">
        <v>50</v>
      </c>
      <c r="F292" s="534" t="str">
        <f t="shared" si="31"/>
        <v>PA name</v>
      </c>
      <c r="G292" s="542"/>
      <c r="H292" s="543">
        <f>Table3[[#This Row],[Hrs Rank]]</f>
        <v>0</v>
      </c>
      <c r="I292" s="533">
        <f t="shared" si="28"/>
        <v>0</v>
      </c>
      <c r="J292" s="533">
        <f t="shared" si="29"/>
        <v>0</v>
      </c>
      <c r="K292" s="550"/>
      <c r="L292" s="550"/>
      <c r="M292" s="546" t="s">
        <v>216</v>
      </c>
      <c r="N292" s="546" t="s">
        <v>216</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x14ac:dyDescent="0.2">
      <c r="A293" s="530" t="str">
        <f t="shared" si="32"/>
        <v>AQ</v>
      </c>
      <c r="B293" s="49" t="str">
        <f t="shared" si="33"/>
        <v>GPLMP</v>
      </c>
      <c r="C293" s="49" t="s">
        <v>255</v>
      </c>
      <c r="D293" s="531" t="str">
        <f>'15CustomParticipants'!D$57</f>
        <v>Enter custom role 4</v>
      </c>
      <c r="E293" s="49" t="s">
        <v>49</v>
      </c>
      <c r="F293" s="534" t="str">
        <f t="shared" si="31"/>
        <v>PA name</v>
      </c>
      <c r="G293" s="542"/>
      <c r="H293" s="543">
        <f>Table3[[#This Row],[Hrs Rank]]</f>
        <v>0</v>
      </c>
      <c r="I293" s="533">
        <f t="shared" si="28"/>
        <v>0</v>
      </c>
      <c r="J293" s="533">
        <f t="shared" si="29"/>
        <v>0</v>
      </c>
      <c r="K293" s="550"/>
      <c r="L293" s="550"/>
      <c r="M293" s="546" t="s">
        <v>216</v>
      </c>
      <c r="N293" s="546" t="s">
        <v>216</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x14ac:dyDescent="0.2">
      <c r="A294" s="530" t="str">
        <f t="shared" si="32"/>
        <v>AQ</v>
      </c>
      <c r="B294" s="49" t="str">
        <f t="shared" si="33"/>
        <v>GPLMP</v>
      </c>
      <c r="C294" s="49" t="s">
        <v>255</v>
      </c>
      <c r="D294" s="531" t="str">
        <f>'15CustomParticipants'!D$57</f>
        <v>Enter custom role 4</v>
      </c>
      <c r="E294" s="49" t="s">
        <v>49</v>
      </c>
      <c r="F294" s="534" t="str">
        <f t="shared" si="31"/>
        <v>PA name</v>
      </c>
      <c r="G294" s="542"/>
      <c r="H294" s="543">
        <f>Table3[[#This Row],[Hrs Rank]]</f>
        <v>0</v>
      </c>
      <c r="I294" s="533">
        <f t="shared" si="28"/>
        <v>0</v>
      </c>
      <c r="J294" s="533">
        <f t="shared" si="29"/>
        <v>0</v>
      </c>
      <c r="K294" s="550"/>
      <c r="L294" s="550"/>
      <c r="M294" s="546" t="s">
        <v>216</v>
      </c>
      <c r="N294" s="546" t="s">
        <v>216</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x14ac:dyDescent="0.2">
      <c r="A295" s="530" t="str">
        <f t="shared" si="32"/>
        <v>AQ</v>
      </c>
      <c r="B295" s="49" t="str">
        <f t="shared" si="33"/>
        <v>GPLMP</v>
      </c>
      <c r="C295" s="49" t="s">
        <v>255</v>
      </c>
      <c r="D295" s="531" t="str">
        <f>'15CustomParticipants'!D$57</f>
        <v>Enter custom role 4</v>
      </c>
      <c r="E295" s="49" t="s">
        <v>49</v>
      </c>
      <c r="F295" s="534" t="str">
        <f t="shared" si="31"/>
        <v>PA name</v>
      </c>
      <c r="G295" s="542"/>
      <c r="H295" s="543">
        <f>Table3[[#This Row],[Hrs Rank]]</f>
        <v>0</v>
      </c>
      <c r="I295" s="533">
        <f t="shared" si="28"/>
        <v>0</v>
      </c>
      <c r="J295" s="533">
        <f t="shared" si="29"/>
        <v>0</v>
      </c>
      <c r="K295" s="550"/>
      <c r="L295" s="550"/>
      <c r="M295" s="546" t="s">
        <v>216</v>
      </c>
      <c r="N295" s="546" t="s">
        <v>216</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x14ac:dyDescent="0.2">
      <c r="A296" s="530" t="str">
        <f t="shared" si="32"/>
        <v>AQ</v>
      </c>
      <c r="B296" s="49" t="str">
        <f t="shared" si="33"/>
        <v>GPLMP</v>
      </c>
      <c r="C296" s="49" t="s">
        <v>255</v>
      </c>
      <c r="D296" s="531" t="str">
        <f>'15CustomParticipants'!D$57</f>
        <v>Enter custom role 4</v>
      </c>
      <c r="E296" s="49" t="s">
        <v>49</v>
      </c>
      <c r="F296" s="534" t="str">
        <f t="shared" si="31"/>
        <v>PA name</v>
      </c>
      <c r="G296" s="542"/>
      <c r="H296" s="543">
        <f>Table3[[#This Row],[Hrs Rank]]</f>
        <v>0</v>
      </c>
      <c r="I296" s="533">
        <f t="shared" si="28"/>
        <v>0</v>
      </c>
      <c r="J296" s="533">
        <f t="shared" si="29"/>
        <v>0</v>
      </c>
      <c r="K296" s="550"/>
      <c r="L296" s="550"/>
      <c r="M296" s="546" t="s">
        <v>216</v>
      </c>
      <c r="N296" s="546" t="s">
        <v>216</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x14ac:dyDescent="0.2">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x14ac:dyDescent="0.2">
      <c r="D298" s="524"/>
    </row>
    <row r="299" spans="1:55" x14ac:dyDescent="0.2">
      <c r="D299" s="524"/>
    </row>
    <row r="300" spans="1:55" x14ac:dyDescent="0.2">
      <c r="D300" s="524"/>
    </row>
    <row r="301" spans="1:55" x14ac:dyDescent="0.2">
      <c r="D301" s="524"/>
    </row>
    <row r="302" spans="1:55" x14ac:dyDescent="0.2">
      <c r="D302" s="524"/>
    </row>
    <row r="303" spans="1:55" x14ac:dyDescent="0.2">
      <c r="D303" s="524"/>
    </row>
    <row r="304" spans="1:55" x14ac:dyDescent="0.2">
      <c r="D304" s="524"/>
    </row>
    <row r="305" spans="4:4" x14ac:dyDescent="0.2">
      <c r="D305" s="524"/>
    </row>
    <row r="306" spans="4:4" x14ac:dyDescent="0.2">
      <c r="D306" s="524"/>
    </row>
    <row r="307" spans="4:4" x14ac:dyDescent="0.2">
      <c r="D307" s="524"/>
    </row>
    <row r="308" spans="4:4" x14ac:dyDescent="0.2">
      <c r="D308" s="524"/>
    </row>
    <row r="309" spans="4:4" x14ac:dyDescent="0.2">
      <c r="D309" s="524"/>
    </row>
    <row r="310" spans="4:4" x14ac:dyDescent="0.2">
      <c r="D310" s="524"/>
    </row>
    <row r="311" spans="4:4" x14ac:dyDescent="0.2">
      <c r="D311" s="524"/>
    </row>
    <row r="312" spans="4:4" x14ac:dyDescent="0.2">
      <c r="D312" s="524"/>
    </row>
    <row r="313" spans="4:4" x14ac:dyDescent="0.2">
      <c r="D313" s="524"/>
    </row>
    <row r="314" spans="4:4" x14ac:dyDescent="0.2">
      <c r="D314" s="524"/>
    </row>
    <row r="315" spans="4:4" x14ac:dyDescent="0.2">
      <c r="D315" s="524"/>
    </row>
    <row r="316" spans="4:4" x14ac:dyDescent="0.2">
      <c r="D316" s="524"/>
    </row>
    <row r="317" spans="4:4" x14ac:dyDescent="0.2">
      <c r="D317" s="524"/>
    </row>
    <row r="318" spans="4:4" x14ac:dyDescent="0.2">
      <c r="D318" s="524"/>
    </row>
    <row r="319" spans="4:4" x14ac:dyDescent="0.2">
      <c r="D319" s="524"/>
    </row>
    <row r="320" spans="4:4" x14ac:dyDescent="0.2">
      <c r="D320" s="524"/>
    </row>
    <row r="321" spans="4:4" x14ac:dyDescent="0.2">
      <c r="D321" s="524"/>
    </row>
    <row r="322" spans="4:4" x14ac:dyDescent="0.2">
      <c r="D322" s="524"/>
    </row>
    <row r="323" spans="4:4" x14ac:dyDescent="0.2">
      <c r="D323" s="524"/>
    </row>
    <row r="324" spans="4:4" x14ac:dyDescent="0.2">
      <c r="D324" s="524"/>
    </row>
    <row r="325" spans="4:4" x14ac:dyDescent="0.2">
      <c r="D325" s="524"/>
    </row>
    <row r="326" spans="4:4" x14ac:dyDescent="0.2">
      <c r="D326" s="524"/>
    </row>
    <row r="327" spans="4:4" x14ac:dyDescent="0.2">
      <c r="D327" s="524"/>
    </row>
    <row r="328" spans="4:4" x14ac:dyDescent="0.2">
      <c r="D328" s="524"/>
    </row>
    <row r="329" spans="4:4" x14ac:dyDescent="0.2">
      <c r="D329" s="524"/>
    </row>
    <row r="330" spans="4:4" x14ac:dyDescent="0.2">
      <c r="D330" s="524"/>
    </row>
    <row r="331" spans="4:4" x14ac:dyDescent="0.2">
      <c r="D331" s="524"/>
    </row>
    <row r="332" spans="4:4" x14ac:dyDescent="0.2">
      <c r="D332" s="524"/>
    </row>
    <row r="333" spans="4:4" x14ac:dyDescent="0.2">
      <c r="D333" s="524"/>
    </row>
    <row r="334" spans="4:4" x14ac:dyDescent="0.2">
      <c r="D334" s="524"/>
    </row>
    <row r="335" spans="4:4" x14ac:dyDescent="0.2">
      <c r="D335" s="524"/>
    </row>
    <row r="336" spans="4:4" x14ac:dyDescent="0.2">
      <c r="D336" s="524"/>
    </row>
    <row r="337" spans="4:4" x14ac:dyDescent="0.2">
      <c r="D337" s="524"/>
    </row>
    <row r="338" spans="4:4" x14ac:dyDescent="0.2">
      <c r="D338" s="524"/>
    </row>
    <row r="339" spans="4:4" x14ac:dyDescent="0.2">
      <c r="D339" s="524"/>
    </row>
    <row r="340" spans="4:4" x14ac:dyDescent="0.2">
      <c r="D340" s="524"/>
    </row>
    <row r="341" spans="4:4" x14ac:dyDescent="0.2">
      <c r="D341" s="524"/>
    </row>
    <row r="342" spans="4:4" x14ac:dyDescent="0.2">
      <c r="D342" s="524"/>
    </row>
    <row r="343" spans="4:4" x14ac:dyDescent="0.2">
      <c r="D343" s="524"/>
    </row>
    <row r="344" spans="4:4" x14ac:dyDescent="0.2">
      <c r="D344" s="524"/>
    </row>
    <row r="345" spans="4:4" x14ac:dyDescent="0.2">
      <c r="D345" s="524"/>
    </row>
    <row r="346" spans="4:4" x14ac:dyDescent="0.2">
      <c r="D346" s="524"/>
    </row>
    <row r="347" spans="4:4" x14ac:dyDescent="0.2">
      <c r="D347" s="524"/>
    </row>
    <row r="348" spans="4:4" x14ac:dyDescent="0.2">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BQ64"/>
  <sheetViews>
    <sheetView showGridLines="0" topLeftCell="A7" zoomScaleNormal="100" workbookViewId="0">
      <selection activeCell="E29" sqref="E29"/>
    </sheetView>
  </sheetViews>
  <sheetFormatPr defaultColWidth="9" defaultRowHeight="20.25" outlineLevelRow="1" outlineLevelCol="1" x14ac:dyDescent="0.3"/>
  <cols>
    <col min="1" max="1" width="13.75" style="329" customWidth="1"/>
    <col min="2" max="2" width="2.625" customWidth="1"/>
    <col min="3" max="3" width="2.625" style="43" customWidth="1"/>
    <col min="4" max="4" width="40.5" style="69" customWidth="1"/>
    <col min="5" max="5" width="15.75" style="69" customWidth="1"/>
    <col min="6" max="15" width="1.625" style="69" customWidth="1"/>
    <col min="16" max="16" width="15.75" style="69" customWidth="1"/>
    <col min="17" max="17" width="2.625" style="69" customWidth="1"/>
    <col min="18" max="18" width="2.625" style="63" customWidth="1"/>
    <col min="19" max="19" width="9" style="112" hidden="1" customWidth="1" outlineLevel="1"/>
    <col min="20" max="20" width="14.875" style="63" hidden="1" customWidth="1" outlineLevel="1"/>
    <col min="21" max="21" width="11.5" style="63" hidden="1" customWidth="1" outlineLevel="1"/>
    <col min="22" max="22" width="26.5" style="63" customWidth="1" collapsed="1"/>
    <col min="23" max="23" width="16.5" style="63" customWidth="1"/>
    <col min="24" max="24" width="18" style="63" customWidth="1"/>
    <col min="25" max="33" width="31.125" style="63" customWidth="1"/>
    <col min="34" max="69" width="9" style="63"/>
    <col min="70" max="16384" width="9" style="69"/>
  </cols>
  <sheetData>
    <row r="1" spans="1:69" s="63" customFormat="1" ht="20.25" customHeight="1" x14ac:dyDescent="0.2">
      <c r="A1" s="349" t="s">
        <v>100</v>
      </c>
      <c r="B1" s="333"/>
      <c r="C1" s="333"/>
      <c r="D1" s="333"/>
      <c r="E1" s="333"/>
      <c r="F1" s="333"/>
      <c r="G1" s="333"/>
      <c r="H1" s="333"/>
      <c r="I1" s="333"/>
      <c r="J1" s="333"/>
      <c r="K1" s="333"/>
      <c r="L1" s="333"/>
      <c r="M1" s="333"/>
      <c r="N1" s="333"/>
      <c r="O1" s="333"/>
      <c r="P1" s="333"/>
      <c r="Q1" s="333"/>
      <c r="R1" s="333"/>
      <c r="S1" s="112"/>
    </row>
    <row r="2" spans="1:69" s="6" customFormat="1" ht="30" customHeight="1" thickBot="1" x14ac:dyDescent="0.35">
      <c r="A2" s="349" t="s">
        <v>103</v>
      </c>
      <c r="B2" s="333"/>
      <c r="C2" s="331">
        <v>7</v>
      </c>
      <c r="D2" s="330" t="s">
        <v>58</v>
      </c>
      <c r="E2" s="716" t="str">
        <f>R.1MediaAndLongName</f>
        <v>AQ GrantsPassLMP</v>
      </c>
      <c r="F2" s="716"/>
      <c r="G2" s="716"/>
      <c r="H2" s="716"/>
      <c r="I2" s="716"/>
      <c r="J2" s="716"/>
      <c r="K2" s="716"/>
      <c r="L2" s="716"/>
      <c r="M2" s="716"/>
      <c r="N2" s="716"/>
      <c r="O2" s="716"/>
      <c r="P2" s="716"/>
      <c r="Q2" s="153"/>
      <c r="R2" s="333"/>
      <c r="S2" s="65"/>
      <c r="T2" s="65"/>
      <c r="U2" s="65"/>
      <c r="V2" s="119" t="s">
        <v>0</v>
      </c>
      <c r="W2" s="63"/>
      <c r="X2" s="63"/>
      <c r="Y2" s="63"/>
      <c r="Z2" s="63"/>
      <c r="AA2" s="63"/>
      <c r="AB2" s="63"/>
      <c r="AC2" s="63"/>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 customFormat="1" ht="20.25" customHeight="1" thickTop="1" x14ac:dyDescent="0.3">
      <c r="A3" s="326"/>
      <c r="B3" s="333"/>
      <c r="C3" s="154"/>
      <c r="D3" s="95"/>
      <c r="E3" s="95"/>
      <c r="F3" s="81"/>
      <c r="G3" s="163"/>
      <c r="H3" s="163"/>
      <c r="I3" s="163"/>
      <c r="J3" s="96"/>
      <c r="K3" s="12"/>
      <c r="L3" s="12"/>
      <c r="M3" s="702" t="s">
        <v>54</v>
      </c>
      <c r="N3" s="702"/>
      <c r="O3" s="702"/>
      <c r="P3" s="702"/>
      <c r="Q3" s="155"/>
      <c r="R3" s="333"/>
      <c r="S3" s="118" t="str">
        <f>"R."&amp;$C$2&amp;"StaffCount"</f>
        <v>R.7StaffCount</v>
      </c>
      <c r="T3" s="118" t="str">
        <f>"R."&amp;$C$2&amp;"LowHrs"</f>
        <v>R.7LowHrs</v>
      </c>
      <c r="U3" s="348" t="str">
        <f>"R."&amp;$C$2&amp;"HighHrs"</f>
        <v>R.7HighHrs</v>
      </c>
      <c r="V3" s="119"/>
      <c r="W3" s="63"/>
      <c r="X3" s="63"/>
      <c r="Y3" s="63"/>
      <c r="Z3" s="63"/>
      <c r="AA3" s="63"/>
      <c r="AB3" s="63"/>
      <c r="AC3" s="63"/>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69" s="6" customFormat="1" ht="20.25" customHeight="1" x14ac:dyDescent="0.3">
      <c r="A4" s="326"/>
      <c r="B4" s="333"/>
      <c r="C4" s="154"/>
      <c r="D4" s="493" t="s">
        <v>52</v>
      </c>
      <c r="E4" s="80">
        <f>S4</f>
        <v>0</v>
      </c>
      <c r="F4" s="703" t="s">
        <v>51</v>
      </c>
      <c r="G4" s="703"/>
      <c r="H4" s="703"/>
      <c r="I4" s="703"/>
      <c r="J4" s="703"/>
      <c r="K4" s="703"/>
      <c r="L4" s="703"/>
      <c r="M4" s="704" t="str">
        <f>S5</f>
        <v>0</v>
      </c>
      <c r="N4" s="704"/>
      <c r="O4" s="704"/>
      <c r="P4" s="704"/>
      <c r="Q4" s="155"/>
      <c r="R4" s="333"/>
      <c r="S4" s="353">
        <f>COUNTIFS(S13:S55,"&gt;0")</f>
        <v>0</v>
      </c>
      <c r="T4" s="354">
        <f>SUM(T13:T55)</f>
        <v>0</v>
      </c>
      <c r="U4" s="354">
        <f>SUM(U13:U55)</f>
        <v>0</v>
      </c>
      <c r="V4" s="119"/>
      <c r="W4" s="63"/>
      <c r="X4" s="63"/>
      <c r="Y4" s="63"/>
      <c r="Z4" s="63"/>
      <c r="AA4" s="63"/>
      <c r="AB4" s="63"/>
      <c r="AC4" s="63"/>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s="6" customFormat="1" ht="20.25" customHeight="1" x14ac:dyDescent="0.3">
      <c r="A5" s="326"/>
      <c r="B5" s="333"/>
      <c r="C5" s="154"/>
      <c r="D5" s="493" t="s">
        <v>53</v>
      </c>
      <c r="E5" s="97">
        <f>R.AvgHrDEQCost</f>
        <v>58</v>
      </c>
      <c r="F5" s="703" t="s">
        <v>55</v>
      </c>
      <c r="G5" s="703"/>
      <c r="H5" s="703"/>
      <c r="I5" s="703"/>
      <c r="J5" s="703"/>
      <c r="K5" s="703"/>
      <c r="L5" s="703"/>
      <c r="M5" s="705" t="str">
        <f>S6</f>
        <v>$0</v>
      </c>
      <c r="N5" s="705"/>
      <c r="O5" s="705"/>
      <c r="P5" s="705"/>
      <c r="Q5" s="155"/>
      <c r="R5" s="333"/>
      <c r="S5" s="121" t="str">
        <f>IF(R.7StaffCount=0,"0",IF(R.7LowHrs=0,"0-"&amp;TEXT(R.7HighHrs,"#,###"),TEXT(R.7LowHrs,"#,###")&amp;"-"&amp;TEXT(R.7HighHrs,"#,###")))</f>
        <v>0</v>
      </c>
      <c r="T5" s="118" t="str">
        <f>"R."&amp;$C$2&amp;"LowDollars"</f>
        <v>R.7LowDollars</v>
      </c>
      <c r="U5" s="348" t="str">
        <f>"R."&amp;$C$2&amp;"HighDollars"</f>
        <v>R.7HighDollars</v>
      </c>
      <c r="V5" s="119"/>
      <c r="W5" s="63"/>
      <c r="X5" s="63"/>
      <c r="Y5" s="63"/>
      <c r="Z5" s="63"/>
      <c r="AA5" s="63"/>
      <c r="AB5" s="63"/>
      <c r="AC5" s="63"/>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row>
    <row r="6" spans="1:69" s="6" customFormat="1" ht="8.25" customHeight="1" x14ac:dyDescent="0.3">
      <c r="A6" s="326"/>
      <c r="B6" s="333"/>
      <c r="C6" s="154"/>
      <c r="D6" s="504" t="s">
        <v>0</v>
      </c>
      <c r="E6" s="99"/>
      <c r="F6" s="98"/>
      <c r="G6" s="98"/>
      <c r="H6" s="98"/>
      <c r="I6" s="98"/>
      <c r="J6" s="98"/>
      <c r="K6" s="98"/>
      <c r="L6" s="98"/>
      <c r="M6" s="98"/>
      <c r="N6" s="98"/>
      <c r="O6" s="98"/>
      <c r="P6" s="98"/>
      <c r="Q6" s="155"/>
      <c r="R6" s="333"/>
      <c r="S6" s="121" t="str">
        <f>IF(R.7StaffCount=0,"$0",IF(R.7LowDollars=0,"$0-"&amp;TEXT(R.7HighDollars,"#,###"),TEXT(R.7LowDollars,"$#,###")&amp;"-"&amp;TEXT(R.7HighDollars,"#,###")))</f>
        <v>$0</v>
      </c>
      <c r="T6" s="123">
        <f>T4*E5</f>
        <v>0</v>
      </c>
      <c r="U6" s="123">
        <f>U4*E5</f>
        <v>0</v>
      </c>
      <c r="V6" s="119"/>
      <c r="W6" s="63"/>
      <c r="X6" s="63"/>
      <c r="Y6" s="63"/>
      <c r="Z6" s="63"/>
      <c r="AA6" s="63"/>
      <c r="AB6" s="63"/>
      <c r="AC6" s="63"/>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row>
    <row r="7" spans="1:69" s="6" customFormat="1" ht="96" customHeight="1" x14ac:dyDescent="0.3">
      <c r="A7" s="315"/>
      <c r="B7" s="333"/>
      <c r="C7" s="154"/>
      <c r="D7" s="733" t="s">
        <v>239</v>
      </c>
      <c r="E7" s="734"/>
      <c r="F7" s="734"/>
      <c r="G7" s="734"/>
      <c r="H7" s="734"/>
      <c r="I7" s="734"/>
      <c r="J7" s="734"/>
      <c r="K7" s="734"/>
      <c r="L7" s="734"/>
      <c r="M7" s="734"/>
      <c r="N7" s="734"/>
      <c r="O7" s="734"/>
      <c r="P7" s="735"/>
      <c r="Q7" s="155"/>
      <c r="R7" s="333"/>
      <c r="S7" s="495" t="e">
        <f>AVERAGEIF(S14:S56,"&gt;0")</f>
        <v>#DIV/0!</v>
      </c>
      <c r="T7" s="492"/>
      <c r="U7" s="492"/>
      <c r="V7" s="119"/>
      <c r="W7" s="435"/>
      <c r="X7" s="435"/>
      <c r="Y7" s="435"/>
      <c r="Z7" s="435"/>
      <c r="AA7" s="435"/>
      <c r="AB7" s="435"/>
      <c r="AC7" s="435"/>
      <c r="AD7" s="65"/>
      <c r="AE7" s="65"/>
      <c r="AF7" s="65"/>
    </row>
    <row r="8" spans="1:69" s="68" customFormat="1" ht="14.25" customHeight="1" x14ac:dyDescent="0.2">
      <c r="A8" s="327"/>
      <c r="B8" s="333"/>
      <c r="C8" s="403"/>
      <c r="D8" s="404"/>
      <c r="E8" s="404"/>
      <c r="F8" s="404"/>
      <c r="G8" s="404"/>
      <c r="H8" s="404"/>
      <c r="I8" s="404"/>
      <c r="J8" s="404"/>
      <c r="K8" s="404"/>
      <c r="L8" s="404"/>
      <c r="M8" s="404"/>
      <c r="N8" s="404"/>
      <c r="O8" s="404"/>
      <c r="P8" s="404"/>
      <c r="Q8" s="405"/>
      <c r="R8" s="333"/>
      <c r="S8"/>
      <c r="T8"/>
      <c r="U8"/>
      <c r="V8" s="125"/>
      <c r="W8" s="125"/>
      <c r="X8" s="125"/>
      <c r="Y8" s="125"/>
      <c r="Z8" s="125"/>
      <c r="AA8" s="125"/>
      <c r="AB8" s="125"/>
      <c r="AC8" s="125"/>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row>
    <row r="9" spans="1:69" s="32" customFormat="1" ht="30" customHeight="1" x14ac:dyDescent="0.25">
      <c r="A9" s="349" t="s">
        <v>103</v>
      </c>
      <c r="B9" s="333"/>
      <c r="C9" s="482" t="s">
        <v>0</v>
      </c>
      <c r="D9" s="380" t="s">
        <v>143</v>
      </c>
      <c r="E9" s="381"/>
      <c r="F9" s="381"/>
      <c r="G9" s="381"/>
      <c r="H9" s="381"/>
      <c r="I9" s="381"/>
      <c r="J9" s="381"/>
      <c r="K9" s="381"/>
      <c r="L9" s="381"/>
      <c r="M9" s="381"/>
      <c r="N9" s="381"/>
      <c r="O9" s="381"/>
      <c r="P9" s="381"/>
      <c r="Q9" s="383"/>
      <c r="R9" s="333"/>
      <c r="S9"/>
      <c r="T9"/>
      <c r="U9"/>
      <c r="V9" s="128"/>
      <c r="W9" s="128"/>
      <c r="X9" s="128"/>
      <c r="Y9" s="128"/>
      <c r="Z9" s="128"/>
      <c r="AA9" s="128"/>
      <c r="AB9" s="128"/>
      <c r="AC9" s="128"/>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row>
    <row r="10" spans="1:69" s="32" customFormat="1" ht="14.25" customHeight="1" x14ac:dyDescent="0.2">
      <c r="A10" s="326"/>
      <c r="B10" s="333"/>
      <c r="C10" s="231"/>
      <c r="D10" s="442" t="s">
        <v>50</v>
      </c>
      <c r="E10" s="93"/>
      <c r="F10" s="93"/>
      <c r="G10" s="93"/>
      <c r="H10" s="93"/>
      <c r="I10" s="93"/>
      <c r="J10" s="93"/>
      <c r="K10" s="93"/>
      <c r="L10" s="93"/>
      <c r="M10" s="93"/>
      <c r="N10" s="93"/>
      <c r="O10" s="93"/>
      <c r="P10" s="93"/>
      <c r="Q10" s="136"/>
      <c r="R10" s="333"/>
      <c r="S10"/>
      <c r="T10"/>
      <c r="U10"/>
      <c r="V10" s="229"/>
      <c r="W10" s="229"/>
      <c r="X10" s="229"/>
      <c r="Y10" s="229"/>
      <c r="Z10" s="229"/>
      <c r="AA10" s="229"/>
      <c r="AB10" s="229"/>
      <c r="AC10" s="22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row>
    <row r="11" spans="1:69" s="27" customFormat="1" ht="15.75" customHeight="1" x14ac:dyDescent="0.2">
      <c r="A11" s="327"/>
      <c r="B11" s="333"/>
      <c r="C11" s="137"/>
      <c r="D11" s="691"/>
      <c r="E11" s="692"/>
      <c r="F11" s="692"/>
      <c r="G11" s="692"/>
      <c r="H11" s="692"/>
      <c r="I11" s="692"/>
      <c r="J11" s="692"/>
      <c r="K11" s="692"/>
      <c r="L11" s="692"/>
      <c r="M11" s="692"/>
      <c r="N11" s="692"/>
      <c r="O11" s="692"/>
      <c r="P11" s="693"/>
      <c r="Q11" s="138"/>
      <c r="R11" s="333"/>
      <c r="S11" s="130"/>
      <c r="T11" s="129"/>
      <c r="U11" s="129"/>
      <c r="V11" s="63"/>
      <c r="W11" s="63"/>
      <c r="X11" s="63"/>
      <c r="Y11" s="63"/>
      <c r="Z11" s="63"/>
      <c r="AA11" s="63"/>
      <c r="AB11" s="63"/>
      <c r="AC11" s="63"/>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row>
    <row r="12" spans="1:69" s="32" customFormat="1" ht="15.75" customHeight="1" x14ac:dyDescent="0.2">
      <c r="A12" s="326"/>
      <c r="B12" s="333"/>
      <c r="C12" s="232"/>
      <c r="D12" s="496" t="s">
        <v>57</v>
      </c>
      <c r="E12" s="392" t="s">
        <v>15</v>
      </c>
      <c r="F12" s="736" t="s">
        <v>16</v>
      </c>
      <c r="G12" s="736"/>
      <c r="H12" s="736"/>
      <c r="I12" s="736"/>
      <c r="J12" s="736"/>
      <c r="K12" s="736"/>
      <c r="L12" s="736"/>
      <c r="M12" s="736"/>
      <c r="N12" s="736"/>
      <c r="O12" s="736"/>
      <c r="P12" s="392" t="s">
        <v>17</v>
      </c>
      <c r="Q12" s="136"/>
      <c r="R12" s="333"/>
      <c r="S12" s="227"/>
      <c r="T12" s="228"/>
      <c r="U12" s="228"/>
      <c r="V12" s="229"/>
      <c r="W12" s="229"/>
      <c r="X12" s="229"/>
      <c r="Y12" s="229"/>
      <c r="Z12" s="229"/>
      <c r="AA12" s="229"/>
      <c r="AB12" s="229"/>
      <c r="AC12" s="22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row>
    <row r="13" spans="1:69" s="27" customFormat="1" ht="15.75" customHeight="1" x14ac:dyDescent="0.2">
      <c r="A13" s="327"/>
      <c r="B13" s="333"/>
      <c r="C13" s="137"/>
      <c r="D13" s="35"/>
      <c r="E13" s="29" t="s">
        <v>217</v>
      </c>
      <c r="F13" s="70">
        <v>1</v>
      </c>
      <c r="G13" s="71">
        <v>2</v>
      </c>
      <c r="H13" s="72">
        <v>3</v>
      </c>
      <c r="I13" s="73">
        <v>4</v>
      </c>
      <c r="J13" s="74">
        <v>5</v>
      </c>
      <c r="K13" s="75">
        <v>6</v>
      </c>
      <c r="L13" s="76">
        <v>7</v>
      </c>
      <c r="M13" s="77">
        <v>8</v>
      </c>
      <c r="N13" s="78">
        <v>9</v>
      </c>
      <c r="O13" s="79">
        <v>10</v>
      </c>
      <c r="P13" s="31" t="s">
        <v>0</v>
      </c>
      <c r="Q13" s="138"/>
      <c r="R13" s="333"/>
      <c r="S13" s="132">
        <f>VLOOKUP($E13,R.VL_DEQResourcesInvolved,2,FALSE)</f>
        <v>0</v>
      </c>
      <c r="T13" s="120">
        <f>VLOOKUP($E13,R.VL_DEQResourcesInvolved,3,FALSE)</f>
        <v>0</v>
      </c>
      <c r="U13" s="120">
        <f>IF(S13=10,T13,VLOOKUP($E13,R.VL_DEQResourcesInvolved,4,FALSE))</f>
        <v>0</v>
      </c>
      <c r="V13" s="574" t="s">
        <v>542</v>
      </c>
      <c r="W13" s="63"/>
      <c r="X13" s="63"/>
      <c r="Y13" s="63"/>
      <c r="Z13" s="63"/>
      <c r="AA13" s="63"/>
      <c r="AB13" s="63"/>
      <c r="AC13" s="63"/>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row>
    <row r="14" spans="1:69" s="27" customFormat="1" ht="15.75" hidden="1" customHeight="1" outlineLevel="1" x14ac:dyDescent="0.2">
      <c r="A14" s="327"/>
      <c r="B14" s="333"/>
      <c r="C14" s="137"/>
      <c r="D14" s="35" t="s">
        <v>0</v>
      </c>
      <c r="E14" s="29" t="s">
        <v>217</v>
      </c>
      <c r="F14" s="70">
        <v>1</v>
      </c>
      <c r="G14" s="71">
        <v>2</v>
      </c>
      <c r="H14" s="72">
        <v>3</v>
      </c>
      <c r="I14" s="73">
        <v>4</v>
      </c>
      <c r="J14" s="74">
        <v>5</v>
      </c>
      <c r="K14" s="75">
        <v>6</v>
      </c>
      <c r="L14" s="76">
        <v>7</v>
      </c>
      <c r="M14" s="77">
        <v>8</v>
      </c>
      <c r="N14" s="78">
        <v>9</v>
      </c>
      <c r="O14" s="79">
        <v>10</v>
      </c>
      <c r="P14" s="31" t="s">
        <v>12</v>
      </c>
      <c r="Q14" s="138"/>
      <c r="R14" s="333"/>
      <c r="S14" s="132">
        <f>VLOOKUP($E14,R.VL_DEQResourcesInvolved,2,FALSE)</f>
        <v>0</v>
      </c>
      <c r="T14" s="120">
        <f>VLOOKUP($E14,R.VL_DEQResourcesInvolved,3,FALSE)</f>
        <v>0</v>
      </c>
      <c r="U14" s="120">
        <f>IF(S14=10,T14,VLOOKUP($E14,R.VL_DEQResourcesInvolved,4,FALSE))</f>
        <v>0</v>
      </c>
      <c r="V14" s="63"/>
      <c r="W14" s="63"/>
      <c r="X14" s="63"/>
      <c r="Y14" s="63"/>
      <c r="Z14" s="63"/>
      <c r="AA14" s="63"/>
      <c r="AB14" s="63"/>
      <c r="AC14" s="63"/>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row>
    <row r="15" spans="1:69" s="27" customFormat="1" ht="15.75" hidden="1" customHeight="1" outlineLevel="1" x14ac:dyDescent="0.2">
      <c r="A15" s="327"/>
      <c r="B15" s="333"/>
      <c r="C15" s="137"/>
      <c r="D15" s="35" t="s">
        <v>0</v>
      </c>
      <c r="E15" s="29" t="s">
        <v>217</v>
      </c>
      <c r="F15" s="70">
        <v>1</v>
      </c>
      <c r="G15" s="71">
        <v>2</v>
      </c>
      <c r="H15" s="72">
        <v>3</v>
      </c>
      <c r="I15" s="73">
        <v>4</v>
      </c>
      <c r="J15" s="74">
        <v>5</v>
      </c>
      <c r="K15" s="75">
        <v>6</v>
      </c>
      <c r="L15" s="76">
        <v>7</v>
      </c>
      <c r="M15" s="77">
        <v>8</v>
      </c>
      <c r="N15" s="78">
        <v>9</v>
      </c>
      <c r="O15" s="79">
        <v>10</v>
      </c>
      <c r="P15" s="31" t="s">
        <v>13</v>
      </c>
      <c r="Q15" s="138"/>
      <c r="R15" s="333"/>
      <c r="S15" s="132">
        <f>VLOOKUP($E15,R.VL_DEQResourcesInvolved,2,FALSE)</f>
        <v>0</v>
      </c>
      <c r="T15" s="120">
        <f>VLOOKUP($E15,R.VL_DEQResourcesInvolved,3,FALSE)</f>
        <v>0</v>
      </c>
      <c r="U15" s="120">
        <f>IF(S15=10,T15,VLOOKUP($E15,R.VL_DEQResourcesInvolved,4,FALSE))</f>
        <v>0</v>
      </c>
      <c r="V15" s="63"/>
      <c r="W15" s="63"/>
      <c r="X15" s="63"/>
      <c r="Y15" s="63"/>
      <c r="Z15" s="63"/>
      <c r="AA15" s="63"/>
      <c r="AB15" s="63"/>
      <c r="AC15" s="63"/>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row>
    <row r="16" spans="1:69" s="27" customFormat="1" ht="15.75" hidden="1" customHeight="1" outlineLevel="1" x14ac:dyDescent="0.2">
      <c r="A16" s="327"/>
      <c r="B16" s="333"/>
      <c r="C16" s="137"/>
      <c r="D16" s="35"/>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row>
    <row r="17" spans="1:69" s="27" customFormat="1" ht="15.75" customHeight="1" collapsed="1" x14ac:dyDescent="0.2">
      <c r="A17" s="327"/>
      <c r="B17" s="333"/>
      <c r="C17" s="244"/>
      <c r="D17" s="441" t="s">
        <v>49</v>
      </c>
      <c r="E17" s="30"/>
      <c r="F17" s="30"/>
      <c r="G17" s="30"/>
      <c r="H17" s="30"/>
      <c r="I17" s="30"/>
      <c r="J17" s="30"/>
      <c r="K17" s="30"/>
      <c r="L17" s="30"/>
      <c r="M17" s="30"/>
      <c r="N17" s="30"/>
      <c r="O17" s="30"/>
      <c r="P17" s="30"/>
      <c r="Q17" s="142"/>
      <c r="R17" s="333"/>
      <c r="S17" s="227"/>
      <c r="T17" s="228"/>
      <c r="U17" s="228"/>
      <c r="V17" s="235"/>
      <c r="W17" s="235"/>
      <c r="X17" s="235"/>
      <c r="Y17" s="235"/>
      <c r="Z17" s="235"/>
      <c r="AA17" s="235"/>
      <c r="AB17" s="235"/>
      <c r="AC17" s="235"/>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row>
    <row r="18" spans="1:69" s="27" customFormat="1" ht="15.75" customHeight="1" x14ac:dyDescent="0.2">
      <c r="A18" s="327"/>
      <c r="B18" s="333"/>
      <c r="C18" s="137"/>
      <c r="D18" s="743"/>
      <c r="E18" s="744"/>
      <c r="F18" s="744"/>
      <c r="G18" s="744"/>
      <c r="H18" s="744"/>
      <c r="I18" s="744"/>
      <c r="J18" s="744"/>
      <c r="K18" s="744"/>
      <c r="L18" s="744"/>
      <c r="M18" s="744"/>
      <c r="N18" s="744"/>
      <c r="O18" s="744"/>
      <c r="P18" s="745"/>
      <c r="Q18" s="138"/>
      <c r="R18" s="333"/>
      <c r="S18" s="131" t="s">
        <v>0</v>
      </c>
      <c r="T18" s="130"/>
      <c r="U18" s="130"/>
      <c r="V18" s="63"/>
      <c r="W18" s="63"/>
      <c r="X18" s="63"/>
      <c r="Y18" s="63"/>
      <c r="Z18" s="63"/>
      <c r="AA18" s="63"/>
      <c r="AB18" s="63"/>
      <c r="AC18" s="63"/>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row>
    <row r="19" spans="1:69" s="32" customFormat="1" ht="15.75" customHeight="1" x14ac:dyDescent="0.2">
      <c r="A19" s="326"/>
      <c r="B19" s="333"/>
      <c r="C19" s="231"/>
      <c r="D19" s="441" t="s">
        <v>57</v>
      </c>
      <c r="E19" s="291" t="s">
        <v>15</v>
      </c>
      <c r="F19" s="291" t="s">
        <v>16</v>
      </c>
      <c r="G19" s="291"/>
      <c r="H19" s="291"/>
      <c r="I19" s="291"/>
      <c r="J19" s="291"/>
      <c r="K19" s="291"/>
      <c r="L19" s="291"/>
      <c r="M19" s="291"/>
      <c r="N19" s="291"/>
      <c r="O19" s="291"/>
      <c r="P19" s="291" t="s">
        <v>17</v>
      </c>
      <c r="Q19" s="136"/>
      <c r="R19" s="333"/>
      <c r="S19" s="227"/>
      <c r="T19" s="228"/>
      <c r="U19" s="228"/>
      <c r="V19" s="229"/>
      <c r="W19" s="229"/>
      <c r="X19" s="229"/>
      <c r="Y19" s="229"/>
      <c r="Z19" s="229"/>
      <c r="AA19" s="229"/>
      <c r="AB19" s="229"/>
      <c r="AC19" s="22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row>
    <row r="20" spans="1:69" s="27" customFormat="1" ht="15.75" customHeight="1" x14ac:dyDescent="0.2">
      <c r="A20" s="327"/>
      <c r="B20" s="333"/>
      <c r="C20" s="137"/>
      <c r="D20" s="35"/>
      <c r="E20" s="29" t="s">
        <v>217</v>
      </c>
      <c r="F20" s="70">
        <v>1</v>
      </c>
      <c r="G20" s="71">
        <v>2</v>
      </c>
      <c r="H20" s="72">
        <v>3</v>
      </c>
      <c r="I20" s="73">
        <v>4</v>
      </c>
      <c r="J20" s="74">
        <v>5</v>
      </c>
      <c r="K20" s="75">
        <v>6</v>
      </c>
      <c r="L20" s="76">
        <v>7</v>
      </c>
      <c r="M20" s="77">
        <v>8</v>
      </c>
      <c r="N20" s="78">
        <v>9</v>
      </c>
      <c r="O20" s="79">
        <v>10</v>
      </c>
      <c r="P20" s="31" t="s">
        <v>0</v>
      </c>
      <c r="Q20" s="138"/>
      <c r="R20" s="333"/>
      <c r="S20" s="132">
        <f>VLOOKUP($E20,R.VL_DEQResourcesInvolved,2,FALSE)</f>
        <v>0</v>
      </c>
      <c r="T20" s="120">
        <f>VLOOKUP($E20,R.VL_DEQResourcesInvolved,3,FALSE)</f>
        <v>0</v>
      </c>
      <c r="U20" s="120">
        <f>IF(S20=10,T20,VLOOKUP($E20,R.VL_DEQResourcesInvolved,4,FALSE))</f>
        <v>0</v>
      </c>
      <c r="V20" s="574" t="s">
        <v>542</v>
      </c>
      <c r="W20" s="63"/>
      <c r="X20" s="63"/>
      <c r="Y20" s="63"/>
      <c r="Z20" s="63"/>
      <c r="AA20" s="63"/>
      <c r="AB20" s="63"/>
      <c r="AC20" s="63"/>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row>
    <row r="21" spans="1:69" s="27" customFormat="1" ht="15.75" hidden="1" customHeight="1" outlineLevel="1" x14ac:dyDescent="0.2">
      <c r="A21" s="327"/>
      <c r="B21" s="333"/>
      <c r="C21" s="137"/>
      <c r="D21" s="503"/>
      <c r="E21" s="29" t="s">
        <v>217</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63"/>
      <c r="W21" s="63"/>
      <c r="X21" s="63"/>
      <c r="Y21" s="63"/>
      <c r="Z21" s="63"/>
      <c r="AA21" s="63"/>
      <c r="AB21" s="63"/>
      <c r="AC21" s="63"/>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row>
    <row r="22" spans="1:69" s="27" customFormat="1" ht="15.75" hidden="1" customHeight="1" outlineLevel="1" x14ac:dyDescent="0.2">
      <c r="A22" s="327"/>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63"/>
      <c r="W22" s="63"/>
      <c r="X22" s="63"/>
      <c r="Y22" s="63"/>
      <c r="Z22" s="63"/>
      <c r="AA22" s="63"/>
      <c r="AB22" s="63"/>
      <c r="AC22" s="63"/>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row>
    <row r="23" spans="1:69" s="27" customFormat="1" ht="15.75" hidden="1" customHeight="1" outlineLevel="1" x14ac:dyDescent="0.2">
      <c r="A23" s="327"/>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row>
    <row r="24" spans="1:69" s="27" customFormat="1" ht="14.25" customHeight="1" collapsed="1" x14ac:dyDescent="0.2">
      <c r="A24" s="327"/>
      <c r="B24" s="333"/>
      <c r="C24" s="375"/>
      <c r="D24" s="480"/>
      <c r="E24" s="742"/>
      <c r="F24" s="742"/>
      <c r="G24" s="742"/>
      <c r="H24" s="742"/>
      <c r="I24" s="742"/>
      <c r="J24" s="742"/>
      <c r="K24" s="742"/>
      <c r="L24" s="742"/>
      <c r="M24" s="742"/>
      <c r="N24" s="742"/>
      <c r="O24" s="742"/>
      <c r="P24" s="742"/>
      <c r="Q24" s="378"/>
      <c r="R24" s="333"/>
      <c r="S24" s="131"/>
      <c r="T24" s="130"/>
      <c r="U24" s="130"/>
      <c r="V24" s="63"/>
      <c r="W24" s="63"/>
      <c r="X24" s="63"/>
      <c r="Y24" s="63"/>
      <c r="Z24" s="63"/>
      <c r="AA24" s="63"/>
      <c r="AB24" s="63"/>
      <c r="AC24" s="63"/>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row>
    <row r="25" spans="1:69" s="32" customFormat="1" ht="30" customHeight="1" x14ac:dyDescent="0.3">
      <c r="A25" s="349" t="s">
        <v>103</v>
      </c>
      <c r="B25" s="333"/>
      <c r="C25" s="135"/>
      <c r="D25" s="303" t="s">
        <v>144</v>
      </c>
      <c r="E25" s="301"/>
      <c r="F25" s="93"/>
      <c r="G25" s="93"/>
      <c r="H25" s="93"/>
      <c r="I25" s="93"/>
      <c r="J25" s="93"/>
      <c r="K25" s="93"/>
      <c r="L25" s="93"/>
      <c r="M25" s="93"/>
      <c r="N25" s="93"/>
      <c r="O25" s="93"/>
      <c r="P25" s="93"/>
      <c r="Q25" s="136"/>
      <c r="R25" s="333"/>
      <c r="S25" s="133"/>
      <c r="T25" s="130"/>
      <c r="U25" s="130"/>
      <c r="V25" s="128"/>
      <c r="W25" s="128"/>
      <c r="X25" s="128"/>
      <c r="Y25" s="128"/>
      <c r="Z25" s="128"/>
      <c r="AA25" s="128"/>
      <c r="AB25" s="128"/>
      <c r="AC25" s="128"/>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row>
    <row r="26" spans="1:69" s="32" customFormat="1" ht="14.25" customHeight="1" x14ac:dyDescent="0.3">
      <c r="A26" s="326"/>
      <c r="B26" s="333"/>
      <c r="C26" s="135"/>
      <c r="D26" s="442" t="s">
        <v>50</v>
      </c>
      <c r="E26" s="93"/>
      <c r="F26" s="93"/>
      <c r="G26" s="93"/>
      <c r="H26" s="93"/>
      <c r="I26" s="93"/>
      <c r="J26" s="93"/>
      <c r="K26" s="93"/>
      <c r="L26" s="93"/>
      <c r="M26" s="93"/>
      <c r="N26" s="93"/>
      <c r="O26" s="93"/>
      <c r="P26" s="93"/>
      <c r="Q26" s="136"/>
      <c r="R26" s="333"/>
      <c r="S26" s="133"/>
      <c r="T26" s="130"/>
      <c r="U26" s="130"/>
      <c r="V26" s="128"/>
      <c r="W26" s="128"/>
      <c r="X26" s="128"/>
      <c r="Y26" s="128"/>
      <c r="Z26" s="128"/>
      <c r="AA26" s="128"/>
      <c r="AB26" s="128"/>
      <c r="AC26" s="128"/>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row>
    <row r="27" spans="1:69" s="27" customFormat="1" ht="15.75" customHeight="1" x14ac:dyDescent="0.2">
      <c r="A27" s="327"/>
      <c r="B27" s="333"/>
      <c r="C27" s="137"/>
      <c r="D27" s="691"/>
      <c r="E27" s="692"/>
      <c r="F27" s="692"/>
      <c r="G27" s="692"/>
      <c r="H27" s="692"/>
      <c r="I27" s="692"/>
      <c r="J27" s="692"/>
      <c r="K27" s="692"/>
      <c r="L27" s="692"/>
      <c r="M27" s="692"/>
      <c r="N27" s="692"/>
      <c r="O27" s="692"/>
      <c r="P27" s="693"/>
      <c r="Q27" s="138"/>
      <c r="R27" s="333"/>
      <c r="S27" s="131" t="s">
        <v>0</v>
      </c>
      <c r="T27" s="130"/>
      <c r="U27" s="130"/>
      <c r="V27" s="63"/>
      <c r="W27" s="63"/>
      <c r="X27" s="63"/>
      <c r="Y27" s="63"/>
      <c r="Z27" s="63"/>
      <c r="AA27" s="63"/>
      <c r="AB27" s="63"/>
      <c r="AC27" s="63"/>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row>
    <row r="28" spans="1:69" s="32" customFormat="1" ht="15.75" customHeight="1" x14ac:dyDescent="0.2">
      <c r="A28" s="326"/>
      <c r="B28" s="333"/>
      <c r="C28" s="231"/>
      <c r="D28" s="441" t="s">
        <v>57</v>
      </c>
      <c r="E28" s="158" t="s">
        <v>15</v>
      </c>
      <c r="F28" s="158" t="s">
        <v>16</v>
      </c>
      <c r="G28" s="158"/>
      <c r="H28" s="158"/>
      <c r="I28" s="158"/>
      <c r="J28" s="158"/>
      <c r="K28" s="158"/>
      <c r="L28" s="158"/>
      <c r="M28" s="158"/>
      <c r="N28" s="158"/>
      <c r="O28" s="158"/>
      <c r="P28" s="158" t="s">
        <v>17</v>
      </c>
      <c r="Q28" s="136"/>
      <c r="R28" s="333"/>
      <c r="S28" s="227"/>
      <c r="T28" s="228"/>
      <c r="U28" s="228"/>
      <c r="V28" s="229"/>
      <c r="W28" s="229"/>
      <c r="X28" s="229"/>
      <c r="Y28" s="229"/>
      <c r="Z28" s="229"/>
      <c r="AA28" s="229"/>
      <c r="AB28" s="229"/>
      <c r="AC28" s="22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row>
    <row r="29" spans="1:69" s="27" customFormat="1" ht="15.75" customHeight="1" x14ac:dyDescent="0.2">
      <c r="A29" s="327"/>
      <c r="B29" s="333"/>
      <c r="C29" s="137"/>
      <c r="D29" s="35"/>
      <c r="E29" s="29" t="s">
        <v>217</v>
      </c>
      <c r="F29" s="70">
        <v>1</v>
      </c>
      <c r="G29" s="71">
        <v>2</v>
      </c>
      <c r="H29" s="72">
        <v>3</v>
      </c>
      <c r="I29" s="73">
        <v>4</v>
      </c>
      <c r="J29" s="74">
        <v>5</v>
      </c>
      <c r="K29" s="75">
        <v>6</v>
      </c>
      <c r="L29" s="76">
        <v>7</v>
      </c>
      <c r="M29" s="77">
        <v>8</v>
      </c>
      <c r="N29" s="78">
        <v>9</v>
      </c>
      <c r="O29" s="79">
        <v>10</v>
      </c>
      <c r="P29" s="31" t="s">
        <v>0</v>
      </c>
      <c r="Q29" s="138"/>
      <c r="R29" s="333"/>
      <c r="S29" s="132">
        <f>VLOOKUP($E29,R.VL_DEQResourcesInvolved,2,FALSE)</f>
        <v>0</v>
      </c>
      <c r="T29" s="120">
        <f>VLOOKUP($E29,R.VL_DEQResourcesInvolved,3,FALSE)</f>
        <v>0</v>
      </c>
      <c r="U29" s="120">
        <f>IF(S29=10,T29,VLOOKUP($E29,R.VL_DEQResourcesInvolved,4,FALSE))</f>
        <v>0</v>
      </c>
      <c r="V29" s="574" t="s">
        <v>542</v>
      </c>
      <c r="W29" s="63"/>
      <c r="X29" s="63"/>
      <c r="Y29" s="63"/>
      <c r="Z29" s="63"/>
      <c r="AA29" s="63"/>
      <c r="AB29" s="63"/>
      <c r="AC29" s="63"/>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row>
    <row r="30" spans="1:69" s="27" customFormat="1" ht="15.75" hidden="1" customHeight="1" outlineLevel="1" x14ac:dyDescent="0.2">
      <c r="A30" s="327"/>
      <c r="B30" s="333"/>
      <c r="C30" s="137"/>
      <c r="D30" s="35"/>
      <c r="E30" s="29" t="s">
        <v>217</v>
      </c>
      <c r="F30" s="70">
        <v>1</v>
      </c>
      <c r="G30" s="71">
        <v>2</v>
      </c>
      <c r="H30" s="72">
        <v>3</v>
      </c>
      <c r="I30" s="73">
        <v>4</v>
      </c>
      <c r="J30" s="74">
        <v>5</v>
      </c>
      <c r="K30" s="75">
        <v>6</v>
      </c>
      <c r="L30" s="76">
        <v>7</v>
      </c>
      <c r="M30" s="77">
        <v>8</v>
      </c>
      <c r="N30" s="78">
        <v>9</v>
      </c>
      <c r="O30" s="79">
        <v>10</v>
      </c>
      <c r="P30" s="31"/>
      <c r="Q30" s="138"/>
      <c r="R30" s="333"/>
      <c r="S30" s="132">
        <f>VLOOKUP($E30,R.VL_DEQResourcesInvolved,2,FALSE)</f>
        <v>0</v>
      </c>
      <c r="T30" s="120">
        <f>VLOOKUP($E30,R.VL_DEQResourcesInvolved,3,FALSE)</f>
        <v>0</v>
      </c>
      <c r="U30" s="120">
        <f>IF(S30=10,T30,VLOOKUP($E30,R.VL_DEQResourcesInvolved,4,FALSE))</f>
        <v>0</v>
      </c>
      <c r="V30" s="63"/>
      <c r="W30" s="63"/>
      <c r="X30" s="63"/>
      <c r="Y30" s="63"/>
      <c r="Z30" s="63"/>
      <c r="AA30" s="63"/>
      <c r="AB30" s="63"/>
      <c r="AC30" s="63"/>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row>
    <row r="31" spans="1:69" s="27" customFormat="1" ht="15.75" hidden="1" customHeight="1" outlineLevel="1" x14ac:dyDescent="0.2">
      <c r="A31" s="327"/>
      <c r="B31" s="333"/>
      <c r="C31" s="137"/>
      <c r="D31" s="35"/>
      <c r="E31" s="29" t="s">
        <v>217</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63"/>
      <c r="W31" s="63"/>
      <c r="X31" s="63"/>
      <c r="Y31" s="63"/>
      <c r="Z31" s="63"/>
      <c r="AA31" s="63"/>
      <c r="AB31" s="63"/>
      <c r="AC31" s="63"/>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row>
    <row r="32" spans="1:69" s="27" customFormat="1" ht="15.75" hidden="1" customHeight="1" outlineLevel="1" x14ac:dyDescent="0.2">
      <c r="A32" s="327"/>
      <c r="B32" s="333"/>
      <c r="C32" s="137"/>
      <c r="D32" s="35"/>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row>
    <row r="33" spans="1:69" s="27" customFormat="1" ht="15.75" customHeight="1" collapsed="1" x14ac:dyDescent="0.2">
      <c r="A33" s="327"/>
      <c r="B33" s="333"/>
      <c r="C33" s="141"/>
      <c r="D33" s="442" t="s">
        <v>49</v>
      </c>
      <c r="E33" s="30"/>
      <c r="F33" s="30"/>
      <c r="G33" s="30"/>
      <c r="H33" s="30"/>
      <c r="I33" s="30"/>
      <c r="J33" s="30"/>
      <c r="K33" s="30"/>
      <c r="L33" s="30"/>
      <c r="M33" s="30"/>
      <c r="N33" s="30"/>
      <c r="O33" s="30"/>
      <c r="P33" s="30"/>
      <c r="Q33" s="142"/>
      <c r="R33" s="333"/>
      <c r="S33" s="131"/>
      <c r="T33" s="130"/>
      <c r="U33" s="130"/>
      <c r="V33" s="63"/>
      <c r="W33" s="63"/>
      <c r="X33" s="63"/>
      <c r="Y33" s="63"/>
      <c r="Z33" s="63"/>
      <c r="AA33" s="63"/>
      <c r="AB33" s="63"/>
      <c r="AC33" s="63"/>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row>
    <row r="34" spans="1:69" s="27" customFormat="1" ht="15.75" customHeight="1" x14ac:dyDescent="0.2">
      <c r="A34" s="327"/>
      <c r="B34" s="333"/>
      <c r="C34" s="137"/>
      <c r="D34" s="743"/>
      <c r="E34" s="744"/>
      <c r="F34" s="744"/>
      <c r="G34" s="744"/>
      <c r="H34" s="744"/>
      <c r="I34" s="744"/>
      <c r="J34" s="744"/>
      <c r="K34" s="744"/>
      <c r="L34" s="744"/>
      <c r="M34" s="744"/>
      <c r="N34" s="744"/>
      <c r="O34" s="744"/>
      <c r="P34" s="745"/>
      <c r="Q34" s="138"/>
      <c r="R34" s="333"/>
      <c r="S34" s="131" t="s">
        <v>0</v>
      </c>
      <c r="T34" s="130"/>
      <c r="U34" s="130"/>
      <c r="V34" s="63"/>
      <c r="W34" s="63"/>
      <c r="X34" s="63"/>
      <c r="Y34" s="63"/>
      <c r="Z34" s="63"/>
      <c r="AA34" s="63"/>
      <c r="AB34" s="63"/>
      <c r="AC34" s="63"/>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row>
    <row r="35" spans="1:69" s="32" customFormat="1" ht="15.75" customHeight="1" x14ac:dyDescent="0.2">
      <c r="A35" s="326"/>
      <c r="B35" s="333"/>
      <c r="C35" s="231"/>
      <c r="D35" s="441" t="s">
        <v>57</v>
      </c>
      <c r="E35" s="158" t="s">
        <v>15</v>
      </c>
      <c r="F35" s="158" t="s">
        <v>16</v>
      </c>
      <c r="G35" s="158"/>
      <c r="H35" s="158"/>
      <c r="I35" s="158"/>
      <c r="J35" s="158"/>
      <c r="K35" s="158"/>
      <c r="L35" s="158"/>
      <c r="M35" s="158"/>
      <c r="N35" s="158"/>
      <c r="O35" s="158"/>
      <c r="P35" s="158" t="s">
        <v>17</v>
      </c>
      <c r="Q35" s="136"/>
      <c r="R35" s="333"/>
      <c r="S35" s="227"/>
      <c r="T35" s="228"/>
      <c r="U35" s="228"/>
      <c r="V35" s="229"/>
      <c r="W35" s="229"/>
      <c r="X35" s="229"/>
      <c r="Y35" s="229"/>
      <c r="Z35" s="229"/>
      <c r="AA35" s="229"/>
      <c r="AB35" s="229"/>
      <c r="AC35" s="22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row>
    <row r="36" spans="1:69" s="27" customFormat="1" ht="15.75" customHeight="1" x14ac:dyDescent="0.2">
      <c r="A36" s="327"/>
      <c r="B36" s="333"/>
      <c r="C36" s="137"/>
      <c r="D36" s="35" t="s">
        <v>0</v>
      </c>
      <c r="E36" s="29" t="s">
        <v>217</v>
      </c>
      <c r="F36" s="70">
        <v>1</v>
      </c>
      <c r="G36" s="71">
        <v>2</v>
      </c>
      <c r="H36" s="72">
        <v>3</v>
      </c>
      <c r="I36" s="73">
        <v>4</v>
      </c>
      <c r="J36" s="74">
        <v>5</v>
      </c>
      <c r="K36" s="75">
        <v>6</v>
      </c>
      <c r="L36" s="76">
        <v>7</v>
      </c>
      <c r="M36" s="77">
        <v>8</v>
      </c>
      <c r="N36" s="78">
        <v>9</v>
      </c>
      <c r="O36" s="79">
        <v>10</v>
      </c>
      <c r="P36" s="31" t="s">
        <v>0</v>
      </c>
      <c r="Q36" s="138"/>
      <c r="R36" s="333"/>
      <c r="S36" s="132">
        <f>VLOOKUP($E36,R.VL_DEQResourcesInvolved,2,FALSE)</f>
        <v>0</v>
      </c>
      <c r="T36" s="120">
        <f>VLOOKUP($E36,R.VL_DEQResourcesInvolved,3,FALSE)</f>
        <v>0</v>
      </c>
      <c r="U36" s="120">
        <f>IF(S36=10,T36,VLOOKUP($E36,R.VL_DEQResourcesInvolved,4,FALSE))</f>
        <v>0</v>
      </c>
      <c r="V36" s="574" t="s">
        <v>542</v>
      </c>
      <c r="W36" s="63"/>
      <c r="X36" s="63"/>
      <c r="Y36" s="63"/>
      <c r="Z36" s="63"/>
      <c r="AA36" s="63"/>
      <c r="AB36" s="63"/>
      <c r="AC36" s="63"/>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row>
    <row r="37" spans="1:69" s="27" customFormat="1" ht="15.75" hidden="1" customHeight="1" outlineLevel="1" x14ac:dyDescent="0.2">
      <c r="A37" s="327"/>
      <c r="B37" s="333"/>
      <c r="C37" s="137"/>
      <c r="D37" s="35"/>
      <c r="E37" s="29" t="s">
        <v>217</v>
      </c>
      <c r="F37" s="70">
        <v>1</v>
      </c>
      <c r="G37" s="71">
        <v>2</v>
      </c>
      <c r="H37" s="72">
        <v>3</v>
      </c>
      <c r="I37" s="73">
        <v>4</v>
      </c>
      <c r="J37" s="74">
        <v>5</v>
      </c>
      <c r="K37" s="75">
        <v>6</v>
      </c>
      <c r="L37" s="76">
        <v>7</v>
      </c>
      <c r="M37" s="77">
        <v>8</v>
      </c>
      <c r="N37" s="78">
        <v>9</v>
      </c>
      <c r="O37" s="79">
        <v>10</v>
      </c>
      <c r="P37" s="31"/>
      <c r="Q37" s="138"/>
      <c r="R37" s="333"/>
      <c r="S37" s="132">
        <f>VLOOKUP($E37,R.VL_DEQResourcesInvolved,2,FALSE)</f>
        <v>0</v>
      </c>
      <c r="T37" s="120">
        <f>VLOOKUP($E37,R.VL_DEQResourcesInvolved,3,FALSE)</f>
        <v>0</v>
      </c>
      <c r="U37" s="120">
        <f>IF(S37=10,T37,VLOOKUP($E37,R.VL_DEQResourcesInvolved,4,FALSE))</f>
        <v>0</v>
      </c>
      <c r="V37" s="63"/>
      <c r="W37" s="63"/>
      <c r="X37" s="63"/>
      <c r="Y37" s="63"/>
      <c r="Z37" s="63"/>
      <c r="AA37" s="63"/>
      <c r="AB37" s="63"/>
      <c r="AC37" s="63"/>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69" s="27" customFormat="1" ht="15.75" hidden="1" customHeight="1" outlineLevel="1" x14ac:dyDescent="0.2">
      <c r="A38" s="327"/>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63"/>
      <c r="W38" s="63"/>
      <c r="X38" s="63"/>
      <c r="Y38" s="63"/>
      <c r="Z38" s="63"/>
      <c r="AA38" s="63"/>
      <c r="AB38" s="63"/>
      <c r="AC38" s="63"/>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69" s="27" customFormat="1" ht="15.75" hidden="1" customHeight="1" outlineLevel="1" x14ac:dyDescent="0.2">
      <c r="A39" s="327"/>
      <c r="B39" s="333"/>
      <c r="C39" s="137"/>
      <c r="D39" s="35"/>
      <c r="E39" s="29" t="s">
        <v>217</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row>
    <row r="40" spans="1:69" s="27" customFormat="1" ht="14.25" customHeight="1" collapsed="1" x14ac:dyDescent="0.2">
      <c r="A40" s="327"/>
      <c r="B40" s="333"/>
      <c r="C40" s="375"/>
      <c r="D40" s="480"/>
      <c r="E40" s="742"/>
      <c r="F40" s="742"/>
      <c r="G40" s="742"/>
      <c r="H40" s="742"/>
      <c r="I40" s="742"/>
      <c r="J40" s="742"/>
      <c r="K40" s="742"/>
      <c r="L40" s="742"/>
      <c r="M40" s="742"/>
      <c r="N40" s="742"/>
      <c r="O40" s="742"/>
      <c r="P40" s="742"/>
      <c r="Q40" s="378"/>
      <c r="R40" s="333"/>
      <c r="S40" s="131"/>
      <c r="T40" s="130"/>
      <c r="U40" s="130"/>
      <c r="V40" s="63"/>
      <c r="W40" s="63"/>
      <c r="X40" s="63"/>
      <c r="Y40" s="63"/>
      <c r="Z40" s="63"/>
      <c r="AA40" s="63"/>
      <c r="AB40" s="63"/>
      <c r="AC40" s="63"/>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row>
    <row r="41" spans="1:69" s="32" customFormat="1" ht="30" customHeight="1" x14ac:dyDescent="0.25">
      <c r="A41" s="349" t="s">
        <v>103</v>
      </c>
      <c r="B41" s="333"/>
      <c r="C41" s="479" t="s">
        <v>0</v>
      </c>
      <c r="D41" s="303" t="s">
        <v>145</v>
      </c>
      <c r="E41" s="93"/>
      <c r="F41" s="93"/>
      <c r="G41" s="93"/>
      <c r="H41" s="93"/>
      <c r="I41" s="93"/>
      <c r="J41" s="93"/>
      <c r="K41" s="93"/>
      <c r="L41" s="93"/>
      <c r="M41" s="93"/>
      <c r="N41" s="93"/>
      <c r="O41" s="93"/>
      <c r="P41" s="93"/>
      <c r="Q41" s="136"/>
      <c r="R41" s="333"/>
      <c r="S41" s="301"/>
      <c r="T41" s="301" t="s">
        <v>0</v>
      </c>
      <c r="U41" s="301"/>
      <c r="V41" s="128"/>
      <c r="W41" s="128"/>
      <c r="X41" s="128"/>
      <c r="Y41" s="128"/>
      <c r="Z41" s="128"/>
      <c r="AA41" s="128"/>
      <c r="AB41" s="128"/>
      <c r="AC41" s="128"/>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row>
    <row r="42" spans="1:69" s="32" customFormat="1" ht="14.25" customHeight="1" x14ac:dyDescent="0.2">
      <c r="A42" s="326"/>
      <c r="B42" s="333"/>
      <c r="C42" s="231"/>
      <c r="D42" s="442" t="s">
        <v>50</v>
      </c>
      <c r="E42" s="93"/>
      <c r="F42" s="93"/>
      <c r="G42" s="93"/>
      <c r="H42" s="93"/>
      <c r="I42" s="93"/>
      <c r="J42" s="93"/>
      <c r="K42" s="93"/>
      <c r="L42" s="93"/>
      <c r="M42" s="93"/>
      <c r="N42" s="93"/>
      <c r="O42" s="93"/>
      <c r="P42" s="93"/>
      <c r="Q42" s="136"/>
      <c r="R42" s="333"/>
      <c r="S42" s="301"/>
      <c r="T42" s="301"/>
      <c r="U42" s="301"/>
      <c r="V42" s="229"/>
      <c r="W42" s="229"/>
      <c r="X42" s="229"/>
      <c r="Y42" s="229"/>
      <c r="Z42" s="229"/>
      <c r="AA42" s="229"/>
      <c r="AB42" s="229"/>
      <c r="AC42" s="22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row>
    <row r="43" spans="1:69" s="27" customFormat="1" ht="15.75" customHeight="1" x14ac:dyDescent="0.2">
      <c r="A43" s="327"/>
      <c r="B43" s="333"/>
      <c r="C43" s="137"/>
      <c r="D43" s="691" t="s">
        <v>0</v>
      </c>
      <c r="E43" s="692"/>
      <c r="F43" s="692"/>
      <c r="G43" s="692"/>
      <c r="H43" s="692"/>
      <c r="I43" s="692"/>
      <c r="J43" s="692"/>
      <c r="K43" s="692"/>
      <c r="L43" s="692"/>
      <c r="M43" s="692"/>
      <c r="N43" s="692"/>
      <c r="O43" s="692"/>
      <c r="P43" s="693"/>
      <c r="Q43" s="138"/>
      <c r="R43" s="333"/>
      <c r="S43" s="130" t="s">
        <v>0</v>
      </c>
      <c r="T43" s="129"/>
      <c r="U43" s="129"/>
      <c r="V43" s="63"/>
      <c r="W43" s="63"/>
      <c r="X43" s="63"/>
      <c r="Y43" s="63"/>
      <c r="Z43" s="63"/>
      <c r="AA43" s="63"/>
      <c r="AB43" s="63"/>
      <c r="AC43" s="63"/>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row>
    <row r="44" spans="1:69" s="32" customFormat="1" ht="15.75" customHeight="1" x14ac:dyDescent="0.2">
      <c r="A44" s="326"/>
      <c r="B44" s="333"/>
      <c r="C44" s="232"/>
      <c r="D44" s="496" t="s">
        <v>57</v>
      </c>
      <c r="E44" s="392" t="s">
        <v>15</v>
      </c>
      <c r="F44" s="736" t="s">
        <v>16</v>
      </c>
      <c r="G44" s="736"/>
      <c r="H44" s="736"/>
      <c r="I44" s="736"/>
      <c r="J44" s="736"/>
      <c r="K44" s="736"/>
      <c r="L44" s="736"/>
      <c r="M44" s="736"/>
      <c r="N44" s="736"/>
      <c r="O44" s="736"/>
      <c r="P44" s="392" t="s">
        <v>17</v>
      </c>
      <c r="Q44" s="136"/>
      <c r="R44" s="333"/>
      <c r="S44" s="227"/>
      <c r="T44" s="228"/>
      <c r="U44" s="228"/>
      <c r="V44" s="229"/>
      <c r="W44" s="229"/>
      <c r="X44" s="229"/>
      <c r="Y44" s="229"/>
      <c r="Z44" s="229"/>
      <c r="AA44" s="229"/>
      <c r="AB44" s="229"/>
      <c r="AC44" s="229"/>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row>
    <row r="45" spans="1:69" s="27" customFormat="1" ht="15.75" customHeight="1" x14ac:dyDescent="0.2">
      <c r="A45" s="327"/>
      <c r="B45" s="333"/>
      <c r="C45" s="137"/>
      <c r="D45" s="35" t="s">
        <v>0</v>
      </c>
      <c r="E45" s="29" t="s">
        <v>217</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74" t="s">
        <v>542</v>
      </c>
      <c r="W45" s="63"/>
      <c r="X45" s="63"/>
      <c r="Y45" s="63"/>
      <c r="Z45" s="63"/>
      <c r="AA45" s="63"/>
      <c r="AB45" s="63"/>
      <c r="AC45" s="63"/>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row>
    <row r="46" spans="1:69" s="27" customFormat="1" ht="15.75" hidden="1" customHeight="1" outlineLevel="1" x14ac:dyDescent="0.2">
      <c r="A46" s="327"/>
      <c r="B46" s="333"/>
      <c r="C46" s="137"/>
      <c r="D46" s="35" t="s">
        <v>0</v>
      </c>
      <c r="E46" s="29" t="s">
        <v>217</v>
      </c>
      <c r="F46" s="70">
        <v>1</v>
      </c>
      <c r="G46" s="71">
        <v>2</v>
      </c>
      <c r="H46" s="72">
        <v>3</v>
      </c>
      <c r="I46" s="73">
        <v>4</v>
      </c>
      <c r="J46" s="74">
        <v>5</v>
      </c>
      <c r="K46" s="75">
        <v>6</v>
      </c>
      <c r="L46" s="76">
        <v>7</v>
      </c>
      <c r="M46" s="77">
        <v>8</v>
      </c>
      <c r="N46" s="78">
        <v>9</v>
      </c>
      <c r="O46" s="79">
        <v>10</v>
      </c>
      <c r="P46" s="31" t="s">
        <v>0</v>
      </c>
      <c r="Q46" s="138"/>
      <c r="R46" s="333"/>
      <c r="S46" s="132">
        <f>VLOOKUP($E46,R.VL_DEQResourcesInvolved,2,FALSE)</f>
        <v>0</v>
      </c>
      <c r="T46" s="120">
        <f>VLOOKUP($E46,R.VL_DEQResourcesInvolved,3,FALSE)</f>
        <v>0</v>
      </c>
      <c r="U46" s="120">
        <f>IF(S46=10,T46,VLOOKUP($E46,R.VL_DEQResourcesInvolved,4,FALSE))</f>
        <v>0</v>
      </c>
      <c r="V46" s="63"/>
      <c r="W46" s="63"/>
      <c r="X46" s="63"/>
      <c r="Y46" s="63"/>
      <c r="Z46" s="63"/>
      <c r="AA46" s="63"/>
      <c r="AB46" s="63"/>
      <c r="AC46" s="63"/>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row>
    <row r="47" spans="1:69" s="27" customFormat="1" ht="15.75" hidden="1" customHeight="1" outlineLevel="1" x14ac:dyDescent="0.2">
      <c r="A47" s="327"/>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63"/>
      <c r="W47" s="63"/>
      <c r="X47" s="63"/>
      <c r="Y47" s="63"/>
      <c r="Z47" s="63"/>
      <c r="AA47" s="63"/>
      <c r="AB47" s="63"/>
      <c r="AC47" s="63"/>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row>
    <row r="48" spans="1:69" s="27" customFormat="1" ht="15.75" hidden="1" customHeight="1" outlineLevel="1" x14ac:dyDescent="0.2">
      <c r="A48" s="327"/>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row>
    <row r="49" spans="1:69" s="27" customFormat="1" ht="15.75" customHeight="1" collapsed="1" x14ac:dyDescent="0.2">
      <c r="A49" s="327"/>
      <c r="B49" s="333"/>
      <c r="C49" s="244"/>
      <c r="D49" s="441" t="s">
        <v>49</v>
      </c>
      <c r="E49" s="30"/>
      <c r="F49" s="30"/>
      <c r="G49" s="30"/>
      <c r="H49" s="30"/>
      <c r="I49" s="30"/>
      <c r="J49" s="30"/>
      <c r="K49" s="30"/>
      <c r="L49" s="30"/>
      <c r="M49" s="30"/>
      <c r="N49" s="30"/>
      <c r="O49" s="30"/>
      <c r="P49" s="30"/>
      <c r="Q49" s="142"/>
      <c r="R49" s="333"/>
      <c r="S49" s="227"/>
      <c r="T49" s="228"/>
      <c r="U49" s="228"/>
      <c r="V49" s="235"/>
      <c r="W49" s="235"/>
      <c r="X49" s="235"/>
      <c r="Y49" s="235"/>
      <c r="Z49" s="235"/>
      <c r="AA49" s="235"/>
      <c r="AB49" s="235"/>
      <c r="AC49" s="235"/>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row>
    <row r="50" spans="1:69" s="27" customFormat="1" ht="15.75" customHeight="1" x14ac:dyDescent="0.2">
      <c r="A50" s="327"/>
      <c r="B50" s="333"/>
      <c r="C50" s="137"/>
      <c r="D50" s="743" t="s">
        <v>0</v>
      </c>
      <c r="E50" s="744"/>
      <c r="F50" s="744"/>
      <c r="G50" s="744"/>
      <c r="H50" s="744"/>
      <c r="I50" s="744"/>
      <c r="J50" s="744"/>
      <c r="K50" s="744"/>
      <c r="L50" s="744"/>
      <c r="M50" s="744"/>
      <c r="N50" s="744"/>
      <c r="O50" s="744"/>
      <c r="P50" s="745"/>
      <c r="Q50" s="138"/>
      <c r="R50" s="333"/>
      <c r="S50" s="131" t="s">
        <v>0</v>
      </c>
      <c r="T50" s="130"/>
      <c r="U50" s="130"/>
      <c r="V50" s="63"/>
      <c r="W50" s="63"/>
      <c r="X50" s="63"/>
      <c r="Y50" s="63"/>
      <c r="Z50" s="63"/>
      <c r="AA50" s="63"/>
      <c r="AB50" s="63"/>
      <c r="AC50" s="63"/>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row>
    <row r="51" spans="1:69" s="32" customFormat="1" ht="15.75" customHeight="1" x14ac:dyDescent="0.2">
      <c r="A51" s="326"/>
      <c r="B51" s="333"/>
      <c r="C51" s="231"/>
      <c r="D51" s="441" t="s">
        <v>57</v>
      </c>
      <c r="E51" s="291" t="s">
        <v>15</v>
      </c>
      <c r="F51" s="291" t="s">
        <v>16</v>
      </c>
      <c r="G51" s="291"/>
      <c r="H51" s="291"/>
      <c r="I51" s="291"/>
      <c r="J51" s="291"/>
      <c r="K51" s="291"/>
      <c r="L51" s="291"/>
      <c r="M51" s="291"/>
      <c r="N51" s="291"/>
      <c r="O51" s="291"/>
      <c r="P51" s="291" t="s">
        <v>17</v>
      </c>
      <c r="Q51" s="136"/>
      <c r="R51" s="333"/>
      <c r="S51" s="227"/>
      <c r="T51" s="228"/>
      <c r="U51" s="228"/>
      <c r="V51" s="229"/>
      <c r="W51" s="229"/>
      <c r="X51" s="229"/>
      <c r="Y51" s="229"/>
      <c r="Z51" s="229"/>
      <c r="AA51" s="229"/>
      <c r="AB51" s="229"/>
      <c r="AC51" s="229"/>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row>
    <row r="52" spans="1:69" s="27" customFormat="1" ht="15.75" customHeight="1" x14ac:dyDescent="0.2">
      <c r="A52" s="327"/>
      <c r="B52" s="333"/>
      <c r="C52" s="137"/>
      <c r="D52" s="35" t="s">
        <v>0</v>
      </c>
      <c r="E52" s="29" t="s">
        <v>217</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574" t="s">
        <v>542</v>
      </c>
      <c r="W52" s="63"/>
      <c r="X52" s="63"/>
      <c r="Y52" s="63"/>
      <c r="Z52" s="63"/>
      <c r="AA52" s="63"/>
      <c r="AB52" s="63"/>
      <c r="AC52" s="63"/>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row>
    <row r="53" spans="1:69" s="27" customFormat="1" ht="15.75" hidden="1" customHeight="1" outlineLevel="1" x14ac:dyDescent="0.2">
      <c r="A53" s="327"/>
      <c r="B53" s="333"/>
      <c r="C53" s="137"/>
      <c r="D53" s="35" t="s">
        <v>0</v>
      </c>
      <c r="E53" s="29" t="s">
        <v>217</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63"/>
      <c r="W53" s="63"/>
      <c r="X53" s="63"/>
      <c r="Y53" s="63"/>
      <c r="Z53" s="63"/>
      <c r="AA53" s="63"/>
      <c r="AB53" s="63"/>
      <c r="AC53" s="63"/>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row>
    <row r="54" spans="1:69" s="27" customFormat="1" ht="15.75" hidden="1" customHeight="1" outlineLevel="1" x14ac:dyDescent="0.2">
      <c r="A54" s="327"/>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63"/>
      <c r="W54" s="63"/>
      <c r="X54" s="63"/>
      <c r="Y54" s="63"/>
      <c r="Z54" s="63"/>
      <c r="AA54" s="63"/>
      <c r="AB54" s="63"/>
      <c r="AC54" s="63"/>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row>
    <row r="55" spans="1:69" s="27" customFormat="1" ht="15.75" hidden="1" customHeight="1" outlineLevel="1" x14ac:dyDescent="0.2">
      <c r="A55" s="327"/>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row>
    <row r="56" spans="1:69" s="27" customFormat="1" ht="14.25" customHeight="1" collapsed="1" x14ac:dyDescent="0.2">
      <c r="A56" s="327"/>
      <c r="B56" s="333"/>
      <c r="C56" s="143"/>
      <c r="D56" s="100"/>
      <c r="E56" s="741"/>
      <c r="F56" s="741"/>
      <c r="G56" s="741"/>
      <c r="H56" s="741"/>
      <c r="I56" s="741"/>
      <c r="J56" s="741"/>
      <c r="K56" s="741"/>
      <c r="L56" s="741"/>
      <c r="M56" s="741"/>
      <c r="N56" s="741"/>
      <c r="O56" s="741"/>
      <c r="P56" s="741"/>
      <c r="Q56" s="144"/>
      <c r="R56" s="333"/>
      <c r="S56" s="131"/>
      <c r="T56" s="130"/>
      <c r="U56" s="130"/>
      <c r="V56" s="63"/>
      <c r="W56" s="63"/>
      <c r="X56" s="63"/>
      <c r="Y56" s="63"/>
      <c r="Z56" s="63"/>
      <c r="AA56" s="63"/>
      <c r="AB56" s="63"/>
      <c r="AC56" s="63"/>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s="28" customFormat="1" ht="30" customHeight="1" x14ac:dyDescent="0.3">
      <c r="A57" s="326"/>
      <c r="B57" s="333"/>
      <c r="C57" s="145"/>
      <c r="D57" s="746" t="str">
        <f>"Please suggest process improvements to the "&amp;D2&amp;" worksheet."</f>
        <v>Please suggest process improvements to the Regions worksheet.</v>
      </c>
      <c r="E57" s="746"/>
      <c r="F57" s="746"/>
      <c r="G57" s="746"/>
      <c r="H57" s="746"/>
      <c r="I57" s="746"/>
      <c r="J57" s="87"/>
      <c r="K57" s="88"/>
      <c r="L57" s="89"/>
      <c r="M57" s="90"/>
      <c r="N57" s="91"/>
      <c r="O57" s="92"/>
      <c r="P57" s="38"/>
      <c r="Q57" s="146"/>
      <c r="R57" s="333"/>
      <c r="S57" s="133"/>
      <c r="T57" s="130"/>
      <c r="U57" s="130"/>
      <c r="V57" s="63"/>
      <c r="W57" s="63"/>
      <c r="X57" s="63"/>
      <c r="Y57" s="63"/>
      <c r="Z57" s="63"/>
      <c r="AA57" s="63"/>
      <c r="AB57" s="63"/>
      <c r="AC57" s="63"/>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row>
    <row r="58" spans="1:69" s="6" customFormat="1" ht="30.75" customHeight="1" x14ac:dyDescent="0.3">
      <c r="A58" s="335"/>
      <c r="B58" s="333"/>
      <c r="C58" s="135"/>
      <c r="D58" s="639"/>
      <c r="E58" s="640"/>
      <c r="F58" s="640"/>
      <c r="G58" s="640"/>
      <c r="H58" s="640"/>
      <c r="I58" s="640"/>
      <c r="J58" s="640"/>
      <c r="K58" s="640"/>
      <c r="L58" s="640"/>
      <c r="M58" s="640"/>
      <c r="N58" s="640"/>
      <c r="O58" s="640"/>
      <c r="P58" s="641"/>
      <c r="Q58" s="147"/>
      <c r="R58" s="333"/>
      <c r="S58" s="131"/>
      <c r="T58" s="130"/>
      <c r="U58" s="130"/>
      <c r="V58" s="63"/>
      <c r="W58" s="63"/>
      <c r="X58" s="63"/>
      <c r="Y58" s="63"/>
      <c r="Z58" s="63"/>
      <c r="AA58" s="63"/>
      <c r="AB58" s="63"/>
      <c r="AC58" s="63"/>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row>
    <row r="59" spans="1:69" ht="18" customHeight="1" x14ac:dyDescent="0.3">
      <c r="A59" s="349" t="s">
        <v>104</v>
      </c>
      <c r="B59" s="333"/>
      <c r="C59" s="135"/>
      <c r="D59" s="39"/>
      <c r="E59" s="149"/>
      <c r="F59" s="149"/>
      <c r="G59" s="149"/>
      <c r="H59" s="149"/>
      <c r="I59" s="149"/>
      <c r="J59" s="149"/>
      <c r="K59" s="149"/>
      <c r="L59" s="149"/>
      <c r="M59" s="149"/>
      <c r="N59" s="149"/>
      <c r="O59" s="149"/>
      <c r="P59" s="149"/>
      <c r="Q59" s="150"/>
      <c r="R59" s="333"/>
    </row>
    <row r="60" spans="1:69" ht="14.25" customHeight="1" x14ac:dyDescent="0.2">
      <c r="A60" s="311"/>
      <c r="B60" s="346"/>
      <c r="C60" s="346"/>
      <c r="D60" s="346"/>
      <c r="E60" s="333"/>
      <c r="F60" s="333"/>
      <c r="G60" s="333"/>
      <c r="H60" s="333"/>
      <c r="I60" s="333"/>
      <c r="J60" s="333"/>
      <c r="K60" s="333"/>
      <c r="L60" s="333"/>
      <c r="M60" s="333"/>
      <c r="N60" s="333"/>
      <c r="O60" s="333"/>
      <c r="P60" s="333"/>
      <c r="Q60" s="333"/>
      <c r="R60" s="333"/>
    </row>
    <row r="61" spans="1:69" x14ac:dyDescent="0.3">
      <c r="A61" s="328"/>
      <c r="C61" s="42"/>
      <c r="D61" s="44"/>
      <c r="E61" s="44"/>
      <c r="F61" s="44"/>
      <c r="G61" s="44"/>
      <c r="H61" s="44"/>
      <c r="I61" s="44"/>
      <c r="J61" s="44"/>
      <c r="K61" s="44"/>
      <c r="L61" s="44"/>
      <c r="M61" s="44"/>
      <c r="N61" s="44"/>
      <c r="O61" s="44"/>
      <c r="P61" s="44"/>
      <c r="Q61" s="44"/>
    </row>
    <row r="62" spans="1:69" x14ac:dyDescent="0.3">
      <c r="A62" s="328"/>
      <c r="C62" s="42"/>
      <c r="D62" s="44"/>
      <c r="E62" s="44"/>
      <c r="F62" s="44"/>
      <c r="G62" s="44"/>
      <c r="H62" s="44"/>
      <c r="I62" s="44"/>
      <c r="J62" s="44"/>
      <c r="K62" s="44"/>
      <c r="L62" s="44"/>
      <c r="M62" s="44"/>
      <c r="N62" s="44"/>
      <c r="O62" s="44"/>
      <c r="P62" s="44"/>
      <c r="Q62" s="44"/>
    </row>
    <row r="63" spans="1:69" x14ac:dyDescent="0.3">
      <c r="A63" s="328"/>
      <c r="C63" s="42"/>
      <c r="D63" s="44"/>
      <c r="E63" s="44"/>
      <c r="F63" s="44"/>
      <c r="G63" s="44"/>
      <c r="H63" s="44"/>
      <c r="I63" s="44"/>
      <c r="J63" s="44"/>
      <c r="K63" s="44"/>
      <c r="L63" s="44"/>
      <c r="M63" s="44"/>
      <c r="N63" s="44"/>
      <c r="O63" s="44"/>
      <c r="P63" s="44"/>
      <c r="Q63" s="44"/>
    </row>
    <row r="64" spans="1:69" x14ac:dyDescent="0.3">
      <c r="A64" s="328"/>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G70"/>
  <sheetViews>
    <sheetView showGridLines="0" topLeftCell="A29" zoomScaleNormal="100" workbookViewId="0">
      <selection activeCell="V13" sqref="V13"/>
    </sheetView>
  </sheetViews>
  <sheetFormatPr defaultColWidth="9" defaultRowHeight="20.25" outlineLevelRow="1" outlineLevelCol="1" x14ac:dyDescent="0.3"/>
  <cols>
    <col min="1" max="1" width="13.75" style="309" customWidth="1"/>
    <col min="2" max="2" width="2.625" customWidth="1"/>
    <col min="3" max="3" width="2.625" style="43" customWidth="1"/>
    <col min="4" max="4" width="40.5" style="55" customWidth="1"/>
    <col min="5" max="5" width="15.75" style="55" customWidth="1"/>
    <col min="6" max="15" width="1.625" style="55" customWidth="1"/>
    <col min="16" max="16" width="15.75" style="55" customWidth="1"/>
    <col min="17" max="17" width="2.625" style="55"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55" customWidth="1"/>
    <col min="34" max="16384" width="9" style="55"/>
  </cols>
  <sheetData>
    <row r="1" spans="1:33" s="63" customFormat="1" ht="20.25" customHeight="1" x14ac:dyDescent="0.2">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x14ac:dyDescent="0.35">
      <c r="A2" s="315"/>
      <c r="B2" s="333"/>
      <c r="C2" s="331">
        <v>8</v>
      </c>
      <c r="D2" s="330" t="s">
        <v>56</v>
      </c>
      <c r="E2" s="701" t="str">
        <f>R.1MediaAndLongName</f>
        <v>AQ GrantsPassLMP</v>
      </c>
      <c r="F2" s="701"/>
      <c r="G2" s="701"/>
      <c r="H2" s="701"/>
      <c r="I2" s="701"/>
      <c r="J2" s="701"/>
      <c r="K2" s="701"/>
      <c r="L2" s="701"/>
      <c r="M2" s="701"/>
      <c r="N2" s="701"/>
      <c r="O2" s="701"/>
      <c r="P2" s="701"/>
      <c r="Q2" s="153"/>
      <c r="R2" s="333"/>
      <c r="S2" s="65"/>
      <c r="T2" s="65"/>
      <c r="U2" s="65"/>
      <c r="V2" s="119" t="s">
        <v>0</v>
      </c>
      <c r="W2" s="63"/>
      <c r="X2" s="63"/>
      <c r="Y2" s="63"/>
      <c r="Z2" s="63"/>
      <c r="AA2" s="63"/>
      <c r="AB2" s="63"/>
      <c r="AC2" s="63"/>
      <c r="AD2" s="65"/>
      <c r="AE2" s="65"/>
      <c r="AF2" s="65"/>
    </row>
    <row r="3" spans="1:33" s="6" customFormat="1" ht="20.25" customHeight="1" thickTop="1" x14ac:dyDescent="0.3">
      <c r="A3" s="315"/>
      <c r="B3" s="333"/>
      <c r="C3" s="154"/>
      <c r="D3" s="95"/>
      <c r="E3" s="95"/>
      <c r="F3" s="81"/>
      <c r="G3" s="163"/>
      <c r="H3" s="163"/>
      <c r="I3" s="163"/>
      <c r="J3" s="96"/>
      <c r="K3" s="12"/>
      <c r="L3" s="12"/>
      <c r="M3" s="702" t="s">
        <v>54</v>
      </c>
      <c r="N3" s="702"/>
      <c r="O3" s="702"/>
      <c r="P3" s="702"/>
      <c r="Q3" s="155"/>
      <c r="R3" s="333"/>
      <c r="S3" s="356" t="str">
        <f>"R."&amp;$C$2&amp;"StaffCount"</f>
        <v>R.8StaffCount</v>
      </c>
      <c r="T3" s="356" t="str">
        <f>"R."&amp;$C$2&amp;"LowHrs"</f>
        <v>R.8LowHrs</v>
      </c>
      <c r="U3" s="359" t="str">
        <f>"R."&amp;$C$2&amp;"HighHrs"</f>
        <v>R.8HighHrs</v>
      </c>
      <c r="V3" s="119"/>
      <c r="W3" s="63"/>
      <c r="X3" s="63"/>
      <c r="Y3" s="63"/>
      <c r="Z3" s="63"/>
      <c r="AA3" s="63"/>
      <c r="AB3" s="63"/>
      <c r="AC3" s="63"/>
      <c r="AD3" s="65"/>
      <c r="AE3" s="65"/>
      <c r="AF3" s="65"/>
    </row>
    <row r="4" spans="1:33" s="6" customFormat="1" ht="20.25" customHeight="1" x14ac:dyDescent="0.3">
      <c r="A4" s="315"/>
      <c r="B4" s="333"/>
      <c r="C4" s="154"/>
      <c r="D4" s="493" t="s">
        <v>52</v>
      </c>
      <c r="E4" s="80">
        <f>S4</f>
        <v>0</v>
      </c>
      <c r="F4" s="703" t="s">
        <v>51</v>
      </c>
      <c r="G4" s="703"/>
      <c r="H4" s="703"/>
      <c r="I4" s="703"/>
      <c r="J4" s="703"/>
      <c r="K4" s="703"/>
      <c r="L4" s="703"/>
      <c r="M4" s="704" t="str">
        <f>S5</f>
        <v>0</v>
      </c>
      <c r="N4" s="704"/>
      <c r="O4" s="704"/>
      <c r="P4" s="704"/>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x14ac:dyDescent="0.3">
      <c r="A5" s="315"/>
      <c r="B5" s="333"/>
      <c r="C5" s="154"/>
      <c r="D5" s="493" t="s">
        <v>65</v>
      </c>
      <c r="E5" s="97">
        <f>R.AvgHrDEQCost</f>
        <v>58</v>
      </c>
      <c r="F5" s="703" t="s">
        <v>55</v>
      </c>
      <c r="G5" s="703"/>
      <c r="H5" s="703"/>
      <c r="I5" s="703"/>
      <c r="J5" s="703"/>
      <c r="K5" s="703"/>
      <c r="L5" s="703"/>
      <c r="M5" s="705" t="str">
        <f>S6</f>
        <v>$0</v>
      </c>
      <c r="N5" s="705"/>
      <c r="O5" s="705"/>
      <c r="P5" s="705"/>
      <c r="Q5" s="155"/>
      <c r="R5" s="333"/>
      <c r="S5" s="357" t="str">
        <f>IF(R.8StaffCount=0,"0",IF(R.8LowHrs=0,"0-"&amp;TEXT(R.8HighHrs,"#,###"),TEXT(R.8LowHrs,"#,###")&amp;"-"&amp;TEXT(R.8HighHrs,"#,###")))</f>
        <v>0</v>
      </c>
      <c r="T5" s="358" t="str">
        <f>"R."&amp;$C$2&amp;"LowDollars"</f>
        <v>R.8LowDollars</v>
      </c>
      <c r="U5" s="360" t="str">
        <f>"R."&amp;$C$2&amp;"HighDollars"</f>
        <v>R.8HighDollars</v>
      </c>
      <c r="V5" s="119"/>
      <c r="W5" s="63"/>
      <c r="X5" s="63"/>
      <c r="Y5" s="63"/>
      <c r="Z5" s="63"/>
      <c r="AA5" s="63"/>
      <c r="AB5" s="63"/>
      <c r="AC5" s="63"/>
      <c r="AD5" s="65"/>
      <c r="AE5" s="65"/>
      <c r="AF5" s="65"/>
    </row>
    <row r="6" spans="1:33" s="6" customFormat="1" ht="14.25" customHeight="1" x14ac:dyDescent="0.3">
      <c r="A6" s="315"/>
      <c r="B6" s="333"/>
      <c r="C6" s="154"/>
      <c r="D6" s="747" t="s">
        <v>165</v>
      </c>
      <c r="E6" s="747"/>
      <c r="F6" s="747"/>
      <c r="G6" s="747"/>
      <c r="H6" s="747"/>
      <c r="I6" s="747"/>
      <c r="J6" s="747"/>
      <c r="K6" s="747"/>
      <c r="L6" s="747"/>
      <c r="M6" s="747"/>
      <c r="N6" s="747"/>
      <c r="O6" s="747"/>
      <c r="P6" s="747"/>
      <c r="Q6" s="155"/>
      <c r="R6" s="333"/>
      <c r="S6" s="494" t="str">
        <f>IF(R.8StaffCount=0,"$0",IF(R.8LowDollars=0,"$0-"&amp;TEXT(R.8HighDollars,"#,###"),TEXT(R.8LowDollars,"$#,###")&amp;"-"&amp;TEXT(R.8HighDollars,"#,###")))</f>
        <v>$0</v>
      </c>
      <c r="T6" s="355">
        <f>T4*E5</f>
        <v>0</v>
      </c>
      <c r="U6" s="355">
        <f>U4*E5</f>
        <v>0</v>
      </c>
      <c r="V6" s="119"/>
      <c r="W6" s="63"/>
      <c r="X6" s="63"/>
      <c r="Y6" s="63"/>
      <c r="Z6" s="63"/>
      <c r="AA6" s="63"/>
      <c r="AB6" s="63"/>
      <c r="AC6" s="63"/>
      <c r="AD6" s="65"/>
      <c r="AE6" s="65"/>
      <c r="AF6" s="65"/>
    </row>
    <row r="7" spans="1:33" s="6" customFormat="1" ht="105" customHeight="1" x14ac:dyDescent="0.3">
      <c r="A7" s="315"/>
      <c r="B7" s="333"/>
      <c r="C7" s="154"/>
      <c r="D7" s="733" t="s">
        <v>233</v>
      </c>
      <c r="E7" s="734"/>
      <c r="F7" s="734"/>
      <c r="G7" s="734"/>
      <c r="H7" s="734"/>
      <c r="I7" s="734"/>
      <c r="J7" s="734"/>
      <c r="K7" s="734"/>
      <c r="L7" s="734"/>
      <c r="M7" s="734"/>
      <c r="N7" s="734"/>
      <c r="O7" s="734"/>
      <c r="P7" s="735"/>
      <c r="Q7" s="155"/>
      <c r="R7" s="333"/>
      <c r="S7" s="495" t="e">
        <f>AVERAGEIF(S15:S57,"&gt;0")</f>
        <v>#DIV/0!</v>
      </c>
      <c r="T7" s="492"/>
      <c r="U7" s="492"/>
      <c r="V7" s="119"/>
      <c r="W7" s="435"/>
      <c r="X7" s="435"/>
      <c r="Y7" s="435"/>
      <c r="Z7" s="435"/>
      <c r="AA7" s="435"/>
      <c r="AB7" s="435"/>
      <c r="AC7" s="435"/>
      <c r="AD7" s="65"/>
      <c r="AE7" s="65"/>
      <c r="AF7" s="65"/>
    </row>
    <row r="8" spans="1:33" s="6" customFormat="1" ht="20.25" customHeight="1" x14ac:dyDescent="0.3">
      <c r="A8" s="315"/>
      <c r="B8" s="333"/>
      <c r="C8" s="154"/>
      <c r="D8" s="751" t="s">
        <v>167</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x14ac:dyDescent="0.2">
      <c r="A9" s="344"/>
      <c r="B9" s="439"/>
      <c r="C9" s="137"/>
      <c r="D9" s="748" t="s">
        <v>457</v>
      </c>
      <c r="E9" s="749"/>
      <c r="F9" s="749"/>
      <c r="G9" s="749"/>
      <c r="H9" s="749"/>
      <c r="I9" s="749"/>
      <c r="J9" s="749"/>
      <c r="K9" s="749"/>
      <c r="L9" s="749"/>
      <c r="M9" s="749"/>
      <c r="N9" s="749"/>
      <c r="O9" s="749"/>
      <c r="P9" s="750"/>
      <c r="Q9" s="138"/>
      <c r="R9" s="439"/>
      <c r="S9" s="462"/>
      <c r="T9"/>
      <c r="U9" s="440"/>
      <c r="V9" s="437"/>
      <c r="W9" s="437"/>
      <c r="X9" s="437"/>
      <c r="Y9" s="437"/>
      <c r="Z9" s="437"/>
      <c r="AA9" s="437"/>
      <c r="AB9" s="437"/>
      <c r="AC9" s="437"/>
      <c r="AD9" s="129"/>
      <c r="AE9" s="129"/>
      <c r="AF9" s="129"/>
      <c r="AG9" s="129"/>
    </row>
    <row r="10" spans="1:33" s="68" customFormat="1" ht="8.25" customHeight="1" x14ac:dyDescent="0.2">
      <c r="A10" s="316"/>
      <c r="B10" s="333"/>
      <c r="C10" s="403"/>
      <c r="D10" s="404"/>
      <c r="E10" s="404"/>
      <c r="F10" s="404"/>
      <c r="G10" s="404"/>
      <c r="H10" s="404"/>
      <c r="I10" s="404"/>
      <c r="J10" s="404"/>
      <c r="K10" s="404"/>
      <c r="L10" s="404"/>
      <c r="M10" s="404"/>
      <c r="N10" s="404"/>
      <c r="O10" s="404"/>
      <c r="P10" s="404"/>
      <c r="Q10" s="405"/>
      <c r="R10" s="333"/>
      <c r="S10" s="715"/>
      <c r="T10" s="715"/>
      <c r="U10" s="715"/>
      <c r="V10" s="125"/>
      <c r="W10" s="125"/>
      <c r="X10" s="125"/>
      <c r="Y10" s="125"/>
      <c r="Z10" s="125"/>
      <c r="AA10" s="125"/>
      <c r="AB10" s="125"/>
      <c r="AC10" s="125"/>
      <c r="AD10" s="124"/>
      <c r="AE10" s="124"/>
      <c r="AF10" s="124"/>
    </row>
    <row r="11" spans="1:33" s="32" customFormat="1" ht="30" customHeight="1" x14ac:dyDescent="0.25">
      <c r="A11" s="349" t="s">
        <v>103</v>
      </c>
      <c r="B11" s="333"/>
      <c r="C11" s="479" t="s">
        <v>0</v>
      </c>
      <c r="D11" s="303" t="s">
        <v>142</v>
      </c>
      <c r="E11" s="93"/>
      <c r="F11" s="93"/>
      <c r="G11" s="93"/>
      <c r="H11" s="93"/>
      <c r="I11" s="93"/>
      <c r="J11" s="93"/>
      <c r="K11" s="93"/>
      <c r="L11" s="93"/>
      <c r="M11" s="93"/>
      <c r="N11" s="93"/>
      <c r="O11" s="93"/>
      <c r="P11" s="93"/>
      <c r="Q11" s="136"/>
      <c r="R11" s="333"/>
      <c r="S11" s="124"/>
      <c r="T11" s="124"/>
      <c r="U11" s="124"/>
      <c r="V11" s="128"/>
      <c r="W11" s="128"/>
      <c r="X11" s="128"/>
      <c r="Y11" s="128"/>
      <c r="Z11" s="128"/>
      <c r="AA11" s="128"/>
      <c r="AB11" s="128"/>
      <c r="AC11" s="128"/>
      <c r="AD11" s="126"/>
      <c r="AE11" s="126"/>
      <c r="AF11" s="126"/>
    </row>
    <row r="12" spans="1:33" s="32" customFormat="1" ht="14.25" customHeight="1" x14ac:dyDescent="0.2">
      <c r="A12" s="317"/>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x14ac:dyDescent="0.2">
      <c r="A13" s="316"/>
      <c r="B13" s="333"/>
      <c r="C13" s="137"/>
      <c r="D13" s="722" t="s">
        <v>166</v>
      </c>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x14ac:dyDescent="0.2">
      <c r="A14" s="317"/>
      <c r="B14" s="333"/>
      <c r="C14" s="232"/>
      <c r="D14" s="496" t="s">
        <v>57</v>
      </c>
      <c r="E14" s="392" t="s">
        <v>15</v>
      </c>
      <c r="F14" s="736" t="s">
        <v>16</v>
      </c>
      <c r="G14" s="736"/>
      <c r="H14" s="736"/>
      <c r="I14" s="736"/>
      <c r="J14" s="736"/>
      <c r="K14" s="736"/>
      <c r="L14" s="736"/>
      <c r="M14" s="736"/>
      <c r="N14" s="736"/>
      <c r="O14" s="736"/>
      <c r="P14" s="392" t="s">
        <v>17</v>
      </c>
      <c r="Q14" s="136"/>
      <c r="R14" s="333"/>
      <c r="S14" s="227"/>
      <c r="T14" s="228"/>
      <c r="U14" s="228"/>
      <c r="V14" s="229"/>
      <c r="W14" s="229"/>
      <c r="X14" s="229"/>
      <c r="Y14" s="229"/>
      <c r="Z14" s="229"/>
      <c r="AA14" s="229"/>
      <c r="AB14" s="229"/>
      <c r="AC14" s="229"/>
      <c r="AD14" s="126"/>
      <c r="AE14" s="126"/>
      <c r="AF14" s="126"/>
    </row>
    <row r="15" spans="1:33" s="27" customFormat="1" ht="20.25" customHeight="1" x14ac:dyDescent="0.2">
      <c r="A15" s="316"/>
      <c r="B15" s="333"/>
      <c r="C15" s="137"/>
      <c r="D15" s="35" t="s">
        <v>597</v>
      </c>
      <c r="E15" s="29" t="s">
        <v>217</v>
      </c>
      <c r="F15" s="70">
        <v>1</v>
      </c>
      <c r="G15" s="71">
        <v>2</v>
      </c>
      <c r="H15" s="72">
        <v>3</v>
      </c>
      <c r="I15" s="73">
        <v>4</v>
      </c>
      <c r="J15" s="74">
        <v>5</v>
      </c>
      <c r="K15" s="75">
        <v>6</v>
      </c>
      <c r="L15" s="76">
        <v>7</v>
      </c>
      <c r="M15" s="77">
        <v>8</v>
      </c>
      <c r="N15" s="78">
        <v>9</v>
      </c>
      <c r="O15" s="79">
        <v>10</v>
      </c>
      <c r="P15" s="31" t="s">
        <v>12</v>
      </c>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row>
    <row r="16" spans="1:33" s="27" customFormat="1" ht="20.25" hidden="1" customHeight="1" outlineLevel="1" x14ac:dyDescent="0.2">
      <c r="A16" s="316"/>
      <c r="B16" s="333"/>
      <c r="C16" s="137"/>
      <c r="D16" s="35" t="s">
        <v>0</v>
      </c>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20.25" hidden="1" customHeight="1" outlineLevel="1" x14ac:dyDescent="0.2">
      <c r="A17" s="3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x14ac:dyDescent="0.2">
      <c r="A18" s="3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x14ac:dyDescent="0.2">
      <c r="A19" s="3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x14ac:dyDescent="0.2">
      <c r="A20" s="316"/>
      <c r="B20" s="333"/>
      <c r="C20" s="137"/>
      <c r="D20" s="737"/>
      <c r="E20" s="738"/>
      <c r="F20" s="738"/>
      <c r="G20" s="738"/>
      <c r="H20" s="738"/>
      <c r="I20" s="738"/>
      <c r="J20" s="738"/>
      <c r="K20" s="738"/>
      <c r="L20" s="738"/>
      <c r="M20" s="738"/>
      <c r="N20" s="738"/>
      <c r="O20" s="738"/>
      <c r="P20" s="739"/>
      <c r="Q20" s="138"/>
      <c r="R20" s="333"/>
      <c r="S20" s="131" t="s">
        <v>0</v>
      </c>
      <c r="T20" s="130"/>
      <c r="U20" s="130"/>
      <c r="V20" s="63"/>
      <c r="W20" s="63"/>
      <c r="X20" s="63"/>
      <c r="Y20" s="63"/>
      <c r="Z20" s="63"/>
      <c r="AA20" s="63"/>
      <c r="AB20" s="63"/>
      <c r="AC20" s="63"/>
      <c r="AD20" s="129"/>
      <c r="AE20" s="129"/>
      <c r="AF20" s="129"/>
    </row>
    <row r="21" spans="1:32" s="32" customFormat="1" ht="14.25" customHeight="1" x14ac:dyDescent="0.2">
      <c r="A21" s="317"/>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20.25" customHeight="1" x14ac:dyDescent="0.2">
      <c r="A22" s="3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20.25" hidden="1" customHeight="1" outlineLevel="1" x14ac:dyDescent="0.2">
      <c r="A23" s="3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x14ac:dyDescent="0.2">
      <c r="A24" s="3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x14ac:dyDescent="0.2">
      <c r="A25" s="3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x14ac:dyDescent="0.2">
      <c r="A26" s="316"/>
      <c r="B26" s="333"/>
      <c r="C26" s="375"/>
      <c r="D26" s="480"/>
      <c r="E26" s="742"/>
      <c r="F26" s="742"/>
      <c r="G26" s="742"/>
      <c r="H26" s="742"/>
      <c r="I26" s="742"/>
      <c r="J26" s="742"/>
      <c r="K26" s="742"/>
      <c r="L26" s="742"/>
      <c r="M26" s="742"/>
      <c r="N26" s="742"/>
      <c r="O26" s="742"/>
      <c r="P26" s="742"/>
      <c r="Q26" s="378"/>
      <c r="R26" s="333"/>
      <c r="S26" s="131"/>
      <c r="T26" s="130"/>
      <c r="U26" s="130"/>
      <c r="V26" s="63"/>
      <c r="W26" s="63"/>
      <c r="X26" s="63"/>
      <c r="Y26" s="63"/>
      <c r="Z26" s="63"/>
      <c r="AA26" s="63"/>
      <c r="AB26" s="63"/>
      <c r="AC26" s="63"/>
      <c r="AD26" s="129"/>
      <c r="AE26" s="129"/>
      <c r="AF26" s="129"/>
    </row>
    <row r="27" spans="1:32" s="32" customFormat="1" ht="30" customHeight="1" x14ac:dyDescent="0.3">
      <c r="A27" s="349" t="s">
        <v>103</v>
      </c>
      <c r="B27" s="333"/>
      <c r="C27" s="135"/>
      <c r="D27" s="303" t="s">
        <v>140</v>
      </c>
      <c r="E27" s="433"/>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x14ac:dyDescent="0.3">
      <c r="A28" s="317"/>
      <c r="B28" s="333"/>
      <c r="C28" s="135"/>
      <c r="D28" s="442" t="s">
        <v>50</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20.25" customHeight="1" x14ac:dyDescent="0.2">
      <c r="A29" s="316"/>
      <c r="B29" s="333"/>
      <c r="C29" s="137"/>
      <c r="D29" s="722" t="s">
        <v>0</v>
      </c>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row>
    <row r="30" spans="1:32" s="32" customFormat="1" ht="14.25" customHeight="1" x14ac:dyDescent="0.2">
      <c r="A30" s="317"/>
      <c r="B30" s="333"/>
      <c r="C30" s="231"/>
      <c r="D30" s="441" t="s">
        <v>57</v>
      </c>
      <c r="E30" s="291" t="s">
        <v>15</v>
      </c>
      <c r="F30" s="291" t="s">
        <v>16</v>
      </c>
      <c r="G30" s="291"/>
      <c r="H30" s="291"/>
      <c r="I30" s="291"/>
      <c r="J30" s="291"/>
      <c r="K30" s="291"/>
      <c r="L30" s="291"/>
      <c r="M30" s="291"/>
      <c r="N30" s="291"/>
      <c r="O30" s="291"/>
      <c r="P30" s="291" t="s">
        <v>17</v>
      </c>
      <c r="Q30" s="136"/>
      <c r="R30" s="333"/>
      <c r="S30" s="227"/>
      <c r="T30" s="228"/>
      <c r="U30" s="228"/>
      <c r="V30" s="229"/>
      <c r="W30" s="229"/>
      <c r="X30" s="229"/>
      <c r="Y30" s="229"/>
      <c r="Z30" s="229"/>
      <c r="AA30" s="229"/>
      <c r="AB30" s="229"/>
      <c r="AC30" s="229"/>
      <c r="AD30" s="126"/>
      <c r="AE30" s="126"/>
      <c r="AF30" s="126"/>
    </row>
    <row r="31" spans="1:32" s="27" customFormat="1" ht="20.25" customHeight="1" x14ac:dyDescent="0.2">
      <c r="A31" s="316"/>
      <c r="B31" s="333"/>
      <c r="C31" s="137"/>
      <c r="D31" s="35" t="s">
        <v>0</v>
      </c>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20.25" hidden="1" customHeight="1" outlineLevel="1" x14ac:dyDescent="0.2">
      <c r="A32" s="3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x14ac:dyDescent="0.2">
      <c r="A33" s="316"/>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x14ac:dyDescent="0.2">
      <c r="A34" s="316"/>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x14ac:dyDescent="0.2">
      <c r="A35" s="316"/>
      <c r="B35" s="333"/>
      <c r="C35" s="244"/>
      <c r="D35" s="442" t="s">
        <v>49</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20.25" customHeight="1" x14ac:dyDescent="0.2">
      <c r="A36" s="316"/>
      <c r="B36" s="333"/>
      <c r="C36" s="137"/>
      <c r="D36" s="727"/>
      <c r="E36" s="728"/>
      <c r="F36" s="728"/>
      <c r="G36" s="728"/>
      <c r="H36" s="728"/>
      <c r="I36" s="728"/>
      <c r="J36" s="728"/>
      <c r="K36" s="728"/>
      <c r="L36" s="728"/>
      <c r="M36" s="728"/>
      <c r="N36" s="728"/>
      <c r="O36" s="728"/>
      <c r="P36" s="729"/>
      <c r="Q36" s="138"/>
      <c r="R36" s="333"/>
      <c r="S36" s="131" t="s">
        <v>0</v>
      </c>
      <c r="T36" s="130"/>
      <c r="U36" s="130"/>
      <c r="V36" s="63"/>
      <c r="W36" s="63"/>
      <c r="X36" s="63"/>
      <c r="Y36" s="63"/>
      <c r="Z36" s="63"/>
      <c r="AA36" s="63"/>
      <c r="AB36" s="63"/>
      <c r="AC36" s="63"/>
      <c r="AD36" s="129"/>
      <c r="AE36" s="129"/>
      <c r="AF36" s="129"/>
    </row>
    <row r="37" spans="1:32" s="32" customFormat="1" ht="14.25" customHeight="1" x14ac:dyDescent="0.2">
      <c r="A37" s="317"/>
      <c r="B37" s="333"/>
      <c r="C37" s="231"/>
      <c r="D37" s="441" t="s">
        <v>57</v>
      </c>
      <c r="E37" s="291" t="s">
        <v>15</v>
      </c>
      <c r="F37" s="291" t="s">
        <v>16</v>
      </c>
      <c r="G37" s="291"/>
      <c r="H37" s="291"/>
      <c r="I37" s="291"/>
      <c r="J37" s="291"/>
      <c r="K37" s="291"/>
      <c r="L37" s="291"/>
      <c r="M37" s="291"/>
      <c r="N37" s="291"/>
      <c r="O37" s="291"/>
      <c r="P37" s="291" t="s">
        <v>17</v>
      </c>
      <c r="Q37" s="136"/>
      <c r="R37" s="333"/>
      <c r="S37" s="227"/>
      <c r="T37" s="228"/>
      <c r="U37" s="228"/>
      <c r="V37" s="229"/>
      <c r="W37" s="229"/>
      <c r="X37" s="229"/>
      <c r="Y37" s="229"/>
      <c r="Z37" s="229"/>
      <c r="AA37" s="229"/>
      <c r="AB37" s="229"/>
      <c r="AC37" s="229"/>
      <c r="AD37" s="126"/>
      <c r="AE37" s="126"/>
      <c r="AF37" s="126"/>
    </row>
    <row r="38" spans="1:32" s="27" customFormat="1" ht="20.25" customHeight="1" x14ac:dyDescent="0.2">
      <c r="A38" s="316"/>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20.25" hidden="1" customHeight="1" outlineLevel="1" x14ac:dyDescent="0.2">
      <c r="A39" s="3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x14ac:dyDescent="0.2">
      <c r="A40" s="3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x14ac:dyDescent="0.2">
      <c r="A41" s="3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x14ac:dyDescent="0.2">
      <c r="A42" s="316"/>
      <c r="B42" s="333"/>
      <c r="C42" s="375"/>
      <c r="D42" s="480"/>
      <c r="E42" s="742"/>
      <c r="F42" s="742"/>
      <c r="G42" s="742"/>
      <c r="H42" s="742"/>
      <c r="I42" s="742"/>
      <c r="J42" s="742"/>
      <c r="K42" s="742"/>
      <c r="L42" s="742"/>
      <c r="M42" s="742"/>
      <c r="N42" s="742"/>
      <c r="O42" s="742"/>
      <c r="P42" s="742"/>
      <c r="Q42" s="378"/>
      <c r="R42" s="333"/>
      <c r="S42" s="131"/>
      <c r="T42" s="130"/>
      <c r="U42" s="130"/>
      <c r="V42" s="63"/>
      <c r="W42" s="63"/>
      <c r="X42" s="63"/>
      <c r="Y42" s="63"/>
      <c r="Z42" s="63"/>
      <c r="AA42" s="63"/>
      <c r="AB42" s="63"/>
      <c r="AC42" s="63"/>
      <c r="AD42" s="129"/>
      <c r="AE42" s="129"/>
      <c r="AF42" s="129"/>
    </row>
    <row r="43" spans="1:32" s="32" customFormat="1" ht="30" customHeight="1" x14ac:dyDescent="0.25">
      <c r="A43" s="349" t="s">
        <v>103</v>
      </c>
      <c r="B43" s="333"/>
      <c r="C43" s="479" t="s">
        <v>0</v>
      </c>
      <c r="D43" s="303" t="s">
        <v>141</v>
      </c>
      <c r="E43" s="93"/>
      <c r="F43" s="93"/>
      <c r="G43" s="93"/>
      <c r="H43" s="93"/>
      <c r="I43" s="93"/>
      <c r="J43" s="93"/>
      <c r="K43" s="93"/>
      <c r="L43" s="93"/>
      <c r="M43" s="93"/>
      <c r="N43" s="93"/>
      <c r="O43" s="93"/>
      <c r="P43" s="93"/>
      <c r="Q43" s="136"/>
      <c r="R43" s="333"/>
      <c r="S43" s="124"/>
      <c r="T43" s="124" t="s">
        <v>0</v>
      </c>
      <c r="U43" s="124"/>
      <c r="V43" s="128"/>
      <c r="W43" s="128"/>
      <c r="X43" s="128"/>
      <c r="Y43" s="128"/>
      <c r="Z43" s="128"/>
      <c r="AA43" s="128"/>
      <c r="AB43" s="128"/>
      <c r="AC43" s="128"/>
      <c r="AD43" s="126"/>
      <c r="AE43" s="126"/>
      <c r="AF43" s="126"/>
    </row>
    <row r="44" spans="1:32" s="32" customFormat="1" ht="14.25" customHeight="1" x14ac:dyDescent="0.2">
      <c r="A44" s="317"/>
      <c r="B44" s="333"/>
      <c r="C44" s="231"/>
      <c r="D44" s="442" t="s">
        <v>50</v>
      </c>
      <c r="E44" s="93"/>
      <c r="F44" s="93"/>
      <c r="G44" s="93"/>
      <c r="H44" s="93"/>
      <c r="I44" s="93"/>
      <c r="J44" s="93"/>
      <c r="K44" s="93"/>
      <c r="L44" s="93"/>
      <c r="M44" s="93"/>
      <c r="N44" s="93"/>
      <c r="O44" s="93"/>
      <c r="P44" s="93"/>
      <c r="Q44" s="136"/>
      <c r="R44" s="333"/>
      <c r="S44" s="241"/>
      <c r="T44" s="126"/>
      <c r="U44" s="126"/>
      <c r="V44" s="229"/>
      <c r="W44" s="229"/>
      <c r="X44" s="229"/>
      <c r="Y44" s="229"/>
      <c r="Z44" s="229"/>
      <c r="AA44" s="229"/>
      <c r="AB44" s="229"/>
      <c r="AC44" s="229"/>
      <c r="AD44" s="126"/>
      <c r="AE44" s="126"/>
      <c r="AF44" s="126"/>
    </row>
    <row r="45" spans="1:32" s="27" customFormat="1" ht="20.25" customHeight="1" x14ac:dyDescent="0.2">
      <c r="A45" s="316"/>
      <c r="B45" s="333"/>
      <c r="C45" s="137"/>
      <c r="D45" s="722"/>
      <c r="E45" s="723"/>
      <c r="F45" s="723"/>
      <c r="G45" s="723"/>
      <c r="H45" s="723"/>
      <c r="I45" s="723"/>
      <c r="J45" s="723"/>
      <c r="K45" s="723"/>
      <c r="L45" s="723"/>
      <c r="M45" s="723"/>
      <c r="N45" s="723"/>
      <c r="O45" s="723"/>
      <c r="P45" s="724"/>
      <c r="Q45" s="138"/>
      <c r="R45" s="333"/>
      <c r="S45" s="130" t="s">
        <v>0</v>
      </c>
      <c r="T45" s="129"/>
      <c r="U45" s="129"/>
      <c r="V45" s="63"/>
      <c r="W45" s="63"/>
      <c r="X45" s="63"/>
      <c r="Y45" s="63"/>
      <c r="Z45" s="63"/>
      <c r="AA45" s="63"/>
      <c r="AB45" s="63"/>
      <c r="AC45" s="63"/>
      <c r="AD45" s="129"/>
      <c r="AE45" s="129"/>
      <c r="AF45" s="129"/>
    </row>
    <row r="46" spans="1:32" s="32" customFormat="1" ht="14.25" customHeight="1" x14ac:dyDescent="0.2">
      <c r="A46" s="317"/>
      <c r="B46" s="333"/>
      <c r="C46" s="232"/>
      <c r="D46" s="496" t="s">
        <v>57</v>
      </c>
      <c r="E46" s="392" t="s">
        <v>15</v>
      </c>
      <c r="F46" s="736" t="s">
        <v>16</v>
      </c>
      <c r="G46" s="736"/>
      <c r="H46" s="736"/>
      <c r="I46" s="736"/>
      <c r="J46" s="736"/>
      <c r="K46" s="736"/>
      <c r="L46" s="736"/>
      <c r="M46" s="736"/>
      <c r="N46" s="736"/>
      <c r="O46" s="736"/>
      <c r="P46" s="392" t="s">
        <v>17</v>
      </c>
      <c r="Q46" s="136"/>
      <c r="R46" s="333"/>
      <c r="S46" s="227"/>
      <c r="T46" s="228"/>
      <c r="U46" s="228"/>
      <c r="V46" s="229"/>
      <c r="W46" s="229"/>
      <c r="X46" s="229"/>
      <c r="Y46" s="229"/>
      <c r="Z46" s="229"/>
      <c r="AA46" s="229"/>
      <c r="AB46" s="229"/>
      <c r="AC46" s="229"/>
      <c r="AD46" s="126"/>
      <c r="AE46" s="126"/>
      <c r="AF46" s="126"/>
    </row>
    <row r="47" spans="1:32" s="27" customFormat="1" ht="20.25" customHeight="1" x14ac:dyDescent="0.2">
      <c r="A47" s="316"/>
      <c r="B47" s="333"/>
      <c r="C47" s="137"/>
      <c r="D47" s="35"/>
      <c r="E47" s="29" t="s">
        <v>217</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row>
    <row r="48" spans="1:32" s="27" customFormat="1" ht="20.25" hidden="1" customHeight="1" outlineLevel="1" x14ac:dyDescent="0.2">
      <c r="A48" s="3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x14ac:dyDescent="0.2">
      <c r="A49" s="3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x14ac:dyDescent="0.2">
      <c r="A50" s="3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x14ac:dyDescent="0.2">
      <c r="A51" s="3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x14ac:dyDescent="0.2">
      <c r="A52" s="316"/>
      <c r="B52" s="333"/>
      <c r="C52" s="137"/>
      <c r="D52" s="737"/>
      <c r="E52" s="738"/>
      <c r="F52" s="738"/>
      <c r="G52" s="738"/>
      <c r="H52" s="738"/>
      <c r="I52" s="738"/>
      <c r="J52" s="738"/>
      <c r="K52" s="738"/>
      <c r="L52" s="738"/>
      <c r="M52" s="738"/>
      <c r="N52" s="738"/>
      <c r="O52" s="738"/>
      <c r="P52" s="739"/>
      <c r="Q52" s="138"/>
      <c r="R52" s="333"/>
      <c r="S52" s="131" t="s">
        <v>0</v>
      </c>
      <c r="T52" s="130"/>
      <c r="U52" s="130"/>
      <c r="V52" s="63"/>
      <c r="W52" s="63"/>
      <c r="X52" s="63"/>
      <c r="Y52" s="63"/>
      <c r="Z52" s="63"/>
      <c r="AA52" s="63"/>
      <c r="AB52" s="63"/>
      <c r="AC52" s="63"/>
      <c r="AD52" s="129"/>
      <c r="AE52" s="129"/>
      <c r="AF52" s="129"/>
    </row>
    <row r="53" spans="1:32" s="32" customFormat="1" ht="14.25" customHeight="1" x14ac:dyDescent="0.2">
      <c r="A53" s="317"/>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9"/>
      <c r="W53" s="229"/>
      <c r="X53" s="229"/>
      <c r="Y53" s="229"/>
      <c r="Z53" s="229"/>
      <c r="AA53" s="229"/>
      <c r="AB53" s="229"/>
      <c r="AC53" s="229"/>
      <c r="AD53" s="126"/>
      <c r="AE53" s="126"/>
      <c r="AF53" s="126"/>
    </row>
    <row r="54" spans="1:32" s="27" customFormat="1" ht="20.25" customHeight="1" x14ac:dyDescent="0.2">
      <c r="A54" s="316"/>
      <c r="B54" s="333"/>
      <c r="C54" s="137"/>
      <c r="D54" s="35"/>
      <c r="E54" s="29" t="s">
        <v>217</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row>
    <row r="55" spans="1:32" s="27" customFormat="1" ht="20.25" hidden="1" customHeight="1" outlineLevel="1" x14ac:dyDescent="0.2">
      <c r="A55" s="316"/>
      <c r="B55" s="333"/>
      <c r="C55" s="137"/>
      <c r="D55" s="35"/>
      <c r="E55" s="29" t="s">
        <v>217</v>
      </c>
      <c r="F55" s="70">
        <v>1</v>
      </c>
      <c r="G55" s="71">
        <v>2</v>
      </c>
      <c r="H55" s="72">
        <v>3</v>
      </c>
      <c r="I55" s="73">
        <v>4</v>
      </c>
      <c r="J55" s="74">
        <v>5</v>
      </c>
      <c r="K55" s="75">
        <v>6</v>
      </c>
      <c r="L55" s="76">
        <v>7</v>
      </c>
      <c r="M55" s="77">
        <v>8</v>
      </c>
      <c r="N55" s="78">
        <v>9</v>
      </c>
      <c r="O55" s="79">
        <v>10</v>
      </c>
      <c r="P55" s="31"/>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x14ac:dyDescent="0.2">
      <c r="A56" s="3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x14ac:dyDescent="0.2">
      <c r="A57" s="3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x14ac:dyDescent="0.2">
      <c r="A58" s="316"/>
      <c r="B58" s="333"/>
      <c r="C58" s="375"/>
      <c r="D58" s="480"/>
      <c r="E58" s="742"/>
      <c r="F58" s="742"/>
      <c r="G58" s="742"/>
      <c r="H58" s="742"/>
      <c r="I58" s="742"/>
      <c r="J58" s="742"/>
      <c r="K58" s="742"/>
      <c r="L58" s="742"/>
      <c r="M58" s="742"/>
      <c r="N58" s="742"/>
      <c r="O58" s="742"/>
      <c r="P58" s="742"/>
      <c r="Q58" s="378"/>
      <c r="R58" s="333"/>
      <c r="S58" s="131"/>
      <c r="T58" s="130"/>
      <c r="U58" s="130"/>
      <c r="V58" s="63"/>
      <c r="W58" s="63"/>
      <c r="X58" s="63"/>
      <c r="Y58" s="63"/>
      <c r="Z58" s="63"/>
      <c r="AA58" s="63"/>
      <c r="AB58" s="63"/>
      <c r="AC58" s="63"/>
      <c r="AD58" s="129"/>
      <c r="AE58" s="129"/>
      <c r="AF58" s="129"/>
    </row>
    <row r="59" spans="1:32" s="28" customFormat="1" ht="30" customHeight="1" x14ac:dyDescent="0.3">
      <c r="A59" s="315"/>
      <c r="B59" s="333"/>
      <c r="C59" s="145"/>
      <c r="D59" s="642" t="str">
        <f>"Please suggest process improvements to the "&amp;D2&amp;" worksheet."</f>
        <v>Please suggest process improvements to the Financial Services worksheet.</v>
      </c>
      <c r="E59" s="642"/>
      <c r="F59" s="642"/>
      <c r="G59" s="642"/>
      <c r="H59" s="8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x14ac:dyDescent="0.3">
      <c r="A60" s="315"/>
      <c r="B60" s="333"/>
      <c r="C60" s="135"/>
      <c r="D60" s="639"/>
      <c r="E60" s="640"/>
      <c r="F60" s="640"/>
      <c r="G60" s="640"/>
      <c r="H60" s="640"/>
      <c r="I60" s="640"/>
      <c r="J60" s="640"/>
      <c r="K60" s="640"/>
      <c r="L60" s="640"/>
      <c r="M60" s="640"/>
      <c r="N60" s="640"/>
      <c r="O60" s="640"/>
      <c r="P60" s="641"/>
      <c r="Q60" s="147"/>
      <c r="R60" s="333"/>
      <c r="S60" s="131"/>
      <c r="T60" s="130"/>
      <c r="U60" s="130"/>
      <c r="V60" s="63"/>
      <c r="W60" s="63"/>
      <c r="X60" s="63"/>
      <c r="Y60" s="63"/>
      <c r="Z60" s="63"/>
      <c r="AA60" s="63"/>
      <c r="AB60" s="63"/>
      <c r="AC60" s="63"/>
      <c r="AD60" s="65"/>
      <c r="AE60" s="65"/>
      <c r="AF60" s="65"/>
    </row>
    <row r="61" spans="1:32" ht="18" customHeight="1" x14ac:dyDescent="0.3">
      <c r="A61" s="349" t="s">
        <v>104</v>
      </c>
      <c r="B61" s="333"/>
      <c r="C61" s="148"/>
      <c r="D61" s="149"/>
      <c r="E61" s="149"/>
      <c r="F61" s="149"/>
      <c r="G61" s="149"/>
      <c r="H61" s="149"/>
      <c r="I61" s="149"/>
      <c r="J61" s="149"/>
      <c r="K61" s="149"/>
      <c r="L61" s="149"/>
      <c r="M61" s="149"/>
      <c r="N61" s="149"/>
      <c r="O61" s="149"/>
      <c r="P61" s="149"/>
      <c r="Q61" s="150"/>
      <c r="R61" s="333"/>
    </row>
    <row r="62" spans="1:32" s="63" customFormat="1" ht="14.25" customHeight="1" x14ac:dyDescent="0.2">
      <c r="A62" s="309"/>
      <c r="B62" s="333"/>
      <c r="C62" s="333"/>
      <c r="D62" s="333"/>
      <c r="E62" s="333"/>
      <c r="F62" s="333"/>
      <c r="G62" s="333"/>
      <c r="H62" s="333"/>
      <c r="I62" s="333"/>
      <c r="J62" s="333"/>
      <c r="K62" s="333"/>
      <c r="L62" s="333"/>
      <c r="M62" s="333"/>
      <c r="N62" s="333"/>
      <c r="O62" s="333"/>
      <c r="P62" s="333"/>
      <c r="Q62" s="333"/>
      <c r="R62" s="333"/>
      <c r="S62" s="112"/>
    </row>
    <row r="63" spans="1:32" s="63" customFormat="1" x14ac:dyDescent="0.3">
      <c r="A63" s="309"/>
      <c r="C63" s="111"/>
      <c r="S63" s="112"/>
    </row>
    <row r="64" spans="1:32" s="63" customFormat="1" x14ac:dyDescent="0.3">
      <c r="A64" s="309"/>
      <c r="C64" s="111"/>
      <c r="S64" s="112"/>
    </row>
    <row r="65" spans="1:19" s="63" customFormat="1" x14ac:dyDescent="0.3">
      <c r="A65" s="309"/>
      <c r="C65" s="111"/>
      <c r="S65" s="112"/>
    </row>
    <row r="66" spans="1:19" s="63" customFormat="1" x14ac:dyDescent="0.3">
      <c r="A66" s="309"/>
      <c r="C66" s="111"/>
      <c r="S66" s="112"/>
    </row>
    <row r="67" spans="1:19" s="63" customFormat="1" x14ac:dyDescent="0.3">
      <c r="A67" s="309"/>
      <c r="C67" s="111"/>
      <c r="S67" s="112"/>
    </row>
    <row r="68" spans="1:19" s="63" customFormat="1" x14ac:dyDescent="0.3">
      <c r="A68" s="309"/>
      <c r="C68" s="111"/>
      <c r="S68" s="112"/>
    </row>
    <row r="69" spans="1:19" s="63" customFormat="1" x14ac:dyDescent="0.3">
      <c r="A69" s="309"/>
      <c r="C69" s="111"/>
      <c r="S69" s="112"/>
    </row>
    <row r="70" spans="1:19" s="63" customFormat="1" x14ac:dyDescent="0.3">
      <c r="A70" s="309"/>
      <c r="C70" s="111"/>
      <c r="S70" s="112"/>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AG70"/>
  <sheetViews>
    <sheetView showGridLines="0" zoomScaleNormal="100" workbookViewId="0">
      <selection activeCell="D15" sqref="D15"/>
    </sheetView>
  </sheetViews>
  <sheetFormatPr defaultColWidth="9" defaultRowHeight="20.25" outlineLevelRow="1" outlineLevelCol="1" x14ac:dyDescent="0.3"/>
  <cols>
    <col min="1" max="1" width="14.375" style="311" customWidth="1"/>
    <col min="2" max="2" width="2.625" customWidth="1"/>
    <col min="3" max="3" width="2.625" style="43" customWidth="1"/>
    <col min="4" max="4" width="40.5" style="101" customWidth="1"/>
    <col min="5" max="5" width="15.75" style="101" customWidth="1"/>
    <col min="6" max="15" width="1.625" style="101" customWidth="1"/>
    <col min="16" max="16" width="15.75" style="101" customWidth="1"/>
    <col min="17" max="17" width="2.62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1" customWidth="1"/>
    <col min="34" max="16384" width="9" style="101"/>
  </cols>
  <sheetData>
    <row r="1" spans="1:33" s="63" customFormat="1" ht="20.25" customHeight="1" x14ac:dyDescent="0.2">
      <c r="A1" s="350" t="s">
        <v>100</v>
      </c>
      <c r="B1" s="333"/>
      <c r="C1" s="333"/>
      <c r="D1" s="333"/>
      <c r="E1" s="333"/>
      <c r="F1" s="333"/>
      <c r="G1" s="333"/>
      <c r="H1" s="333"/>
      <c r="I1" s="333"/>
      <c r="J1" s="333"/>
      <c r="K1" s="333"/>
      <c r="L1" s="333"/>
      <c r="M1" s="333"/>
      <c r="N1" s="333"/>
      <c r="O1" s="333"/>
      <c r="P1" s="333"/>
      <c r="Q1" s="333"/>
      <c r="R1" s="333"/>
      <c r="S1" s="112"/>
    </row>
    <row r="2" spans="1:33" s="6" customFormat="1" ht="30" customHeight="1" thickBot="1" x14ac:dyDescent="0.35">
      <c r="A2" s="349" t="s">
        <v>103</v>
      </c>
      <c r="B2" s="333"/>
      <c r="C2" s="331">
        <v>9</v>
      </c>
      <c r="D2" s="330" t="s">
        <v>74</v>
      </c>
      <c r="E2" s="716" t="str">
        <f>R.1MediaAndLongName</f>
        <v>AQ GrantsPassLMP</v>
      </c>
      <c r="F2" s="716"/>
      <c r="G2" s="716"/>
      <c r="H2" s="716"/>
      <c r="I2" s="716"/>
      <c r="J2" s="716"/>
      <c r="K2" s="716"/>
      <c r="L2" s="716"/>
      <c r="M2" s="716"/>
      <c r="N2" s="716"/>
      <c r="O2" s="716"/>
      <c r="P2" s="716"/>
      <c r="Q2" s="153"/>
      <c r="R2" s="333"/>
      <c r="S2" s="65"/>
      <c r="T2" s="65"/>
      <c r="U2" s="65"/>
      <c r="V2" s="119" t="s">
        <v>0</v>
      </c>
      <c r="W2" s="63"/>
      <c r="X2" s="63"/>
      <c r="Y2" s="63"/>
      <c r="Z2" s="63"/>
      <c r="AA2" s="63"/>
      <c r="AB2" s="63"/>
      <c r="AC2" s="63"/>
      <c r="AD2" s="65"/>
      <c r="AE2" s="65"/>
      <c r="AF2" s="65"/>
    </row>
    <row r="3" spans="1:33" s="6" customFormat="1" ht="20.25" customHeight="1" thickTop="1" x14ac:dyDescent="0.3">
      <c r="A3" s="318"/>
      <c r="B3" s="333"/>
      <c r="C3" s="154"/>
      <c r="D3" s="95"/>
      <c r="E3" s="95"/>
      <c r="F3" s="81"/>
      <c r="G3" s="163"/>
      <c r="H3" s="163"/>
      <c r="I3" s="163"/>
      <c r="J3" s="96"/>
      <c r="K3" s="12"/>
      <c r="L3" s="12"/>
      <c r="M3" s="702" t="s">
        <v>54</v>
      </c>
      <c r="N3" s="702"/>
      <c r="O3" s="702"/>
      <c r="P3" s="702"/>
      <c r="Q3" s="155"/>
      <c r="R3" s="333"/>
      <c r="S3" s="118" t="str">
        <f>"R."&amp;$C$2&amp;"StaffCount"</f>
        <v>R.9StaffCount</v>
      </c>
      <c r="T3" s="118" t="str">
        <f>"R."&amp;$C$2&amp;"LowHrs"</f>
        <v>R.9LowHrs</v>
      </c>
      <c r="U3" s="348" t="str">
        <f>"R."&amp;$C$2&amp;"HighHrs"</f>
        <v>R.9HighHrs</v>
      </c>
      <c r="V3" s="119"/>
      <c r="W3" s="63"/>
      <c r="X3" s="63"/>
      <c r="Y3" s="63"/>
      <c r="Z3" s="63"/>
      <c r="AA3" s="63"/>
      <c r="AB3" s="63"/>
      <c r="AC3" s="63"/>
      <c r="AD3" s="65"/>
      <c r="AE3" s="65"/>
      <c r="AF3" s="65"/>
    </row>
    <row r="4" spans="1:33" s="6" customFormat="1" ht="20.25" customHeight="1" x14ac:dyDescent="0.3">
      <c r="A4" s="318"/>
      <c r="B4" s="333"/>
      <c r="C4" s="154"/>
      <c r="D4" s="493" t="s">
        <v>52</v>
      </c>
      <c r="E4" s="80">
        <f>R.9StaffCount</f>
        <v>3</v>
      </c>
      <c r="F4" s="703" t="s">
        <v>51</v>
      </c>
      <c r="G4" s="703"/>
      <c r="H4" s="703"/>
      <c r="I4" s="703"/>
      <c r="J4" s="703"/>
      <c r="K4" s="703"/>
      <c r="L4" s="703"/>
      <c r="M4" s="704" t="str">
        <f>S5</f>
        <v>3-24</v>
      </c>
      <c r="N4" s="704"/>
      <c r="O4" s="704"/>
      <c r="P4" s="704"/>
      <c r="Q4" s="155"/>
      <c r="R4" s="333"/>
      <c r="S4" s="353">
        <f>COUNTIFS(S15:S57,"&gt;0")</f>
        <v>3</v>
      </c>
      <c r="T4" s="354">
        <f>SUM(T15:T57)</f>
        <v>3</v>
      </c>
      <c r="U4" s="354">
        <f>SUM(U15:U57)</f>
        <v>24</v>
      </c>
      <c r="V4" s="119"/>
      <c r="W4" s="63"/>
      <c r="X4" s="63"/>
      <c r="Y4" s="63"/>
      <c r="Z4" s="63"/>
      <c r="AA4" s="63"/>
      <c r="AB4" s="63"/>
      <c r="AC4" s="63"/>
      <c r="AD4" s="65"/>
      <c r="AE4" s="65"/>
      <c r="AF4" s="65"/>
    </row>
    <row r="5" spans="1:33" s="6" customFormat="1" ht="20.25" customHeight="1" x14ac:dyDescent="0.3">
      <c r="A5" s="318"/>
      <c r="B5" s="333"/>
      <c r="C5" s="154"/>
      <c r="D5" s="493" t="s">
        <v>65</v>
      </c>
      <c r="E5" s="97">
        <f>R.AvgHrDEQCost</f>
        <v>58</v>
      </c>
      <c r="F5" s="703" t="s">
        <v>55</v>
      </c>
      <c r="G5" s="703"/>
      <c r="H5" s="703"/>
      <c r="I5" s="703"/>
      <c r="J5" s="703"/>
      <c r="K5" s="703"/>
      <c r="L5" s="703"/>
      <c r="M5" s="705" t="str">
        <f>S6</f>
        <v>$174-1,392</v>
      </c>
      <c r="N5" s="705"/>
      <c r="O5" s="705"/>
      <c r="P5" s="705"/>
      <c r="Q5" s="155"/>
      <c r="R5" s="333"/>
      <c r="S5" s="121" t="str">
        <f>IF(R.9StaffCount=0,"0",IF(R.9LowHrs=0,"0-"&amp;TEXT(R.9HighHrs,"#,###"),TEXT(R.9LowHrs,"#,###")&amp;"-"&amp;TEXT(R.9HighHrs,"#,###")))</f>
        <v>3-24</v>
      </c>
      <c r="T5" s="118" t="str">
        <f>"R."&amp;$C$2&amp;"LowDollars"</f>
        <v>R.9LowDollars</v>
      </c>
      <c r="U5" s="348" t="str">
        <f>"R."&amp;$C$2&amp;"HighDollars"</f>
        <v>R.9HighDollars</v>
      </c>
      <c r="V5" s="119"/>
      <c r="W5" s="63"/>
      <c r="X5" s="63"/>
      <c r="Y5" s="63"/>
      <c r="Z5" s="63"/>
      <c r="AA5" s="63"/>
      <c r="AB5" s="63"/>
      <c r="AC5" s="63"/>
      <c r="AD5" s="65"/>
      <c r="AE5" s="65"/>
      <c r="AF5" s="65"/>
    </row>
    <row r="6" spans="1:33" s="6" customFormat="1" ht="8.25" customHeight="1" x14ac:dyDescent="0.3">
      <c r="A6" s="318"/>
      <c r="B6" s="333"/>
      <c r="C6" s="154"/>
      <c r="D6" s="109" t="s">
        <v>0</v>
      </c>
      <c r="E6" s="99"/>
      <c r="F6" s="98"/>
      <c r="G6" s="98"/>
      <c r="H6" s="98"/>
      <c r="I6" s="98"/>
      <c r="J6" s="98"/>
      <c r="K6" s="98"/>
      <c r="L6" s="98"/>
      <c r="M6" s="98"/>
      <c r="N6" s="98"/>
      <c r="O6" s="98"/>
      <c r="P6" s="98"/>
      <c r="Q6" s="155"/>
      <c r="R6" s="333"/>
      <c r="S6" s="121" t="str">
        <f>IF(R.9StaffCount=0,"$0",IF(R.9LowDollars=0,"$0-"&amp;TEXT(R.9HighDollars,"#,###"),TEXT(R.9LowDollars,"$#,###")&amp;"-"&amp;TEXT(R.9HighDollars,"#,###")))</f>
        <v>$174-1,392</v>
      </c>
      <c r="T6" s="354">
        <f>T4*E5</f>
        <v>174</v>
      </c>
      <c r="U6" s="354">
        <f>U4*E5</f>
        <v>1392</v>
      </c>
      <c r="V6" s="119"/>
      <c r="W6" s="63"/>
      <c r="X6" s="63"/>
      <c r="Y6" s="63"/>
      <c r="Z6" s="63"/>
      <c r="AA6" s="63"/>
      <c r="AB6" s="63"/>
      <c r="AC6" s="63"/>
      <c r="AD6" s="65"/>
      <c r="AE6" s="65"/>
      <c r="AF6" s="65"/>
    </row>
    <row r="7" spans="1:33" s="6" customFormat="1" ht="105" customHeight="1" x14ac:dyDescent="0.3">
      <c r="A7" s="315"/>
      <c r="B7" s="333"/>
      <c r="C7" s="154"/>
      <c r="D7" s="733" t="s">
        <v>234</v>
      </c>
      <c r="E7" s="734"/>
      <c r="F7" s="734"/>
      <c r="G7" s="734"/>
      <c r="H7" s="734"/>
      <c r="I7" s="734"/>
      <c r="J7" s="734"/>
      <c r="K7" s="734"/>
      <c r="L7" s="734"/>
      <c r="M7" s="734"/>
      <c r="N7" s="734"/>
      <c r="O7" s="734"/>
      <c r="P7" s="735"/>
      <c r="Q7" s="155"/>
      <c r="R7" s="333"/>
      <c r="S7" s="495">
        <f>AVERAGEIF(S14:S56,"&gt;0")</f>
        <v>1</v>
      </c>
      <c r="T7" s="492"/>
      <c r="U7" s="492"/>
      <c r="V7" s="119"/>
      <c r="W7" s="435"/>
      <c r="X7" s="435"/>
      <c r="Y7" s="435"/>
      <c r="Z7" s="435"/>
      <c r="AA7" s="435"/>
      <c r="AB7" s="435"/>
      <c r="AC7" s="435"/>
      <c r="AD7" s="65"/>
      <c r="AE7" s="65"/>
      <c r="AF7" s="65"/>
    </row>
    <row r="8" spans="1:33" s="6" customFormat="1" ht="20.25" customHeight="1" x14ac:dyDescent="0.3">
      <c r="A8" s="315"/>
      <c r="B8" s="333"/>
      <c r="C8" s="154"/>
      <c r="D8" s="751" t="s">
        <v>513</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x14ac:dyDescent="0.2">
      <c r="A9" s="344"/>
      <c r="B9" s="439"/>
      <c r="C9" s="137"/>
      <c r="D9" s="748" t="s">
        <v>457</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8.25" customHeight="1" x14ac:dyDescent="0.25">
      <c r="A10" s="319"/>
      <c r="B10" s="333"/>
      <c r="C10" s="403"/>
      <c r="D10" s="404"/>
      <c r="E10" s="404"/>
      <c r="F10" s="404"/>
      <c r="G10" s="404"/>
      <c r="H10" s="404"/>
      <c r="I10" s="404"/>
      <c r="J10" s="404"/>
      <c r="K10" s="404"/>
      <c r="L10" s="404"/>
      <c r="M10" s="404"/>
      <c r="N10" s="404"/>
      <c r="O10" s="404"/>
      <c r="P10" s="404"/>
      <c r="Q10" s="405"/>
      <c r="R10" s="333"/>
      <c r="S10" s="715" t="s">
        <v>0</v>
      </c>
      <c r="T10" s="715"/>
      <c r="U10" s="715"/>
      <c r="V10" s="299"/>
      <c r="W10" s="125"/>
      <c r="X10" s="125"/>
      <c r="Y10" s="125"/>
      <c r="Z10" s="125"/>
      <c r="AA10" s="125"/>
      <c r="AB10" s="125"/>
      <c r="AC10" s="125"/>
      <c r="AD10" s="124"/>
      <c r="AE10" s="124"/>
      <c r="AF10" s="124"/>
    </row>
    <row r="11" spans="1:33" s="32" customFormat="1" ht="30" customHeight="1" x14ac:dyDescent="3.5">
      <c r="A11" s="350" t="s">
        <v>103</v>
      </c>
      <c r="B11" s="333"/>
      <c r="C11" s="479" t="s">
        <v>0</v>
      </c>
      <c r="D11" s="483" t="s">
        <v>139</v>
      </c>
      <c r="E11" s="93"/>
      <c r="F11" s="93"/>
      <c r="G11" s="93"/>
      <c r="H11" s="93"/>
      <c r="I11" s="93"/>
      <c r="J11" s="93"/>
      <c r="K11" s="93"/>
      <c r="L11" s="93"/>
      <c r="M11" s="93"/>
      <c r="N11" s="93"/>
      <c r="O11" s="93"/>
      <c r="P11" s="93"/>
      <c r="Q11" s="136"/>
      <c r="R11" s="333"/>
      <c r="S11" s="127"/>
      <c r="T11" s="126"/>
      <c r="U11" s="126"/>
      <c r="V11" s="299" t="s">
        <v>99</v>
      </c>
      <c r="W11" s="128"/>
      <c r="X11" s="128"/>
      <c r="Y11" s="128"/>
      <c r="Z11" s="128"/>
      <c r="AA11" s="128"/>
      <c r="AB11" s="128"/>
      <c r="AC11" s="128"/>
      <c r="AD11" s="126"/>
      <c r="AE11" s="126"/>
      <c r="AF11" s="126"/>
    </row>
    <row r="12" spans="1:33" s="32" customFormat="1" ht="14.25" customHeight="1" x14ac:dyDescent="0.25">
      <c r="A12" s="310"/>
      <c r="B12" s="333"/>
      <c r="C12" s="231"/>
      <c r="D12" s="442" t="s">
        <v>50</v>
      </c>
      <c r="E12" s="93"/>
      <c r="F12" s="93"/>
      <c r="G12" s="93"/>
      <c r="H12" s="93"/>
      <c r="I12" s="93"/>
      <c r="J12" s="93"/>
      <c r="K12" s="93"/>
      <c r="L12" s="93"/>
      <c r="M12" s="93"/>
      <c r="N12" s="93"/>
      <c r="O12" s="93"/>
      <c r="P12" s="93"/>
      <c r="Q12" s="136"/>
      <c r="R12" s="333"/>
      <c r="S12" s="241"/>
      <c r="T12" s="126"/>
      <c r="U12" s="126"/>
      <c r="V12" s="299"/>
      <c r="W12" s="229"/>
      <c r="X12" s="229"/>
      <c r="Y12" s="229"/>
      <c r="Z12" s="229"/>
      <c r="AA12" s="229"/>
      <c r="AB12" s="229"/>
      <c r="AC12" s="229"/>
      <c r="AD12" s="126"/>
      <c r="AE12" s="126"/>
      <c r="AF12" s="126"/>
    </row>
    <row r="13" spans="1:33" s="27" customFormat="1" ht="15.75" customHeight="1" x14ac:dyDescent="0.2">
      <c r="A13" s="319"/>
      <c r="B13" s="333"/>
      <c r="C13" s="137"/>
      <c r="D13" s="727" t="s">
        <v>150</v>
      </c>
      <c r="E13" s="728"/>
      <c r="F13" s="728"/>
      <c r="G13" s="728"/>
      <c r="H13" s="728"/>
      <c r="I13" s="728"/>
      <c r="J13" s="728"/>
      <c r="K13" s="728"/>
      <c r="L13" s="728"/>
      <c r="M13" s="728"/>
      <c r="N13" s="728"/>
      <c r="O13" s="728"/>
      <c r="P13" s="729"/>
      <c r="Q13" s="138"/>
      <c r="R13" s="333"/>
      <c r="S13" s="130"/>
      <c r="T13" s="129"/>
      <c r="U13" s="129"/>
      <c r="V13" s="63"/>
      <c r="W13" s="63"/>
      <c r="X13" s="63"/>
      <c r="Y13" s="63"/>
      <c r="Z13" s="63"/>
      <c r="AA13" s="63"/>
      <c r="AB13" s="63"/>
      <c r="AC13" s="63"/>
      <c r="AD13" s="129"/>
      <c r="AE13" s="129"/>
      <c r="AF13" s="129"/>
    </row>
    <row r="14" spans="1:33" s="32" customFormat="1" ht="15.75" customHeight="1" x14ac:dyDescent="0.2">
      <c r="A14" s="318"/>
      <c r="B14" s="333"/>
      <c r="C14" s="232"/>
      <c r="D14" s="496" t="s">
        <v>57</v>
      </c>
      <c r="E14" s="392" t="s">
        <v>15</v>
      </c>
      <c r="F14" s="736" t="s">
        <v>16</v>
      </c>
      <c r="G14" s="736"/>
      <c r="H14" s="736"/>
      <c r="I14" s="736"/>
      <c r="J14" s="736"/>
      <c r="K14" s="736"/>
      <c r="L14" s="736"/>
      <c r="M14" s="736"/>
      <c r="N14" s="736"/>
      <c r="O14" s="736"/>
      <c r="P14" s="392" t="s">
        <v>17</v>
      </c>
      <c r="Q14" s="136"/>
      <c r="R14" s="333"/>
      <c r="S14" s="227"/>
      <c r="T14" s="228"/>
      <c r="U14" s="228"/>
      <c r="V14" s="229"/>
      <c r="W14" s="229"/>
      <c r="X14" s="229"/>
      <c r="Y14" s="229"/>
      <c r="Z14" s="229"/>
      <c r="AA14" s="229"/>
      <c r="AB14" s="229"/>
      <c r="AC14" s="229"/>
      <c r="AD14" s="126"/>
      <c r="AE14" s="126"/>
      <c r="AF14" s="126"/>
    </row>
    <row r="15" spans="1:33" s="27" customFormat="1" ht="15.75" customHeight="1" x14ac:dyDescent="0.2">
      <c r="A15" s="319"/>
      <c r="B15" s="333"/>
      <c r="C15" s="137"/>
      <c r="D15" s="603" t="s">
        <v>598</v>
      </c>
      <c r="E15" s="29" t="s">
        <v>219</v>
      </c>
      <c r="F15" s="70">
        <v>1</v>
      </c>
      <c r="G15" s="71">
        <v>2</v>
      </c>
      <c r="H15" s="72">
        <v>3</v>
      </c>
      <c r="I15" s="73">
        <v>4</v>
      </c>
      <c r="J15" s="74">
        <v>5</v>
      </c>
      <c r="K15" s="75">
        <v>6</v>
      </c>
      <c r="L15" s="76">
        <v>7</v>
      </c>
      <c r="M15" s="77">
        <v>8</v>
      </c>
      <c r="N15" s="78">
        <v>9</v>
      </c>
      <c r="O15" s="79">
        <v>10</v>
      </c>
      <c r="P15" s="31" t="s">
        <v>12</v>
      </c>
      <c r="Q15" s="138"/>
      <c r="R15" s="333"/>
      <c r="S15" s="132">
        <f>VLOOKUP($E15,R.VL_DEQResourcesInvolved,2,FALSE)</f>
        <v>1</v>
      </c>
      <c r="T15" s="120">
        <f>VLOOKUP($E15,R.VL_DEQResourcesInvolved,3,FALSE)</f>
        <v>1</v>
      </c>
      <c r="U15" s="120">
        <f>IF(S15=10,T15,VLOOKUP($E15,R.VL_DEQResourcesInvolved,4,FALSE))</f>
        <v>8</v>
      </c>
      <c r="V15" s="574" t="s">
        <v>542</v>
      </c>
      <c r="W15" s="63"/>
      <c r="X15" s="63"/>
      <c r="Y15" s="63"/>
      <c r="Z15" s="63"/>
      <c r="AA15" s="63"/>
      <c r="AB15" s="63"/>
      <c r="AC15" s="63"/>
      <c r="AD15" s="129"/>
      <c r="AE15" s="129"/>
      <c r="AF15" s="129"/>
    </row>
    <row r="16" spans="1:33" s="27" customFormat="1" ht="15.75" customHeight="1" x14ac:dyDescent="0.2">
      <c r="A16" s="319"/>
      <c r="B16" s="333"/>
      <c r="C16" s="137"/>
      <c r="D16" s="463"/>
      <c r="E16" s="29" t="s">
        <v>217</v>
      </c>
      <c r="F16" s="70">
        <v>1</v>
      </c>
      <c r="G16" s="71">
        <v>2</v>
      </c>
      <c r="H16" s="72">
        <v>3</v>
      </c>
      <c r="I16" s="73">
        <v>4</v>
      </c>
      <c r="J16" s="74">
        <v>5</v>
      </c>
      <c r="K16" s="75">
        <v>6</v>
      </c>
      <c r="L16" s="76">
        <v>7</v>
      </c>
      <c r="M16" s="77">
        <v>8</v>
      </c>
      <c r="N16" s="78">
        <v>9</v>
      </c>
      <c r="O16" s="79">
        <v>10</v>
      </c>
      <c r="P16" s="31" t="s">
        <v>13</v>
      </c>
      <c r="Q16" s="138"/>
      <c r="R16" s="333"/>
      <c r="S16" s="132">
        <f>VLOOKUP($E16,R.VL_DEQResourcesInvolved,2,FALSE)</f>
        <v>0</v>
      </c>
      <c r="T16" s="120">
        <f>VLOOKUP($E16,R.VL_DEQResourcesInvolved,3,FALSE)</f>
        <v>0</v>
      </c>
      <c r="U16" s="120">
        <f>IF(S16=10,T16,VLOOKUP($E16,R.VL_DEQResourcesInvolved,4,FALSE))</f>
        <v>0</v>
      </c>
      <c r="V16" s="574" t="s">
        <v>542</v>
      </c>
      <c r="W16" s="63"/>
      <c r="X16" s="63"/>
      <c r="Y16" s="63"/>
      <c r="Z16" s="63"/>
      <c r="AA16" s="63"/>
      <c r="AB16" s="63"/>
      <c r="AC16" s="63"/>
      <c r="AD16" s="129"/>
      <c r="AE16" s="129"/>
      <c r="AF16" s="129"/>
    </row>
    <row r="17" spans="1:32" s="27" customFormat="1" ht="20.25" hidden="1" customHeight="1" outlineLevel="1" x14ac:dyDescent="0.2">
      <c r="A17" s="319"/>
      <c r="B17" s="333"/>
      <c r="C17" s="137"/>
      <c r="D17" s="35" t="s">
        <v>0</v>
      </c>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x14ac:dyDescent="0.2">
      <c r="A18" s="319"/>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customHeight="1" collapsed="1" x14ac:dyDescent="0.2">
      <c r="A19" s="319"/>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x14ac:dyDescent="0.2">
      <c r="A20" s="319"/>
      <c r="B20" s="333"/>
      <c r="C20" s="137"/>
      <c r="D20" s="737"/>
      <c r="E20" s="738"/>
      <c r="F20" s="738"/>
      <c r="G20" s="738"/>
      <c r="H20" s="738"/>
      <c r="I20" s="738"/>
      <c r="J20" s="738"/>
      <c r="K20" s="738"/>
      <c r="L20" s="738"/>
      <c r="M20" s="738"/>
      <c r="N20" s="738"/>
      <c r="O20" s="738"/>
      <c r="P20" s="739"/>
      <c r="Q20" s="138"/>
      <c r="R20" s="333"/>
      <c r="S20" s="131" t="s">
        <v>0</v>
      </c>
      <c r="T20" s="130"/>
      <c r="U20" s="130"/>
      <c r="V20" s="63"/>
      <c r="W20" s="63"/>
      <c r="X20" s="63"/>
      <c r="Y20" s="63"/>
      <c r="Z20" s="63"/>
      <c r="AA20" s="63"/>
      <c r="AB20" s="63"/>
      <c r="AC20" s="63"/>
      <c r="AD20" s="129"/>
      <c r="AE20" s="129"/>
      <c r="AF20" s="129"/>
    </row>
    <row r="21" spans="1:32" s="32" customFormat="1" ht="15.75" customHeight="1" x14ac:dyDescent="0.2">
      <c r="A21" s="318"/>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20.25" customHeight="1" x14ac:dyDescent="0.2">
      <c r="A22" s="319"/>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20.25" hidden="1" customHeight="1" outlineLevel="1" x14ac:dyDescent="0.2">
      <c r="A23" s="319"/>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x14ac:dyDescent="0.2">
      <c r="A24" s="319"/>
      <c r="B24" s="333"/>
      <c r="C24" s="137"/>
      <c r="D24" s="35"/>
      <c r="E24" s="29" t="s">
        <v>217</v>
      </c>
      <c r="F24" s="70">
        <v>1</v>
      </c>
      <c r="G24" s="71">
        <v>2</v>
      </c>
      <c r="H24" s="72">
        <v>3</v>
      </c>
      <c r="I24" s="73">
        <v>4</v>
      </c>
      <c r="J24" s="74">
        <v>5</v>
      </c>
      <c r="K24" s="75">
        <v>6</v>
      </c>
      <c r="L24" s="76">
        <v>7</v>
      </c>
      <c r="M24" s="77">
        <v>8</v>
      </c>
      <c r="N24" s="78">
        <v>9</v>
      </c>
      <c r="O24" s="79">
        <v>10</v>
      </c>
      <c r="P24" s="31"/>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x14ac:dyDescent="0.2">
      <c r="A25" s="319"/>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x14ac:dyDescent="0.2">
      <c r="A26" s="319"/>
      <c r="B26" s="333"/>
      <c r="C26" s="375"/>
      <c r="D26" s="480"/>
      <c r="E26" s="742"/>
      <c r="F26" s="742"/>
      <c r="G26" s="742"/>
      <c r="H26" s="742"/>
      <c r="I26" s="742"/>
      <c r="J26" s="742"/>
      <c r="K26" s="742"/>
      <c r="L26" s="742"/>
      <c r="M26" s="742"/>
      <c r="N26" s="742"/>
      <c r="O26" s="742"/>
      <c r="P26" s="742"/>
      <c r="Q26" s="378"/>
      <c r="R26" s="333"/>
      <c r="S26" s="131"/>
      <c r="T26" s="130"/>
      <c r="U26" s="130"/>
      <c r="V26" s="63"/>
      <c r="W26" s="63"/>
      <c r="X26" s="63"/>
      <c r="Y26" s="63"/>
      <c r="Z26" s="63"/>
      <c r="AA26" s="63"/>
      <c r="AB26" s="63"/>
      <c r="AC26" s="63"/>
      <c r="AD26" s="129"/>
      <c r="AE26" s="129"/>
      <c r="AF26" s="129"/>
    </row>
    <row r="27" spans="1:32" s="32" customFormat="1" ht="30" customHeight="1" x14ac:dyDescent="0.3">
      <c r="A27" s="349" t="s">
        <v>103</v>
      </c>
      <c r="B27" s="333"/>
      <c r="C27" s="135"/>
      <c r="D27" s="307" t="s">
        <v>101</v>
      </c>
      <c r="E27" s="296"/>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x14ac:dyDescent="0.3">
      <c r="A28" s="318"/>
      <c r="B28" s="333"/>
      <c r="C28" s="135"/>
      <c r="D28" s="442" t="s">
        <v>50</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15.75" customHeight="1" x14ac:dyDescent="0.2">
      <c r="A29" s="319"/>
      <c r="B29" s="333"/>
      <c r="C29" s="137"/>
      <c r="D29" s="722"/>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row>
    <row r="30" spans="1:32" s="32" customFormat="1" ht="14.25" customHeight="1" x14ac:dyDescent="0.2">
      <c r="A30" s="318"/>
      <c r="B30" s="333"/>
      <c r="C30" s="231"/>
      <c r="D30" s="441" t="s">
        <v>57</v>
      </c>
      <c r="E30" s="158" t="s">
        <v>15</v>
      </c>
      <c r="F30" s="158" t="s">
        <v>16</v>
      </c>
      <c r="G30" s="158"/>
      <c r="H30" s="158"/>
      <c r="I30" s="158"/>
      <c r="J30" s="158"/>
      <c r="K30" s="158"/>
      <c r="L30" s="158"/>
      <c r="M30" s="158"/>
      <c r="N30" s="158"/>
      <c r="O30" s="158"/>
      <c r="P30" s="158" t="s">
        <v>17</v>
      </c>
      <c r="Q30" s="136"/>
      <c r="R30" s="333"/>
      <c r="S30" s="227"/>
      <c r="T30" s="228"/>
      <c r="U30" s="228"/>
      <c r="V30" s="229"/>
      <c r="W30" s="229"/>
      <c r="X30" s="229"/>
      <c r="Y30" s="229"/>
      <c r="Z30" s="229"/>
      <c r="AA30" s="229"/>
      <c r="AB30" s="229"/>
      <c r="AC30" s="229"/>
      <c r="AD30" s="126"/>
      <c r="AE30" s="126"/>
      <c r="AF30" s="126"/>
    </row>
    <row r="31" spans="1:32" s="27" customFormat="1" ht="15.75" customHeight="1" x14ac:dyDescent="0.2">
      <c r="A31" s="319"/>
      <c r="B31" s="333"/>
      <c r="C31" s="137"/>
      <c r="D31" s="35"/>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20.25" hidden="1" customHeight="1" outlineLevel="1" x14ac:dyDescent="0.2">
      <c r="A32" s="319"/>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x14ac:dyDescent="0.2">
      <c r="A33" s="319"/>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x14ac:dyDescent="0.2">
      <c r="A34" s="319"/>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x14ac:dyDescent="0.2">
      <c r="A35" s="319"/>
      <c r="B35" s="333"/>
      <c r="C35" s="141"/>
      <c r="D35" s="442" t="s">
        <v>49</v>
      </c>
      <c r="E35" s="30"/>
      <c r="F35" s="30"/>
      <c r="G35" s="30"/>
      <c r="H35" s="30"/>
      <c r="I35" s="30"/>
      <c r="J35" s="30"/>
      <c r="K35" s="30"/>
      <c r="L35" s="30"/>
      <c r="M35" s="30"/>
      <c r="N35" s="30"/>
      <c r="O35" s="30"/>
      <c r="P35" s="30"/>
      <c r="Q35" s="142"/>
      <c r="R35" s="333"/>
      <c r="S35" s="131"/>
      <c r="T35" s="130"/>
      <c r="U35" s="130"/>
      <c r="V35" s="63"/>
      <c r="W35" s="63"/>
      <c r="X35" s="63"/>
      <c r="Y35" s="63"/>
      <c r="Z35" s="63"/>
      <c r="AA35" s="63"/>
      <c r="AB35" s="63"/>
      <c r="AC35" s="63"/>
      <c r="AD35" s="129"/>
      <c r="AE35" s="129"/>
      <c r="AF35" s="129"/>
    </row>
    <row r="36" spans="1:32" s="27" customFormat="1" ht="15.75" customHeight="1" x14ac:dyDescent="0.2">
      <c r="A36" s="319"/>
      <c r="B36" s="333"/>
      <c r="C36" s="137"/>
      <c r="D36" s="727"/>
      <c r="E36" s="728"/>
      <c r="F36" s="728"/>
      <c r="G36" s="728"/>
      <c r="H36" s="728"/>
      <c r="I36" s="728"/>
      <c r="J36" s="728"/>
      <c r="K36" s="728"/>
      <c r="L36" s="728"/>
      <c r="M36" s="728"/>
      <c r="N36" s="728"/>
      <c r="O36" s="728"/>
      <c r="P36" s="729"/>
      <c r="Q36" s="138"/>
      <c r="R36" s="333"/>
      <c r="S36" s="131" t="s">
        <v>0</v>
      </c>
      <c r="T36" s="130"/>
      <c r="U36" s="130"/>
      <c r="V36" s="63"/>
      <c r="W36" s="63"/>
      <c r="X36" s="63"/>
      <c r="Y36" s="63"/>
      <c r="Z36" s="63"/>
      <c r="AA36" s="63"/>
      <c r="AB36" s="63"/>
      <c r="AC36" s="63"/>
      <c r="AD36" s="129"/>
      <c r="AE36" s="129"/>
      <c r="AF36" s="129"/>
    </row>
    <row r="37" spans="1:32" s="32" customFormat="1" ht="14.25" customHeight="1" x14ac:dyDescent="0.2">
      <c r="A37" s="318"/>
      <c r="B37" s="333"/>
      <c r="C37" s="231"/>
      <c r="D37" s="441" t="s">
        <v>57</v>
      </c>
      <c r="E37" s="158" t="s">
        <v>15</v>
      </c>
      <c r="F37" s="158" t="s">
        <v>16</v>
      </c>
      <c r="G37" s="158"/>
      <c r="H37" s="158"/>
      <c r="I37" s="158"/>
      <c r="J37" s="158"/>
      <c r="K37" s="158"/>
      <c r="L37" s="158"/>
      <c r="M37" s="158"/>
      <c r="N37" s="158"/>
      <c r="O37" s="158"/>
      <c r="P37" s="158" t="s">
        <v>17</v>
      </c>
      <c r="Q37" s="136"/>
      <c r="R37" s="333"/>
      <c r="S37" s="227"/>
      <c r="T37" s="228"/>
      <c r="U37" s="228"/>
      <c r="V37" s="229"/>
      <c r="W37" s="229"/>
      <c r="X37" s="229"/>
      <c r="Y37" s="229"/>
      <c r="Z37" s="229"/>
      <c r="AA37" s="229"/>
      <c r="AB37" s="229"/>
      <c r="AC37" s="229"/>
      <c r="AD37" s="126"/>
      <c r="AE37" s="126"/>
      <c r="AF37" s="126"/>
    </row>
    <row r="38" spans="1:32" s="27" customFormat="1" ht="15.75" customHeight="1" x14ac:dyDescent="0.2">
      <c r="A38" s="319"/>
      <c r="B38" s="333"/>
      <c r="C38" s="137"/>
      <c r="D38" s="35"/>
      <c r="E38" s="29" t="s">
        <v>217</v>
      </c>
      <c r="F38" s="70">
        <v>1</v>
      </c>
      <c r="G38" s="71">
        <v>2</v>
      </c>
      <c r="H38" s="72">
        <v>3</v>
      </c>
      <c r="I38" s="73">
        <v>4</v>
      </c>
      <c r="J38" s="74">
        <v>5</v>
      </c>
      <c r="K38" s="75">
        <v>6</v>
      </c>
      <c r="L38" s="76">
        <v>7</v>
      </c>
      <c r="M38" s="77">
        <v>8</v>
      </c>
      <c r="N38" s="78">
        <v>9</v>
      </c>
      <c r="O38" s="79">
        <v>10</v>
      </c>
      <c r="P38" s="31" t="s">
        <v>12</v>
      </c>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20.25" hidden="1" customHeight="1" outlineLevel="1" x14ac:dyDescent="0.2">
      <c r="A39" s="319"/>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x14ac:dyDescent="0.2">
      <c r="A40" s="319"/>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x14ac:dyDescent="0.2">
      <c r="A41" s="319"/>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x14ac:dyDescent="0.2">
      <c r="A42" s="319"/>
      <c r="B42" s="333"/>
      <c r="C42" s="375"/>
      <c r="D42" s="480"/>
      <c r="E42" s="742"/>
      <c r="F42" s="742"/>
      <c r="G42" s="742"/>
      <c r="H42" s="742"/>
      <c r="I42" s="742"/>
      <c r="J42" s="742"/>
      <c r="K42" s="742"/>
      <c r="L42" s="742"/>
      <c r="M42" s="742"/>
      <c r="N42" s="742"/>
      <c r="O42" s="742"/>
      <c r="P42" s="742"/>
      <c r="Q42" s="378"/>
      <c r="R42" s="333"/>
      <c r="S42" s="131"/>
      <c r="T42" s="130"/>
      <c r="U42" s="130"/>
      <c r="V42" s="63"/>
      <c r="W42" s="63"/>
      <c r="X42" s="63"/>
      <c r="Y42" s="63"/>
      <c r="Z42" s="63"/>
      <c r="AA42" s="63"/>
      <c r="AB42" s="63"/>
      <c r="AC42" s="63"/>
      <c r="AD42" s="129"/>
      <c r="AE42" s="129"/>
      <c r="AF42" s="129"/>
    </row>
    <row r="43" spans="1:32" s="32" customFormat="1" ht="30" customHeight="1" x14ac:dyDescent="0.2">
      <c r="A43" s="349" t="s">
        <v>103</v>
      </c>
      <c r="B43" s="333"/>
      <c r="C43" s="479" t="s">
        <v>0</v>
      </c>
      <c r="D43" s="483" t="s">
        <v>102</v>
      </c>
      <c r="E43" s="93"/>
      <c r="F43" s="93"/>
      <c r="G43" s="93"/>
      <c r="H43" s="93"/>
      <c r="I43" s="93"/>
      <c r="J43" s="93"/>
      <c r="K43" s="93"/>
      <c r="L43" s="93"/>
      <c r="M43" s="93"/>
      <c r="N43" s="93"/>
      <c r="O43" s="93"/>
      <c r="P43" s="93"/>
      <c r="Q43" s="136"/>
      <c r="R43" s="333"/>
      <c r="S43" s="133"/>
      <c r="T43" s="130" t="s">
        <v>0</v>
      </c>
      <c r="U43" s="130"/>
      <c r="V43" s="128"/>
      <c r="W43" s="128"/>
      <c r="X43" s="128"/>
      <c r="Y43" s="128"/>
      <c r="Z43" s="128"/>
      <c r="AA43" s="128"/>
      <c r="AB43" s="128"/>
      <c r="AC43" s="128"/>
      <c r="AD43" s="126"/>
      <c r="AE43" s="126"/>
      <c r="AF43" s="126"/>
    </row>
    <row r="44" spans="1:32" s="32" customFormat="1" ht="14.25" customHeight="1" x14ac:dyDescent="0.2">
      <c r="A44" s="318"/>
      <c r="B44" s="333"/>
      <c r="C44" s="231"/>
      <c r="D44" s="442" t="s">
        <v>50</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x14ac:dyDescent="0.2">
      <c r="A45" s="319"/>
      <c r="B45" s="333"/>
      <c r="C45" s="137"/>
      <c r="D45" s="727" t="s">
        <v>151</v>
      </c>
      <c r="E45" s="728"/>
      <c r="F45" s="728"/>
      <c r="G45" s="728"/>
      <c r="H45" s="728"/>
      <c r="I45" s="728"/>
      <c r="J45" s="728"/>
      <c r="K45" s="728"/>
      <c r="L45" s="728"/>
      <c r="M45" s="728"/>
      <c r="N45" s="728"/>
      <c r="O45" s="728"/>
      <c r="P45" s="729"/>
      <c r="Q45" s="138"/>
      <c r="R45" s="333"/>
      <c r="S45" s="131" t="s">
        <v>0</v>
      </c>
      <c r="T45" s="130"/>
      <c r="U45" s="130"/>
      <c r="V45" s="63"/>
      <c r="W45" s="63"/>
      <c r="X45" s="63"/>
      <c r="Y45" s="63"/>
      <c r="Z45" s="63"/>
      <c r="AA45" s="63"/>
      <c r="AB45" s="63"/>
      <c r="AC45" s="63"/>
      <c r="AD45" s="129"/>
      <c r="AE45" s="129"/>
      <c r="AF45" s="129"/>
    </row>
    <row r="46" spans="1:32" s="32" customFormat="1" ht="14.25" customHeight="1" x14ac:dyDescent="0.2">
      <c r="A46" s="318"/>
      <c r="B46" s="333"/>
      <c r="C46" s="232"/>
      <c r="D46" s="496" t="s">
        <v>57</v>
      </c>
      <c r="E46" s="392" t="s">
        <v>15</v>
      </c>
      <c r="F46" s="736" t="s">
        <v>16</v>
      </c>
      <c r="G46" s="736"/>
      <c r="H46" s="736"/>
      <c r="I46" s="736"/>
      <c r="J46" s="736"/>
      <c r="K46" s="736"/>
      <c r="L46" s="736"/>
      <c r="M46" s="736"/>
      <c r="N46" s="736"/>
      <c r="O46" s="736"/>
      <c r="P46" s="392" t="s">
        <v>17</v>
      </c>
      <c r="Q46" s="136"/>
      <c r="R46" s="333"/>
      <c r="S46" s="227"/>
      <c r="T46" s="228"/>
      <c r="U46" s="228"/>
      <c r="V46" s="229"/>
      <c r="W46" s="229"/>
      <c r="X46" s="229"/>
      <c r="Y46" s="229"/>
      <c r="Z46" s="229"/>
      <c r="AA46" s="229"/>
      <c r="AB46" s="229"/>
      <c r="AC46" s="229"/>
      <c r="AD46" s="126"/>
      <c r="AE46" s="126"/>
      <c r="AF46" s="126"/>
    </row>
    <row r="47" spans="1:32" s="27" customFormat="1" ht="20.25" customHeight="1" x14ac:dyDescent="0.2">
      <c r="A47" s="319"/>
      <c r="B47" s="333"/>
      <c r="C47" s="137"/>
      <c r="D47" s="35" t="s">
        <v>599</v>
      </c>
      <c r="E47" s="29" t="s">
        <v>219</v>
      </c>
      <c r="F47" s="70">
        <v>1</v>
      </c>
      <c r="G47" s="71">
        <v>2</v>
      </c>
      <c r="H47" s="72">
        <v>3</v>
      </c>
      <c r="I47" s="73">
        <v>4</v>
      </c>
      <c r="J47" s="74">
        <v>5</v>
      </c>
      <c r="K47" s="75">
        <v>6</v>
      </c>
      <c r="L47" s="76">
        <v>7</v>
      </c>
      <c r="M47" s="77">
        <v>8</v>
      </c>
      <c r="N47" s="78">
        <v>9</v>
      </c>
      <c r="O47" s="79">
        <v>10</v>
      </c>
      <c r="P47" s="31" t="s">
        <v>12</v>
      </c>
      <c r="Q47" s="138"/>
      <c r="R47" s="333"/>
      <c r="S47" s="132">
        <f>VLOOKUP($E47,R.VL_DEQResourcesInvolved,2,FALSE)</f>
        <v>1</v>
      </c>
      <c r="T47" s="120">
        <f>VLOOKUP($E47,R.VL_DEQResourcesInvolved,3,FALSE)</f>
        <v>1</v>
      </c>
      <c r="U47" s="120">
        <f>IF(S47=10,T47,VLOOKUP($E47,R.VL_DEQResourcesInvolved,4,FALSE))</f>
        <v>8</v>
      </c>
      <c r="V47" s="574" t="s">
        <v>542</v>
      </c>
      <c r="W47" s="63"/>
      <c r="X47" s="63"/>
      <c r="Y47" s="63"/>
      <c r="Z47" s="63"/>
      <c r="AA47" s="63"/>
      <c r="AB47" s="63"/>
      <c r="AC47" s="63"/>
      <c r="AD47" s="129"/>
      <c r="AE47" s="129"/>
      <c r="AF47" s="129"/>
    </row>
    <row r="48" spans="1:32" s="27" customFormat="1" ht="20.25" hidden="1" customHeight="1" outlineLevel="1" x14ac:dyDescent="0.2">
      <c r="A48" s="319"/>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x14ac:dyDescent="0.2">
      <c r="A49" s="319"/>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x14ac:dyDescent="0.2">
      <c r="A50" s="319"/>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x14ac:dyDescent="0.2">
      <c r="A51" s="319"/>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x14ac:dyDescent="0.2">
      <c r="A52" s="319"/>
      <c r="B52" s="333"/>
      <c r="C52" s="137"/>
      <c r="D52" s="737" t="s">
        <v>152</v>
      </c>
      <c r="E52" s="738"/>
      <c r="F52" s="738"/>
      <c r="G52" s="738"/>
      <c r="H52" s="738"/>
      <c r="I52" s="738"/>
      <c r="J52" s="738"/>
      <c r="K52" s="738"/>
      <c r="L52" s="738"/>
      <c r="M52" s="738"/>
      <c r="N52" s="738"/>
      <c r="O52" s="738"/>
      <c r="P52" s="739"/>
      <c r="Q52" s="138"/>
      <c r="R52" s="333"/>
      <c r="S52" s="131" t="s">
        <v>0</v>
      </c>
      <c r="T52" s="130"/>
      <c r="U52" s="130"/>
      <c r="V52" s="63"/>
      <c r="W52" s="63"/>
      <c r="X52" s="63"/>
      <c r="Y52" s="63"/>
      <c r="Z52" s="63"/>
      <c r="AA52" s="63"/>
      <c r="AB52" s="63"/>
      <c r="AC52" s="63"/>
      <c r="AD52" s="129"/>
      <c r="AE52" s="129"/>
      <c r="AF52" s="129"/>
    </row>
    <row r="53" spans="1:32" s="32" customFormat="1" ht="14.25" customHeight="1" x14ac:dyDescent="0.2">
      <c r="A53" s="318"/>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9"/>
      <c r="W53" s="229"/>
      <c r="X53" s="229"/>
      <c r="Y53" s="229"/>
      <c r="Z53" s="229"/>
      <c r="AA53" s="229"/>
      <c r="AB53" s="229"/>
      <c r="AC53" s="229"/>
      <c r="AD53" s="126"/>
      <c r="AE53" s="126"/>
      <c r="AF53" s="126"/>
    </row>
    <row r="54" spans="1:32" s="27" customFormat="1" ht="20.25" customHeight="1" x14ac:dyDescent="0.2">
      <c r="A54" s="319"/>
      <c r="B54" s="333"/>
      <c r="C54" s="137"/>
      <c r="D54" s="35" t="s">
        <v>599</v>
      </c>
      <c r="E54" s="29" t="s">
        <v>219</v>
      </c>
      <c r="F54" s="70">
        <v>1</v>
      </c>
      <c r="G54" s="71">
        <v>2</v>
      </c>
      <c r="H54" s="72">
        <v>3</v>
      </c>
      <c r="I54" s="73">
        <v>4</v>
      </c>
      <c r="J54" s="74">
        <v>5</v>
      </c>
      <c r="K54" s="75">
        <v>6</v>
      </c>
      <c r="L54" s="76">
        <v>7</v>
      </c>
      <c r="M54" s="77">
        <v>8</v>
      </c>
      <c r="N54" s="78">
        <v>9</v>
      </c>
      <c r="O54" s="79">
        <v>10</v>
      </c>
      <c r="P54" s="31" t="s">
        <v>12</v>
      </c>
      <c r="Q54" s="138"/>
      <c r="R54" s="333"/>
      <c r="S54" s="132">
        <f>VLOOKUP($E54,R.VL_DEQResourcesInvolved,2,FALSE)</f>
        <v>1</v>
      </c>
      <c r="T54" s="120">
        <f>VLOOKUP($E54,R.VL_DEQResourcesInvolved,3,FALSE)</f>
        <v>1</v>
      </c>
      <c r="U54" s="120">
        <f>IF(S54=10,T54,VLOOKUP($E54,R.VL_DEQResourcesInvolved,4,FALSE))</f>
        <v>8</v>
      </c>
      <c r="V54" s="574" t="s">
        <v>542</v>
      </c>
      <c r="W54" s="63"/>
      <c r="X54" s="63"/>
      <c r="Y54" s="63"/>
      <c r="Z54" s="63"/>
      <c r="AA54" s="63"/>
      <c r="AB54" s="63"/>
      <c r="AC54" s="63"/>
      <c r="AD54" s="129"/>
      <c r="AE54" s="129"/>
      <c r="AF54" s="129"/>
    </row>
    <row r="55" spans="1:32" s="27" customFormat="1" ht="20.25" hidden="1" customHeight="1" outlineLevel="1" x14ac:dyDescent="0.2">
      <c r="A55" s="319"/>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x14ac:dyDescent="0.2">
      <c r="A56" s="319"/>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x14ac:dyDescent="0.2">
      <c r="A57" s="319"/>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x14ac:dyDescent="0.2">
      <c r="A58" s="319"/>
      <c r="B58" s="333"/>
      <c r="C58" s="375"/>
      <c r="D58" s="480"/>
      <c r="E58" s="742"/>
      <c r="F58" s="742"/>
      <c r="G58" s="742"/>
      <c r="H58" s="742"/>
      <c r="I58" s="742"/>
      <c r="J58" s="742"/>
      <c r="K58" s="742"/>
      <c r="L58" s="742"/>
      <c r="M58" s="742"/>
      <c r="N58" s="742"/>
      <c r="O58" s="742"/>
      <c r="P58" s="742"/>
      <c r="Q58" s="378"/>
      <c r="R58" s="333"/>
      <c r="S58" s="131"/>
      <c r="T58" s="130"/>
      <c r="U58" s="130"/>
      <c r="V58" s="63"/>
      <c r="W58" s="63"/>
      <c r="X58" s="63"/>
      <c r="Y58" s="63"/>
      <c r="Z58" s="63"/>
      <c r="AA58" s="63"/>
      <c r="AB58" s="63"/>
      <c r="AC58" s="63"/>
      <c r="AD58" s="129"/>
      <c r="AE58" s="129"/>
      <c r="AF58" s="129"/>
    </row>
    <row r="59" spans="1:32" s="28" customFormat="1" ht="30" customHeight="1" x14ac:dyDescent="0.3">
      <c r="A59" s="318"/>
      <c r="B59" s="333"/>
      <c r="C59" s="145"/>
      <c r="D59" s="642" t="str">
        <f>"Please suggest process improvements to the "&amp;D2&amp;" worksheet."</f>
        <v>Please suggest process improvements to the Communications and Outreach worksheet.</v>
      </c>
      <c r="E59" s="642"/>
      <c r="F59" s="642"/>
      <c r="G59" s="642"/>
      <c r="H59" s="642"/>
      <c r="I59" s="642"/>
      <c r="J59" s="642"/>
      <c r="K59" s="642"/>
      <c r="L59" s="642"/>
      <c r="M59" s="642"/>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x14ac:dyDescent="0.3">
      <c r="A60" s="318"/>
      <c r="B60" s="333"/>
      <c r="C60" s="135"/>
      <c r="D60" s="639"/>
      <c r="E60" s="640"/>
      <c r="F60" s="640"/>
      <c r="G60" s="640"/>
      <c r="H60" s="640"/>
      <c r="I60" s="640"/>
      <c r="J60" s="640"/>
      <c r="K60" s="640"/>
      <c r="L60" s="640"/>
      <c r="M60" s="640"/>
      <c r="N60" s="640"/>
      <c r="O60" s="640"/>
      <c r="P60" s="641"/>
      <c r="Q60" s="147"/>
      <c r="R60" s="333"/>
      <c r="S60" s="131"/>
      <c r="T60" s="130"/>
      <c r="U60" s="130"/>
      <c r="V60" s="63"/>
      <c r="W60" s="63"/>
      <c r="X60" s="63"/>
      <c r="Y60" s="63"/>
      <c r="Z60" s="63"/>
      <c r="AA60" s="63"/>
      <c r="AB60" s="63"/>
      <c r="AC60" s="63"/>
      <c r="AD60" s="65"/>
      <c r="AE60" s="65"/>
      <c r="AF60" s="65"/>
    </row>
    <row r="61" spans="1:32" ht="18" customHeight="1" x14ac:dyDescent="0.3">
      <c r="A61" s="349" t="s">
        <v>104</v>
      </c>
      <c r="B61" s="333"/>
      <c r="C61" s="148"/>
      <c r="D61" s="149"/>
      <c r="E61" s="149"/>
      <c r="F61" s="149"/>
      <c r="G61" s="149"/>
      <c r="H61" s="149"/>
      <c r="I61" s="149"/>
      <c r="J61" s="149"/>
      <c r="K61" s="149"/>
      <c r="L61" s="149"/>
      <c r="M61" s="149"/>
      <c r="N61" s="149"/>
      <c r="O61" s="149"/>
      <c r="P61" s="149"/>
      <c r="Q61" s="150"/>
      <c r="R61" s="333"/>
    </row>
    <row r="62" spans="1:32" s="63" customFormat="1" ht="14.25" x14ac:dyDescent="0.2">
      <c r="A62" s="311"/>
      <c r="B62" s="333"/>
      <c r="C62" s="333"/>
      <c r="D62" s="333"/>
      <c r="E62" s="333"/>
      <c r="F62" s="333"/>
      <c r="G62" s="333"/>
      <c r="H62" s="333"/>
      <c r="I62" s="333"/>
      <c r="J62" s="333"/>
      <c r="K62" s="333"/>
      <c r="L62" s="333"/>
      <c r="M62" s="333"/>
      <c r="N62" s="333"/>
      <c r="O62" s="333"/>
      <c r="P62" s="333"/>
      <c r="Q62" s="333"/>
      <c r="R62" s="333"/>
      <c r="S62" s="112"/>
    </row>
    <row r="63" spans="1:32" s="63" customFormat="1" x14ac:dyDescent="0.3">
      <c r="A63" s="311"/>
      <c r="C63" s="111"/>
      <c r="S63" s="112"/>
    </row>
    <row r="64" spans="1:32" s="63" customFormat="1" x14ac:dyDescent="0.3">
      <c r="A64" s="311"/>
      <c r="C64" s="111"/>
      <c r="S64" s="112"/>
    </row>
    <row r="65" spans="1:19" s="63" customFormat="1" x14ac:dyDescent="0.3">
      <c r="A65" s="311"/>
      <c r="C65" s="111"/>
      <c r="S65" s="112"/>
    </row>
    <row r="66" spans="1:19" s="63" customFormat="1" x14ac:dyDescent="0.3">
      <c r="A66" s="311"/>
      <c r="C66" s="111"/>
      <c r="S66" s="112"/>
    </row>
    <row r="67" spans="1:19" s="63" customFormat="1" x14ac:dyDescent="0.3">
      <c r="A67" s="311"/>
      <c r="C67" s="111"/>
      <c r="S67" s="112"/>
    </row>
    <row r="68" spans="1:19" s="63" customFormat="1" x14ac:dyDescent="0.3">
      <c r="A68" s="311"/>
      <c r="C68" s="111"/>
      <c r="S68" s="112"/>
    </row>
    <row r="69" spans="1:19" s="63" customFormat="1" x14ac:dyDescent="0.3">
      <c r="A69" s="311"/>
      <c r="C69" s="111"/>
      <c r="S69" s="112"/>
    </row>
    <row r="70" spans="1:19" s="63" customFormat="1" x14ac:dyDescent="0.3">
      <c r="A70" s="311"/>
      <c r="C70" s="111"/>
      <c r="S70" s="112"/>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G84"/>
  <sheetViews>
    <sheetView showGridLines="0" topLeftCell="A35" zoomScaleNormal="100" workbookViewId="0">
      <selection activeCell="D2" sqref="D2"/>
    </sheetView>
  </sheetViews>
  <sheetFormatPr defaultColWidth="9" defaultRowHeight="20.25" outlineLevelRow="1" outlineLevelCol="1" x14ac:dyDescent="0.3"/>
  <cols>
    <col min="1" max="1" width="13.75" style="311" customWidth="1"/>
    <col min="2" max="2" width="3.625"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3" width="31.125" style="63" customWidth="1"/>
    <col min="34" max="16384" width="9" style="103"/>
  </cols>
  <sheetData>
    <row r="1" spans="1:33" s="63" customFormat="1" ht="20.25" customHeight="1" x14ac:dyDescent="0.2">
      <c r="A1" s="349" t="s">
        <v>100</v>
      </c>
      <c r="B1" s="333"/>
      <c r="C1" s="334"/>
      <c r="D1" s="334"/>
      <c r="E1" s="333"/>
      <c r="F1" s="333"/>
      <c r="G1" s="333"/>
      <c r="H1" s="333"/>
      <c r="I1" s="333"/>
      <c r="J1" s="333"/>
      <c r="K1" s="333"/>
      <c r="L1" s="333"/>
      <c r="M1" s="333"/>
      <c r="N1" s="333"/>
      <c r="O1" s="333"/>
      <c r="P1" s="333"/>
      <c r="Q1" s="333"/>
      <c r="R1" s="333"/>
      <c r="S1" s="112"/>
    </row>
    <row r="2" spans="1:33" s="6" customFormat="1" ht="30" customHeight="1" thickBot="1" x14ac:dyDescent="0.35">
      <c r="A2" s="322"/>
      <c r="B2" s="333"/>
      <c r="C2" s="332">
        <v>10</v>
      </c>
      <c r="D2" s="330" t="s">
        <v>77</v>
      </c>
      <c r="E2" s="716" t="str">
        <f>R.1MediaAndLongName</f>
        <v>AQ GrantsPassLMP</v>
      </c>
      <c r="F2" s="716"/>
      <c r="G2" s="716"/>
      <c r="H2" s="716"/>
      <c r="I2" s="716"/>
      <c r="J2" s="716"/>
      <c r="K2" s="716"/>
      <c r="L2" s="716"/>
      <c r="M2" s="716"/>
      <c r="N2" s="716"/>
      <c r="O2" s="716"/>
      <c r="P2" s="716"/>
      <c r="Q2" s="153"/>
      <c r="R2" s="333"/>
      <c r="S2" s="118" t="str">
        <f>"R."&amp;$C$2&amp;"StaffCount"</f>
        <v>R.10StaffCount</v>
      </c>
      <c r="T2" s="118" t="str">
        <f>"R."&amp;$C$2&amp;"LowHrs"</f>
        <v>R.10LowHrs</v>
      </c>
      <c r="U2" s="348" t="str">
        <f>"R."&amp;$C$2&amp;"HighHrs"</f>
        <v>R.10HighHrs</v>
      </c>
      <c r="V2" s="119" t="s">
        <v>0</v>
      </c>
      <c r="W2" s="63"/>
      <c r="X2" s="63"/>
      <c r="Y2" s="63"/>
      <c r="Z2" s="63"/>
      <c r="AA2" s="63"/>
      <c r="AB2" s="63"/>
      <c r="AC2" s="63"/>
      <c r="AD2" s="65"/>
      <c r="AE2" s="65"/>
      <c r="AF2" s="65"/>
      <c r="AG2" s="65"/>
    </row>
    <row r="3" spans="1:33" s="6" customFormat="1" ht="20.25" customHeight="1" thickTop="1" x14ac:dyDescent="0.3">
      <c r="A3" s="318"/>
      <c r="B3" s="333"/>
      <c r="C3" s="154"/>
      <c r="D3" s="95"/>
      <c r="E3" s="95"/>
      <c r="F3" s="12"/>
      <c r="G3" s="163"/>
      <c r="H3" s="163"/>
      <c r="I3" s="163"/>
      <c r="J3" s="96"/>
      <c r="K3" s="12"/>
      <c r="L3" s="12"/>
      <c r="M3" s="702" t="s">
        <v>54</v>
      </c>
      <c r="N3" s="702"/>
      <c r="O3" s="702"/>
      <c r="P3" s="702"/>
      <c r="Q3" s="155"/>
      <c r="R3" s="333"/>
      <c r="S3" s="353">
        <f>COUNTIFS(S15:S73,"&gt;0")</f>
        <v>0</v>
      </c>
      <c r="T3" s="354">
        <f>SUM(T15:T73)</f>
        <v>0</v>
      </c>
      <c r="U3" s="354">
        <f>SUM(U15:U73)</f>
        <v>0</v>
      </c>
      <c r="V3" s="119"/>
      <c r="W3" s="63"/>
      <c r="X3" s="63"/>
      <c r="Y3" s="63"/>
      <c r="Z3" s="63"/>
      <c r="AA3" s="63"/>
      <c r="AB3" s="63"/>
      <c r="AC3" s="63"/>
      <c r="AD3" s="65"/>
      <c r="AE3" s="65"/>
      <c r="AF3" s="65"/>
      <c r="AG3" s="65"/>
    </row>
    <row r="4" spans="1:33" s="6" customFormat="1" ht="20.25" customHeight="1" x14ac:dyDescent="0.3">
      <c r="A4" s="318"/>
      <c r="B4" s="333"/>
      <c r="C4" s="154"/>
      <c r="D4" s="493" t="s">
        <v>52</v>
      </c>
      <c r="E4" s="80">
        <f>S3</f>
        <v>0</v>
      </c>
      <c r="F4" s="703" t="s">
        <v>51</v>
      </c>
      <c r="G4" s="703"/>
      <c r="H4" s="703"/>
      <c r="I4" s="703"/>
      <c r="J4" s="703"/>
      <c r="K4" s="703"/>
      <c r="L4" s="703"/>
      <c r="M4" s="704" t="str">
        <f>S4</f>
        <v>0</v>
      </c>
      <c r="N4" s="704"/>
      <c r="O4" s="704"/>
      <c r="P4" s="704"/>
      <c r="Q4" s="155"/>
      <c r="R4" s="333"/>
      <c r="S4" s="121" t="str">
        <f>IF(R.10StaffCount=0,"0",IF(R.10LowHrs=0,"0-"&amp;TEXT(R.10HighHrs,"#,###"),TEXT(R.10LowHrs,"#,###")&amp;"-"&amp;TEXT(R.10HighHrs,"#,###")))</f>
        <v>0</v>
      </c>
      <c r="T4" s="118" t="str">
        <f>"R."&amp;$C$2&amp;"LowDollars"</f>
        <v>R.10LowDollars</v>
      </c>
      <c r="U4" s="348" t="str">
        <f>"R."&amp;$C$2&amp;"HighDollars"</f>
        <v>R.10HighDollars</v>
      </c>
      <c r="V4" s="119"/>
      <c r="W4" s="63"/>
      <c r="X4" s="63"/>
      <c r="Y4" s="63"/>
      <c r="Z4" s="63"/>
      <c r="AA4" s="63"/>
      <c r="AB4" s="63"/>
      <c r="AC4" s="63"/>
      <c r="AD4" s="65"/>
      <c r="AE4" s="65"/>
      <c r="AF4" s="65"/>
      <c r="AG4" s="65"/>
    </row>
    <row r="5" spans="1:33" s="6" customFormat="1" ht="20.25" customHeight="1" x14ac:dyDescent="0.3">
      <c r="A5" s="318"/>
      <c r="B5" s="333"/>
      <c r="C5" s="154"/>
      <c r="D5" s="493" t="s">
        <v>64</v>
      </c>
      <c r="E5" s="97">
        <f>R.AvgHrDEQCost</f>
        <v>58</v>
      </c>
      <c r="F5" s="703" t="s">
        <v>55</v>
      </c>
      <c r="G5" s="703"/>
      <c r="H5" s="703"/>
      <c r="I5" s="703"/>
      <c r="J5" s="703"/>
      <c r="K5" s="703"/>
      <c r="L5" s="703"/>
      <c r="M5" s="705" t="str">
        <f>S5</f>
        <v>$0</v>
      </c>
      <c r="N5" s="705"/>
      <c r="O5" s="705"/>
      <c r="P5" s="705"/>
      <c r="Q5" s="155"/>
      <c r="R5" s="333"/>
      <c r="S5" s="121" t="str">
        <f>IF(R.10StaffCount=0,"$0",IF(R.10LowDollars=0,"$0-"&amp;TEXT(R.10HighDollars,"#,###"),TEXT(R.10LowDollars,"$#,###")&amp;"-"&amp;TEXT(R.10HighDollars,"#,###")))</f>
        <v>$0</v>
      </c>
      <c r="T5" s="123">
        <f>T3*E5</f>
        <v>0</v>
      </c>
      <c r="U5" s="123">
        <f>U3*E5</f>
        <v>0</v>
      </c>
      <c r="V5" s="119"/>
      <c r="W5" s="63"/>
      <c r="X5" s="63"/>
      <c r="Y5" s="63"/>
      <c r="Z5" s="63"/>
      <c r="AA5" s="63"/>
      <c r="AB5" s="63"/>
      <c r="AC5" s="63"/>
      <c r="AD5" s="65"/>
      <c r="AE5" s="65"/>
      <c r="AF5" s="65"/>
      <c r="AG5" s="65"/>
    </row>
    <row r="6" spans="1:33" s="6" customFormat="1" ht="8.25" customHeight="1" x14ac:dyDescent="0.3">
      <c r="A6" s="318"/>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105" customHeight="1" x14ac:dyDescent="0.3">
      <c r="A7" s="315"/>
      <c r="B7" s="333"/>
      <c r="C7" s="154"/>
      <c r="D7" s="733" t="s">
        <v>235</v>
      </c>
      <c r="E7" s="734"/>
      <c r="F7" s="734"/>
      <c r="G7" s="734"/>
      <c r="H7" s="734"/>
      <c r="I7" s="734"/>
      <c r="J7" s="734"/>
      <c r="K7" s="734"/>
      <c r="L7" s="734"/>
      <c r="M7" s="734"/>
      <c r="N7" s="734"/>
      <c r="O7" s="734"/>
      <c r="P7" s="735"/>
      <c r="Q7" s="155"/>
      <c r="R7" s="333"/>
      <c r="S7" s="495" t="e">
        <f>AVERAGEIF(S14:S56,"&gt;0")</f>
        <v>#DIV/0!</v>
      </c>
      <c r="T7" s="492"/>
      <c r="U7" s="492"/>
      <c r="V7" s="119"/>
      <c r="W7" s="435"/>
      <c r="X7" s="435"/>
      <c r="Y7" s="435"/>
      <c r="Z7" s="435"/>
      <c r="AA7" s="435"/>
      <c r="AB7" s="435"/>
      <c r="AC7" s="435"/>
      <c r="AD7" s="65"/>
      <c r="AE7" s="65"/>
      <c r="AF7" s="65"/>
    </row>
    <row r="8" spans="1:33" s="6" customFormat="1" ht="20.25" customHeight="1" x14ac:dyDescent="0.3">
      <c r="A8" s="315"/>
      <c r="B8" s="333"/>
      <c r="C8" s="154"/>
      <c r="D8" s="751" t="s">
        <v>511</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x14ac:dyDescent="0.2">
      <c r="A9" s="344"/>
      <c r="B9" s="439"/>
      <c r="C9" s="137"/>
      <c r="D9" s="748" t="s">
        <v>457</v>
      </c>
      <c r="E9" s="749"/>
      <c r="F9" s="749"/>
      <c r="G9" s="749"/>
      <c r="H9" s="749"/>
      <c r="I9" s="749"/>
      <c r="J9" s="749"/>
      <c r="K9" s="749"/>
      <c r="L9" s="749"/>
      <c r="M9" s="749"/>
      <c r="N9" s="749"/>
      <c r="O9" s="749"/>
      <c r="P9" s="750"/>
      <c r="Q9" s="138"/>
      <c r="R9" s="439"/>
      <c r="S9" s="495">
        <f>IFERROR(AVERAGEIF(S17:S59,"&gt;0"),0)</f>
        <v>0</v>
      </c>
      <c r="T9" s="462"/>
      <c r="U9" s="440"/>
      <c r="V9" s="437"/>
      <c r="W9" s="437"/>
      <c r="X9" s="437"/>
      <c r="Y9" s="437"/>
      <c r="Z9" s="437"/>
      <c r="AA9" s="437"/>
      <c r="AB9" s="437"/>
      <c r="AC9" s="437"/>
      <c r="AD9" s="129"/>
      <c r="AE9" s="129"/>
      <c r="AF9" s="129"/>
      <c r="AG9" s="129"/>
    </row>
    <row r="10" spans="1:33" s="68" customFormat="1" ht="14.25" customHeight="1" x14ac:dyDescent="0.2">
      <c r="A10" s="318"/>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32" customFormat="1" ht="30" customHeight="1" x14ac:dyDescent="0.25">
      <c r="A11" s="349" t="s">
        <v>103</v>
      </c>
      <c r="B11" s="333"/>
      <c r="C11" s="482" t="s">
        <v>0</v>
      </c>
      <c r="D11" s="380" t="s">
        <v>138</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c r="AG11" s="126"/>
    </row>
    <row r="12" spans="1:33" s="32" customFormat="1" ht="14.25" customHeight="1" x14ac:dyDescent="0.2">
      <c r="A12" s="318"/>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20.25" customHeight="1" x14ac:dyDescent="0.2">
      <c r="A13" s="318"/>
      <c r="B13" s="333"/>
      <c r="C13" s="137"/>
      <c r="D13" s="722"/>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c r="AG13" s="129"/>
    </row>
    <row r="14" spans="1:33" s="32" customFormat="1" ht="14.25" customHeight="1" x14ac:dyDescent="0.2">
      <c r="A14" s="318"/>
      <c r="B14" s="333"/>
      <c r="C14" s="232"/>
      <c r="D14" s="496" t="s">
        <v>57</v>
      </c>
      <c r="E14" s="466" t="s">
        <v>15</v>
      </c>
      <c r="F14" s="736" t="s">
        <v>16</v>
      </c>
      <c r="G14" s="736"/>
      <c r="H14" s="736"/>
      <c r="I14" s="736"/>
      <c r="J14" s="736"/>
      <c r="K14" s="736"/>
      <c r="L14" s="736"/>
      <c r="M14" s="736"/>
      <c r="N14" s="736"/>
      <c r="O14" s="736"/>
      <c r="P14" s="466" t="s">
        <v>17</v>
      </c>
      <c r="Q14" s="136"/>
      <c r="R14" s="333"/>
      <c r="S14" s="227"/>
      <c r="T14" s="228"/>
      <c r="U14" s="228"/>
      <c r="V14" s="229"/>
      <c r="W14" s="229"/>
      <c r="X14" s="229"/>
      <c r="Y14" s="229"/>
      <c r="Z14" s="229"/>
      <c r="AA14" s="229"/>
      <c r="AB14" s="229"/>
      <c r="AC14" s="229"/>
      <c r="AD14" s="126"/>
      <c r="AE14" s="126"/>
      <c r="AF14" s="126"/>
      <c r="AG14" s="126"/>
    </row>
    <row r="15" spans="1:33" s="27" customFormat="1" ht="20.25" customHeight="1" x14ac:dyDescent="0.2">
      <c r="A15" s="318"/>
      <c r="B15" s="333"/>
      <c r="C15" s="137"/>
      <c r="D15" s="35"/>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c r="AG15" s="129"/>
    </row>
    <row r="16" spans="1:33" s="27" customFormat="1" ht="20.25" hidden="1" customHeight="1" outlineLevel="1" x14ac:dyDescent="0.2">
      <c r="A16" s="318"/>
      <c r="B16" s="333"/>
      <c r="C16" s="137"/>
      <c r="D16" s="35"/>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row>
    <row r="17" spans="1:33" s="27" customFormat="1" ht="20.25" hidden="1" customHeight="1" outlineLevel="1" x14ac:dyDescent="0.2">
      <c r="A17" s="318"/>
      <c r="B17" s="333"/>
      <c r="C17" s="137"/>
      <c r="D17" s="35"/>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c r="AG17" s="129"/>
    </row>
    <row r="18" spans="1:33" s="27" customFormat="1" ht="20.25" hidden="1" customHeight="1" outlineLevel="1" x14ac:dyDescent="0.2">
      <c r="A18" s="318"/>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4.25" customHeight="1" collapsed="1" x14ac:dyDescent="0.2">
      <c r="A19" s="318"/>
      <c r="B19" s="333"/>
      <c r="C19" s="244"/>
      <c r="D19" s="441" t="s">
        <v>49</v>
      </c>
      <c r="E19" s="30"/>
      <c r="F19" s="30"/>
      <c r="G19" s="30"/>
      <c r="H19" s="30"/>
      <c r="I19" s="30"/>
      <c r="J19" s="30"/>
      <c r="K19" s="30"/>
      <c r="L19" s="30"/>
      <c r="M19" s="30"/>
      <c r="N19" s="30"/>
      <c r="O19" s="30"/>
      <c r="P19" s="30"/>
      <c r="Q19" s="142"/>
      <c r="R19" s="333"/>
      <c r="S19" s="498" t="s">
        <v>0</v>
      </c>
      <c r="T19" s="228"/>
      <c r="U19" s="228"/>
      <c r="V19" s="235"/>
      <c r="W19" s="235"/>
      <c r="X19" s="235"/>
      <c r="Y19" s="235"/>
      <c r="Z19" s="235"/>
      <c r="AA19" s="235"/>
      <c r="AB19" s="235"/>
      <c r="AC19" s="235"/>
      <c r="AD19" s="129"/>
      <c r="AE19" s="129"/>
      <c r="AF19" s="129"/>
      <c r="AG19" s="129"/>
    </row>
    <row r="20" spans="1:33" s="27" customFormat="1" ht="20.25" customHeight="1" x14ac:dyDescent="0.2">
      <c r="A20" s="318"/>
      <c r="B20" s="333"/>
      <c r="C20" s="137"/>
      <c r="D20" s="737"/>
      <c r="E20" s="738"/>
      <c r="F20" s="738"/>
      <c r="G20" s="738"/>
      <c r="H20" s="738"/>
      <c r="I20" s="738"/>
      <c r="J20" s="738"/>
      <c r="K20" s="738"/>
      <c r="L20" s="738"/>
      <c r="M20" s="738"/>
      <c r="N20" s="738"/>
      <c r="O20" s="738"/>
      <c r="P20" s="739"/>
      <c r="Q20" s="138"/>
      <c r="R20" s="333"/>
      <c r="S20" s="498" t="s">
        <v>0</v>
      </c>
      <c r="T20" s="130"/>
      <c r="U20" s="130"/>
      <c r="V20" s="63"/>
      <c r="W20" s="63"/>
      <c r="X20" s="63"/>
      <c r="Y20" s="63"/>
      <c r="Z20" s="63"/>
      <c r="AA20" s="63"/>
      <c r="AB20" s="63"/>
      <c r="AC20" s="63"/>
      <c r="AD20" s="129"/>
      <c r="AE20" s="129"/>
      <c r="AF20" s="129"/>
      <c r="AG20" s="129"/>
    </row>
    <row r="21" spans="1:33" s="32" customFormat="1" ht="14.25" customHeight="1" x14ac:dyDescent="0.2">
      <c r="A21" s="318"/>
      <c r="B21" s="333"/>
      <c r="C21" s="231"/>
      <c r="D21" s="441" t="s">
        <v>57</v>
      </c>
      <c r="E21" s="291" t="s">
        <v>15</v>
      </c>
      <c r="F21" s="291" t="s">
        <v>16</v>
      </c>
      <c r="G21" s="291"/>
      <c r="H21" s="291"/>
      <c r="I21" s="291"/>
      <c r="J21" s="291"/>
      <c r="K21" s="291"/>
      <c r="L21" s="291"/>
      <c r="M21" s="291"/>
      <c r="N21" s="291"/>
      <c r="O21" s="291"/>
      <c r="P21" s="291" t="s">
        <v>17</v>
      </c>
      <c r="Q21" s="136"/>
      <c r="R21" s="333"/>
      <c r="S21" s="498" t="s">
        <v>0</v>
      </c>
      <c r="T21" s="228"/>
      <c r="U21" s="228"/>
      <c r="V21" s="229"/>
      <c r="W21" s="229"/>
      <c r="X21" s="229"/>
      <c r="Y21" s="229"/>
      <c r="Z21" s="229"/>
      <c r="AA21" s="229"/>
      <c r="AB21" s="229"/>
      <c r="AC21" s="229"/>
      <c r="AD21" s="126"/>
      <c r="AE21" s="126"/>
      <c r="AF21" s="126"/>
      <c r="AG21" s="126"/>
    </row>
    <row r="22" spans="1:33" s="27" customFormat="1" ht="20.25" customHeight="1" x14ac:dyDescent="0.2">
      <c r="A22" s="318"/>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c r="AG22" s="129"/>
    </row>
    <row r="23" spans="1:33" s="27" customFormat="1" ht="20.25" hidden="1" customHeight="1" outlineLevel="1" x14ac:dyDescent="0.2">
      <c r="A23" s="318"/>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20.25" hidden="1" customHeight="1" outlineLevel="1" x14ac:dyDescent="0.2">
      <c r="A24" s="318"/>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20.25" hidden="1" customHeight="1" outlineLevel="1" x14ac:dyDescent="0.2">
      <c r="A25" s="318"/>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x14ac:dyDescent="0.2">
      <c r="A26" s="318"/>
      <c r="B26" s="333"/>
      <c r="C26" s="375"/>
      <c r="D26" s="480"/>
      <c r="E26" s="742"/>
      <c r="F26" s="742"/>
      <c r="G26" s="742"/>
      <c r="H26" s="742"/>
      <c r="I26" s="742"/>
      <c r="J26" s="742"/>
      <c r="K26" s="742"/>
      <c r="L26" s="742"/>
      <c r="M26" s="742"/>
      <c r="N26" s="742"/>
      <c r="O26" s="742"/>
      <c r="P26" s="742"/>
      <c r="Q26" s="378"/>
      <c r="R26" s="333"/>
      <c r="S26" s="498"/>
      <c r="T26" s="130"/>
      <c r="U26" s="130"/>
      <c r="V26" s="63"/>
      <c r="W26" s="63"/>
      <c r="X26" s="63"/>
      <c r="Y26" s="63"/>
      <c r="Z26" s="63"/>
      <c r="AA26" s="63"/>
      <c r="AB26" s="63"/>
      <c r="AC26" s="63"/>
      <c r="AD26" s="129"/>
      <c r="AE26" s="129"/>
      <c r="AF26" s="129"/>
      <c r="AG26" s="129"/>
    </row>
    <row r="27" spans="1:33" s="32" customFormat="1" ht="30" customHeight="1" x14ac:dyDescent="0.3">
      <c r="A27" s="349" t="s">
        <v>103</v>
      </c>
      <c r="B27" s="333"/>
      <c r="C27" s="135"/>
      <c r="D27" s="303" t="s">
        <v>137</v>
      </c>
      <c r="E27" s="301"/>
      <c r="F27" s="93"/>
      <c r="G27" s="93"/>
      <c r="H27" s="93"/>
      <c r="I27" s="93"/>
      <c r="J27" s="93"/>
      <c r="K27" s="93"/>
      <c r="L27" s="93"/>
      <c r="M27" s="93"/>
      <c r="N27" s="93"/>
      <c r="O27" s="93"/>
      <c r="P27" s="93"/>
      <c r="Q27" s="136"/>
      <c r="R27" s="333"/>
      <c r="S27" s="498"/>
      <c r="T27" s="130"/>
      <c r="U27" s="130"/>
      <c r="V27" s="128"/>
      <c r="W27" s="128"/>
      <c r="X27" s="128"/>
      <c r="Y27" s="128"/>
      <c r="Z27" s="128"/>
      <c r="AA27" s="128"/>
      <c r="AB27" s="128"/>
      <c r="AC27" s="128"/>
      <c r="AD27" s="126"/>
      <c r="AE27" s="126"/>
      <c r="AF27" s="126"/>
      <c r="AG27" s="126"/>
    </row>
    <row r="28" spans="1:33" s="32" customFormat="1" ht="14.25" customHeight="1" x14ac:dyDescent="0.3">
      <c r="A28" s="349" t="s">
        <v>108</v>
      </c>
      <c r="B28" s="333"/>
      <c r="C28" s="135"/>
      <c r="D28" s="442" t="s">
        <v>50</v>
      </c>
      <c r="E28" s="93"/>
      <c r="F28" s="93"/>
      <c r="G28" s="93"/>
      <c r="H28" s="93"/>
      <c r="I28" s="93"/>
      <c r="J28" s="93"/>
      <c r="K28" s="93"/>
      <c r="L28" s="93"/>
      <c r="M28" s="93"/>
      <c r="N28" s="93"/>
      <c r="O28" s="93"/>
      <c r="P28" s="93"/>
      <c r="Q28" s="136"/>
      <c r="R28" s="333"/>
      <c r="S28" s="498"/>
      <c r="T28" s="130"/>
      <c r="U28" s="130"/>
      <c r="V28" s="128"/>
      <c r="W28" s="128"/>
      <c r="X28" s="128"/>
      <c r="Y28" s="128"/>
      <c r="Z28" s="128"/>
      <c r="AA28" s="128"/>
      <c r="AB28" s="128"/>
      <c r="AC28" s="128"/>
      <c r="AD28" s="126"/>
      <c r="AE28" s="126"/>
      <c r="AF28" s="126"/>
      <c r="AG28" s="126"/>
    </row>
    <row r="29" spans="1:33" s="27" customFormat="1" ht="20.25" customHeight="1" x14ac:dyDescent="0.2">
      <c r="A29" s="318"/>
      <c r="B29" s="333"/>
      <c r="C29" s="137"/>
      <c r="D29" s="722"/>
      <c r="E29" s="723"/>
      <c r="F29" s="723"/>
      <c r="G29" s="723"/>
      <c r="H29" s="723"/>
      <c r="I29" s="723"/>
      <c r="J29" s="723"/>
      <c r="K29" s="723"/>
      <c r="L29" s="723"/>
      <c r="M29" s="723"/>
      <c r="N29" s="723"/>
      <c r="O29" s="723"/>
      <c r="P29" s="724"/>
      <c r="Q29" s="138"/>
      <c r="R29" s="333"/>
      <c r="S29" s="498"/>
      <c r="T29" s="130"/>
      <c r="U29" s="130"/>
      <c r="V29" s="63"/>
      <c r="W29" s="63"/>
      <c r="X29" s="63"/>
      <c r="Y29" s="63"/>
      <c r="Z29" s="63"/>
      <c r="AA29" s="63"/>
      <c r="AB29" s="63"/>
      <c r="AC29" s="63"/>
      <c r="AD29" s="129"/>
      <c r="AE29" s="129"/>
      <c r="AF29" s="129"/>
      <c r="AG29" s="129"/>
    </row>
    <row r="30" spans="1:33" s="32" customFormat="1" ht="14.25" customHeight="1" x14ac:dyDescent="0.3">
      <c r="A30" s="318"/>
      <c r="B30" s="333"/>
      <c r="C30" s="135"/>
      <c r="D30" s="441" t="s">
        <v>57</v>
      </c>
      <c r="E30" s="104" t="s">
        <v>15</v>
      </c>
      <c r="F30" s="104" t="s">
        <v>16</v>
      </c>
      <c r="G30" s="104"/>
      <c r="H30" s="104"/>
      <c r="I30" s="104"/>
      <c r="J30" s="104"/>
      <c r="K30" s="104"/>
      <c r="L30" s="104"/>
      <c r="M30" s="104"/>
      <c r="N30" s="104"/>
      <c r="O30" s="104"/>
      <c r="P30" s="104" t="s">
        <v>17</v>
      </c>
      <c r="Q30" s="136"/>
      <c r="R30" s="333"/>
      <c r="S30" s="498"/>
      <c r="T30" s="130"/>
      <c r="U30" s="130"/>
      <c r="V30" s="128"/>
      <c r="W30" s="128"/>
      <c r="X30" s="128"/>
      <c r="Y30" s="128"/>
      <c r="Z30" s="128"/>
      <c r="AA30" s="128"/>
      <c r="AB30" s="128"/>
      <c r="AC30" s="128"/>
      <c r="AD30" s="126"/>
      <c r="AE30" s="126"/>
      <c r="AF30" s="126"/>
      <c r="AG30" s="126"/>
    </row>
    <row r="31" spans="1:33" s="27" customFormat="1" ht="20.25" customHeight="1" x14ac:dyDescent="0.2">
      <c r="A31" s="318"/>
      <c r="B31" s="333"/>
      <c r="C31" s="137"/>
      <c r="D31" s="35"/>
      <c r="E31" s="29" t="s">
        <v>217</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c r="AG31" s="129"/>
    </row>
    <row r="32" spans="1:33" s="27" customFormat="1" ht="20.25" hidden="1" customHeight="1" outlineLevel="1" x14ac:dyDescent="0.2">
      <c r="A32" s="318"/>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20.25" hidden="1" customHeight="1" outlineLevel="1" x14ac:dyDescent="0.2">
      <c r="A33" s="318"/>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20.25" hidden="1" customHeight="1" outlineLevel="1" x14ac:dyDescent="0.2">
      <c r="A34" s="318"/>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c r="AG34" s="129"/>
    </row>
    <row r="35" spans="1:33" s="27" customFormat="1" ht="14.25" customHeight="1" collapsed="1" x14ac:dyDescent="0.2">
      <c r="A35" s="318"/>
      <c r="B35" s="333"/>
      <c r="C35" s="141"/>
      <c r="D35" s="442" t="s">
        <v>49</v>
      </c>
      <c r="E35" s="30"/>
      <c r="F35" s="30"/>
      <c r="G35" s="30"/>
      <c r="H35" s="30"/>
      <c r="I35" s="30"/>
      <c r="J35" s="30"/>
      <c r="K35" s="30"/>
      <c r="L35" s="30"/>
      <c r="M35" s="30"/>
      <c r="N35" s="30"/>
      <c r="O35" s="30"/>
      <c r="P35" s="30"/>
      <c r="Q35" s="142"/>
      <c r="R35" s="333"/>
      <c r="S35" s="498"/>
      <c r="T35" s="130"/>
      <c r="U35" s="130"/>
      <c r="V35" s="63"/>
      <c r="W35" s="63"/>
      <c r="X35" s="63"/>
      <c r="Y35" s="63"/>
      <c r="Z35" s="63"/>
      <c r="AA35" s="63"/>
      <c r="AB35" s="63"/>
      <c r="AC35" s="63"/>
      <c r="AD35" s="129"/>
      <c r="AE35" s="129"/>
      <c r="AF35" s="129"/>
      <c r="AG35" s="129"/>
    </row>
    <row r="36" spans="1:33" s="27" customFormat="1" ht="20.25" customHeight="1" x14ac:dyDescent="0.2">
      <c r="A36" s="318"/>
      <c r="B36" s="333"/>
      <c r="C36" s="137"/>
      <c r="D36" s="727"/>
      <c r="E36" s="728"/>
      <c r="F36" s="728"/>
      <c r="G36" s="728"/>
      <c r="H36" s="728"/>
      <c r="I36" s="728"/>
      <c r="J36" s="728"/>
      <c r="K36" s="728"/>
      <c r="L36" s="728"/>
      <c r="M36" s="728"/>
      <c r="N36" s="728"/>
      <c r="O36" s="728"/>
      <c r="P36" s="729"/>
      <c r="Q36" s="138"/>
      <c r="R36" s="333"/>
      <c r="S36" s="498"/>
      <c r="T36" s="130"/>
      <c r="U36" s="130"/>
      <c r="V36" s="63"/>
      <c r="W36" s="63"/>
      <c r="X36" s="63"/>
      <c r="Y36" s="63"/>
      <c r="Z36" s="63"/>
      <c r="AA36" s="63"/>
      <c r="AB36" s="63"/>
      <c r="AC36" s="63"/>
      <c r="AD36" s="129"/>
      <c r="AE36" s="129"/>
      <c r="AF36" s="129"/>
      <c r="AG36" s="129"/>
    </row>
    <row r="37" spans="1:33" s="32" customFormat="1" ht="14.25" customHeight="1" x14ac:dyDescent="0.2">
      <c r="A37" s="318"/>
      <c r="B37" s="333"/>
      <c r="C37" s="231"/>
      <c r="D37" s="441" t="s">
        <v>57</v>
      </c>
      <c r="E37" s="158" t="s">
        <v>15</v>
      </c>
      <c r="F37" s="158" t="s">
        <v>16</v>
      </c>
      <c r="G37" s="158"/>
      <c r="H37" s="158"/>
      <c r="I37" s="158"/>
      <c r="J37" s="158"/>
      <c r="K37" s="158"/>
      <c r="L37" s="158"/>
      <c r="M37" s="158"/>
      <c r="N37" s="158"/>
      <c r="O37" s="158"/>
      <c r="P37" s="158" t="s">
        <v>17</v>
      </c>
      <c r="Q37" s="136"/>
      <c r="R37" s="333"/>
      <c r="S37" s="498"/>
      <c r="T37" s="228"/>
      <c r="U37" s="228"/>
      <c r="V37" s="229"/>
      <c r="W37" s="229"/>
      <c r="X37" s="229"/>
      <c r="Y37" s="229"/>
      <c r="Z37" s="229"/>
      <c r="AA37" s="229"/>
      <c r="AB37" s="229"/>
      <c r="AC37" s="229"/>
      <c r="AD37" s="126"/>
      <c r="AE37" s="126"/>
      <c r="AF37" s="126"/>
      <c r="AG37" s="126"/>
    </row>
    <row r="38" spans="1:33" s="27" customFormat="1" ht="20.25" customHeight="1" x14ac:dyDescent="0.2">
      <c r="A38" s="318"/>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c r="AG38" s="129"/>
    </row>
    <row r="39" spans="1:33" s="27" customFormat="1" ht="20.25" hidden="1" customHeight="1" outlineLevel="1" x14ac:dyDescent="0.2">
      <c r="A39" s="318"/>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20.25" hidden="1" customHeight="1" outlineLevel="1" x14ac:dyDescent="0.2">
      <c r="A40" s="318"/>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20.25" hidden="1" customHeight="1" outlineLevel="1" x14ac:dyDescent="0.2">
      <c r="A41" s="318"/>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x14ac:dyDescent="0.2">
      <c r="A42" s="318"/>
      <c r="B42" s="333"/>
      <c r="C42" s="375"/>
      <c r="D42" s="480"/>
      <c r="E42" s="742"/>
      <c r="F42" s="742"/>
      <c r="G42" s="742"/>
      <c r="H42" s="742"/>
      <c r="I42" s="742"/>
      <c r="J42" s="742"/>
      <c r="K42" s="742"/>
      <c r="L42" s="742"/>
      <c r="M42" s="742"/>
      <c r="N42" s="742"/>
      <c r="O42" s="742"/>
      <c r="P42" s="742"/>
      <c r="Q42" s="378"/>
      <c r="R42" s="333"/>
      <c r="S42" s="498"/>
      <c r="T42" s="130"/>
      <c r="U42" s="130"/>
      <c r="V42" s="63"/>
      <c r="W42" s="63"/>
      <c r="X42" s="63"/>
      <c r="Y42" s="63"/>
      <c r="Z42" s="63"/>
      <c r="AA42" s="63"/>
      <c r="AB42" s="63"/>
      <c r="AC42" s="63"/>
      <c r="AD42" s="129"/>
      <c r="AE42" s="129"/>
      <c r="AF42" s="129"/>
      <c r="AG42" s="129"/>
    </row>
    <row r="43" spans="1:33" s="32" customFormat="1" ht="30" customHeight="1" x14ac:dyDescent="0.25">
      <c r="A43" s="349" t="s">
        <v>103</v>
      </c>
      <c r="B43" s="333"/>
      <c r="C43" s="482" t="s">
        <v>0</v>
      </c>
      <c r="D43" s="380" t="s">
        <v>136</v>
      </c>
      <c r="E43" s="381"/>
      <c r="F43" s="381"/>
      <c r="G43" s="381"/>
      <c r="H43" s="381"/>
      <c r="I43" s="381"/>
      <c r="J43" s="381"/>
      <c r="K43" s="381"/>
      <c r="L43" s="381"/>
      <c r="M43" s="381"/>
      <c r="N43" s="381"/>
      <c r="O43" s="381"/>
      <c r="P43" s="381"/>
      <c r="Q43" s="383"/>
      <c r="R43" s="333"/>
      <c r="S43" s="498"/>
      <c r="T43" s="130" t="s">
        <v>0</v>
      </c>
      <c r="U43" s="130"/>
      <c r="V43" s="128"/>
      <c r="W43" s="128"/>
      <c r="X43" s="128"/>
      <c r="Y43" s="128"/>
      <c r="Z43" s="128"/>
      <c r="AA43" s="128"/>
      <c r="AB43" s="128"/>
      <c r="AC43" s="128"/>
      <c r="AD43" s="126"/>
      <c r="AE43" s="126"/>
      <c r="AF43" s="126"/>
      <c r="AG43" s="126"/>
    </row>
    <row r="44" spans="1:33" s="32" customFormat="1" ht="14.25" customHeight="1" x14ac:dyDescent="0.2">
      <c r="A44" s="318"/>
      <c r="B44" s="333"/>
      <c r="C44" s="231"/>
      <c r="D44" s="442" t="s">
        <v>50</v>
      </c>
      <c r="E44" s="93"/>
      <c r="F44" s="93"/>
      <c r="G44" s="93"/>
      <c r="H44" s="93"/>
      <c r="I44" s="93"/>
      <c r="J44" s="93"/>
      <c r="K44" s="93"/>
      <c r="L44" s="93"/>
      <c r="M44" s="93"/>
      <c r="N44" s="93"/>
      <c r="O44" s="93"/>
      <c r="P44" s="93"/>
      <c r="Q44" s="136"/>
      <c r="R44" s="333"/>
      <c r="S44" s="498"/>
      <c r="T44" s="228"/>
      <c r="U44" s="228"/>
      <c r="V44" s="229"/>
      <c r="W44" s="229"/>
      <c r="X44" s="229"/>
      <c r="Y44" s="229"/>
      <c r="Z44" s="229"/>
      <c r="AA44" s="229"/>
      <c r="AB44" s="229"/>
      <c r="AC44" s="229"/>
      <c r="AD44" s="126"/>
      <c r="AE44" s="126"/>
      <c r="AF44" s="126"/>
      <c r="AG44" s="126"/>
    </row>
    <row r="45" spans="1:33" s="27" customFormat="1" ht="20.25" customHeight="1" x14ac:dyDescent="0.2">
      <c r="A45" s="318"/>
      <c r="B45" s="333"/>
      <c r="C45" s="137"/>
      <c r="D45" s="722"/>
      <c r="E45" s="723"/>
      <c r="F45" s="723"/>
      <c r="G45" s="723"/>
      <c r="H45" s="723"/>
      <c r="I45" s="723"/>
      <c r="J45" s="723"/>
      <c r="K45" s="723"/>
      <c r="L45" s="723"/>
      <c r="M45" s="723"/>
      <c r="N45" s="723"/>
      <c r="O45" s="723"/>
      <c r="P45" s="724"/>
      <c r="Q45" s="138"/>
      <c r="R45" s="333"/>
      <c r="S45" s="498"/>
      <c r="T45" s="130"/>
      <c r="U45" s="130"/>
      <c r="V45" s="63"/>
      <c r="W45" s="63"/>
      <c r="X45" s="63"/>
      <c r="Y45" s="63"/>
      <c r="Z45" s="63"/>
      <c r="AA45" s="63"/>
      <c r="AB45" s="63"/>
      <c r="AC45" s="63"/>
      <c r="AD45" s="129"/>
      <c r="AE45" s="129"/>
      <c r="AF45" s="129"/>
      <c r="AG45" s="129"/>
    </row>
    <row r="46" spans="1:33" s="32" customFormat="1" ht="14.25" customHeight="1" x14ac:dyDescent="0.2">
      <c r="A46" s="318"/>
      <c r="B46" s="333"/>
      <c r="C46" s="232"/>
      <c r="D46" s="496" t="s">
        <v>57</v>
      </c>
      <c r="E46" s="392" t="s">
        <v>15</v>
      </c>
      <c r="F46" s="736" t="s">
        <v>16</v>
      </c>
      <c r="G46" s="736"/>
      <c r="H46" s="736"/>
      <c r="I46" s="736"/>
      <c r="J46" s="736"/>
      <c r="K46" s="736"/>
      <c r="L46" s="736"/>
      <c r="M46" s="736"/>
      <c r="N46" s="736"/>
      <c r="O46" s="736"/>
      <c r="P46" s="392" t="s">
        <v>17</v>
      </c>
      <c r="Q46" s="136"/>
      <c r="R46" s="333"/>
      <c r="S46" s="498"/>
      <c r="T46" s="228"/>
      <c r="U46" s="228"/>
      <c r="V46" s="229"/>
      <c r="W46" s="229"/>
      <c r="X46" s="229"/>
      <c r="Y46" s="229"/>
      <c r="Z46" s="229"/>
      <c r="AA46" s="229"/>
      <c r="AB46" s="229"/>
      <c r="AC46" s="229"/>
      <c r="AD46" s="126"/>
      <c r="AE46" s="126"/>
      <c r="AF46" s="126"/>
      <c r="AG46" s="126"/>
    </row>
    <row r="47" spans="1:33" s="27" customFormat="1" ht="20.25" customHeight="1" x14ac:dyDescent="0.2">
      <c r="A47" s="318"/>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c r="AG47" s="129"/>
    </row>
    <row r="48" spans="1:33" s="27" customFormat="1" ht="20.25" hidden="1" customHeight="1" outlineLevel="1" x14ac:dyDescent="0.2">
      <c r="A48" s="318"/>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20.25" hidden="1" customHeight="1" outlineLevel="1" x14ac:dyDescent="0.2">
      <c r="A49" s="318"/>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20.25" hidden="1" customHeight="1" outlineLevel="1" x14ac:dyDescent="0.2">
      <c r="A50" s="318"/>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4.25" customHeight="1" collapsed="1" x14ac:dyDescent="0.2">
      <c r="A51" s="318"/>
      <c r="B51" s="333"/>
      <c r="C51" s="244"/>
      <c r="D51" s="441" t="s">
        <v>49</v>
      </c>
      <c r="E51" s="30"/>
      <c r="F51" s="30"/>
      <c r="G51" s="30"/>
      <c r="H51" s="30"/>
      <c r="I51" s="30"/>
      <c r="J51" s="30"/>
      <c r="K51" s="30"/>
      <c r="L51" s="30"/>
      <c r="M51" s="30"/>
      <c r="N51" s="30"/>
      <c r="O51" s="30"/>
      <c r="P51" s="30"/>
      <c r="Q51" s="142"/>
      <c r="R51" s="333"/>
      <c r="S51" s="498"/>
      <c r="T51" s="130"/>
      <c r="U51" s="130"/>
      <c r="V51" s="63"/>
      <c r="W51" s="63"/>
      <c r="X51" s="63"/>
      <c r="Y51" s="63"/>
      <c r="Z51" s="63"/>
      <c r="AA51" s="63"/>
      <c r="AB51" s="63"/>
      <c r="AC51" s="63"/>
      <c r="AD51" s="129"/>
      <c r="AE51" s="129"/>
      <c r="AF51" s="129"/>
      <c r="AG51" s="129"/>
    </row>
    <row r="52" spans="1:33" s="27" customFormat="1" ht="20.25" customHeight="1" x14ac:dyDescent="0.2">
      <c r="A52" s="318"/>
      <c r="B52" s="333"/>
      <c r="C52" s="137"/>
      <c r="D52" s="737"/>
      <c r="E52" s="738"/>
      <c r="F52" s="738"/>
      <c r="G52" s="738"/>
      <c r="H52" s="738"/>
      <c r="I52" s="738"/>
      <c r="J52" s="738"/>
      <c r="K52" s="738"/>
      <c r="L52" s="738"/>
      <c r="M52" s="738"/>
      <c r="N52" s="738"/>
      <c r="O52" s="738"/>
      <c r="P52" s="739"/>
      <c r="Q52" s="138"/>
      <c r="R52" s="333"/>
      <c r="S52" s="498"/>
      <c r="T52" s="130"/>
      <c r="U52" s="130"/>
      <c r="V52" s="63"/>
      <c r="W52" s="63"/>
      <c r="X52" s="63"/>
      <c r="Y52" s="63"/>
      <c r="Z52" s="63"/>
      <c r="AA52" s="63"/>
      <c r="AB52" s="63"/>
      <c r="AC52" s="63"/>
      <c r="AD52" s="129"/>
      <c r="AE52" s="129"/>
      <c r="AF52" s="129"/>
      <c r="AG52" s="129"/>
    </row>
    <row r="53" spans="1:33" s="32" customFormat="1" ht="14.25" customHeight="1" x14ac:dyDescent="0.2">
      <c r="A53" s="318"/>
      <c r="B53" s="333"/>
      <c r="C53" s="231"/>
      <c r="D53" s="441" t="s">
        <v>57</v>
      </c>
      <c r="E53" s="291" t="s">
        <v>15</v>
      </c>
      <c r="F53" s="291" t="s">
        <v>16</v>
      </c>
      <c r="G53" s="291"/>
      <c r="H53" s="291"/>
      <c r="I53" s="291"/>
      <c r="J53" s="291"/>
      <c r="K53" s="291"/>
      <c r="L53" s="291"/>
      <c r="M53" s="291"/>
      <c r="N53" s="291"/>
      <c r="O53" s="291"/>
      <c r="P53" s="291" t="s">
        <v>17</v>
      </c>
      <c r="Q53" s="136"/>
      <c r="R53" s="333"/>
      <c r="S53" s="498"/>
      <c r="T53" s="130"/>
      <c r="U53" s="130"/>
      <c r="V53" s="128"/>
      <c r="W53" s="128"/>
      <c r="X53" s="128"/>
      <c r="Y53" s="128"/>
      <c r="Z53" s="128"/>
      <c r="AA53" s="128"/>
      <c r="AB53" s="128"/>
      <c r="AC53" s="128"/>
      <c r="AD53" s="126"/>
      <c r="AE53" s="126"/>
      <c r="AF53" s="126"/>
      <c r="AG53" s="126"/>
    </row>
    <row r="54" spans="1:33" s="27" customFormat="1" ht="20.25" customHeight="1" x14ac:dyDescent="0.2">
      <c r="A54" s="318"/>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c r="AG54" s="129"/>
    </row>
    <row r="55" spans="1:33" s="27" customFormat="1" ht="20.25" hidden="1" customHeight="1" outlineLevel="1" x14ac:dyDescent="0.2">
      <c r="A55" s="318"/>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20.25" hidden="1" customHeight="1" outlineLevel="1" x14ac:dyDescent="0.2">
      <c r="A56" s="318"/>
      <c r="B56" s="333"/>
      <c r="C56" s="137"/>
      <c r="D56" s="35"/>
      <c r="E56" s="29" t="s">
        <v>217</v>
      </c>
      <c r="F56" s="70">
        <v>1</v>
      </c>
      <c r="G56" s="71">
        <v>2</v>
      </c>
      <c r="H56" s="72">
        <v>3</v>
      </c>
      <c r="I56" s="73">
        <v>4</v>
      </c>
      <c r="J56" s="74">
        <v>5</v>
      </c>
      <c r="K56" s="75">
        <v>6</v>
      </c>
      <c r="L56" s="76">
        <v>7</v>
      </c>
      <c r="M56" s="77">
        <v>8</v>
      </c>
      <c r="N56" s="78">
        <v>9</v>
      </c>
      <c r="O56" s="79">
        <v>10</v>
      </c>
      <c r="P56" s="31"/>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20.25" hidden="1" customHeight="1" outlineLevel="1" x14ac:dyDescent="0.2">
      <c r="A57" s="318"/>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x14ac:dyDescent="0.2">
      <c r="A58" s="318"/>
      <c r="B58" s="333"/>
      <c r="C58" s="375"/>
      <c r="D58" s="480"/>
      <c r="E58" s="742"/>
      <c r="F58" s="742"/>
      <c r="G58" s="742"/>
      <c r="H58" s="742"/>
      <c r="I58" s="742"/>
      <c r="J58" s="742"/>
      <c r="K58" s="742"/>
      <c r="L58" s="742"/>
      <c r="M58" s="742"/>
      <c r="N58" s="742"/>
      <c r="O58" s="742"/>
      <c r="P58" s="742"/>
      <c r="Q58" s="378"/>
      <c r="R58" s="333"/>
      <c r="S58" s="498"/>
      <c r="T58" s="130"/>
      <c r="U58" s="130"/>
      <c r="V58" s="63"/>
      <c r="W58" s="63"/>
      <c r="X58" s="63"/>
      <c r="Y58" s="63"/>
      <c r="Z58" s="63"/>
      <c r="AA58" s="63"/>
      <c r="AB58" s="63"/>
      <c r="AC58" s="63"/>
      <c r="AD58" s="129"/>
      <c r="AE58" s="129"/>
      <c r="AF58" s="129"/>
      <c r="AG58" s="129"/>
    </row>
    <row r="59" spans="1:33" s="32" customFormat="1" ht="30" customHeight="1" x14ac:dyDescent="0.3">
      <c r="A59" s="349" t="s">
        <v>103</v>
      </c>
      <c r="B59" s="333"/>
      <c r="C59" s="135"/>
      <c r="D59" s="303" t="s">
        <v>135</v>
      </c>
      <c r="E59" s="301"/>
      <c r="F59" s="93"/>
      <c r="G59" s="93"/>
      <c r="H59" s="93"/>
      <c r="I59" s="93"/>
      <c r="J59" s="93"/>
      <c r="K59" s="93"/>
      <c r="L59" s="93"/>
      <c r="M59" s="93"/>
      <c r="N59" s="93"/>
      <c r="O59" s="93"/>
      <c r="P59" s="93"/>
      <c r="Q59" s="136"/>
      <c r="R59" s="333"/>
      <c r="S59" s="498"/>
      <c r="T59" s="130"/>
      <c r="U59" s="130"/>
      <c r="V59" s="128"/>
      <c r="W59" s="128"/>
      <c r="X59" s="128"/>
      <c r="Y59" s="128"/>
      <c r="Z59" s="128"/>
      <c r="AA59" s="128"/>
      <c r="AB59" s="128"/>
      <c r="AC59" s="128"/>
      <c r="AD59" s="126"/>
      <c r="AE59" s="126"/>
      <c r="AF59" s="126"/>
      <c r="AG59" s="126"/>
    </row>
    <row r="60" spans="1:33" s="32" customFormat="1" ht="14.25" customHeight="1" x14ac:dyDescent="0.3">
      <c r="A60" s="318"/>
      <c r="B60" s="333"/>
      <c r="C60" s="135"/>
      <c r="D60" s="442" t="s">
        <v>50</v>
      </c>
      <c r="E60" s="93"/>
      <c r="F60" s="93"/>
      <c r="G60" s="93"/>
      <c r="H60" s="93"/>
      <c r="I60" s="93"/>
      <c r="J60" s="93"/>
      <c r="K60" s="93"/>
      <c r="L60" s="93"/>
      <c r="M60" s="93"/>
      <c r="N60" s="93"/>
      <c r="O60" s="93"/>
      <c r="P60" s="93"/>
      <c r="Q60" s="136"/>
      <c r="R60" s="333"/>
      <c r="S60" s="498"/>
      <c r="T60" s="130"/>
      <c r="U60" s="130"/>
      <c r="V60" s="128"/>
      <c r="W60" s="128"/>
      <c r="X60" s="128"/>
      <c r="Y60" s="128"/>
      <c r="Z60" s="128"/>
      <c r="AA60" s="128"/>
      <c r="AB60" s="128"/>
      <c r="AC60" s="128"/>
      <c r="AD60" s="126"/>
      <c r="AE60" s="126"/>
      <c r="AF60" s="126"/>
      <c r="AG60" s="126"/>
    </row>
    <row r="61" spans="1:33" s="27" customFormat="1" ht="20.25" customHeight="1" x14ac:dyDescent="0.2">
      <c r="A61" s="318"/>
      <c r="B61" s="333"/>
      <c r="C61" s="137"/>
      <c r="D61" s="722"/>
      <c r="E61" s="723"/>
      <c r="F61" s="723"/>
      <c r="G61" s="723"/>
      <c r="H61" s="723"/>
      <c r="I61" s="723"/>
      <c r="J61" s="723"/>
      <c r="K61" s="723"/>
      <c r="L61" s="723"/>
      <c r="M61" s="723"/>
      <c r="N61" s="723"/>
      <c r="O61" s="723"/>
      <c r="P61" s="724"/>
      <c r="Q61" s="138"/>
      <c r="R61" s="333"/>
      <c r="S61" s="498"/>
      <c r="T61" s="130"/>
      <c r="U61" s="130"/>
      <c r="V61" s="63"/>
      <c r="W61" s="63"/>
      <c r="X61" s="63"/>
      <c r="Y61" s="63"/>
      <c r="Z61" s="63"/>
      <c r="AA61" s="63"/>
      <c r="AB61" s="63"/>
      <c r="AC61" s="63"/>
      <c r="AD61" s="129"/>
      <c r="AE61" s="129"/>
      <c r="AF61" s="129"/>
      <c r="AG61" s="129"/>
    </row>
    <row r="62" spans="1:33" s="32" customFormat="1" ht="14.25" customHeight="1" x14ac:dyDescent="0.3">
      <c r="A62" s="318"/>
      <c r="B62" s="333"/>
      <c r="C62" s="135"/>
      <c r="D62" s="441" t="s">
        <v>57</v>
      </c>
      <c r="E62" s="104" t="s">
        <v>15</v>
      </c>
      <c r="F62" s="752" t="s">
        <v>16</v>
      </c>
      <c r="G62" s="752"/>
      <c r="H62" s="752"/>
      <c r="I62" s="752"/>
      <c r="J62" s="752"/>
      <c r="K62" s="752"/>
      <c r="L62" s="752"/>
      <c r="M62" s="752"/>
      <c r="N62" s="752"/>
      <c r="O62" s="752"/>
      <c r="P62" s="104" t="s">
        <v>17</v>
      </c>
      <c r="Q62" s="136"/>
      <c r="R62" s="333"/>
      <c r="S62" s="498"/>
      <c r="T62" s="130"/>
      <c r="U62" s="130"/>
      <c r="V62" s="128"/>
      <c r="W62" s="128"/>
      <c r="X62" s="128"/>
      <c r="Y62" s="128"/>
      <c r="Z62" s="128"/>
      <c r="AA62" s="128"/>
      <c r="AB62" s="128"/>
      <c r="AC62" s="128"/>
      <c r="AD62" s="126"/>
      <c r="AE62" s="126"/>
      <c r="AF62" s="126"/>
      <c r="AG62" s="126"/>
    </row>
    <row r="63" spans="1:33" s="27" customFormat="1" ht="20.25" customHeight="1" x14ac:dyDescent="0.2">
      <c r="A63" s="318"/>
      <c r="B63" s="333"/>
      <c r="C63" s="137"/>
      <c r="D63" s="35"/>
      <c r="E63" s="29" t="s">
        <v>217</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74" t="s">
        <v>542</v>
      </c>
      <c r="W63" s="63"/>
      <c r="X63" s="63"/>
      <c r="Y63" s="63"/>
      <c r="Z63" s="63"/>
      <c r="AA63" s="63"/>
      <c r="AB63" s="63"/>
      <c r="AC63" s="63"/>
      <c r="AD63" s="129"/>
      <c r="AE63" s="129"/>
      <c r="AF63" s="129"/>
      <c r="AG63" s="129"/>
    </row>
    <row r="64" spans="1:33" s="27" customFormat="1" ht="20.25" hidden="1" customHeight="1" outlineLevel="1" x14ac:dyDescent="0.2">
      <c r="A64" s="318"/>
      <c r="B64" s="333"/>
      <c r="C64" s="137"/>
      <c r="D64" s="35"/>
      <c r="E64" s="29" t="s">
        <v>217</v>
      </c>
      <c r="F64" s="70">
        <v>1</v>
      </c>
      <c r="G64" s="71">
        <v>2</v>
      </c>
      <c r="H64" s="72">
        <v>3</v>
      </c>
      <c r="I64" s="73">
        <v>4</v>
      </c>
      <c r="J64" s="74">
        <v>5</v>
      </c>
      <c r="K64" s="75">
        <v>6</v>
      </c>
      <c r="L64" s="76">
        <v>7</v>
      </c>
      <c r="M64" s="77">
        <v>8</v>
      </c>
      <c r="N64" s="78">
        <v>9</v>
      </c>
      <c r="O64" s="79">
        <v>10</v>
      </c>
      <c r="P64" s="31"/>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20.25" hidden="1" customHeight="1" outlineLevel="1" x14ac:dyDescent="0.2">
      <c r="A65" s="318"/>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20.25" hidden="1" customHeight="1" outlineLevel="1" x14ac:dyDescent="0.2">
      <c r="A66" s="318"/>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4.25" customHeight="1" collapsed="1" x14ac:dyDescent="0.2">
      <c r="A67" s="318"/>
      <c r="B67" s="333"/>
      <c r="C67" s="141"/>
      <c r="D67" s="442" t="s">
        <v>49</v>
      </c>
      <c r="E67" s="30"/>
      <c r="F67" s="30"/>
      <c r="G67" s="30"/>
      <c r="H67" s="30"/>
      <c r="I67" s="30"/>
      <c r="J67" s="30"/>
      <c r="K67" s="30"/>
      <c r="L67" s="30"/>
      <c r="M67" s="30"/>
      <c r="N67" s="30"/>
      <c r="O67" s="30"/>
      <c r="P67" s="30"/>
      <c r="Q67" s="142"/>
      <c r="R67" s="333"/>
      <c r="S67" s="498"/>
      <c r="T67" s="130"/>
      <c r="U67" s="130"/>
      <c r="V67" s="63"/>
      <c r="W67" s="63"/>
      <c r="X67" s="63"/>
      <c r="Y67" s="63"/>
      <c r="Z67" s="63"/>
      <c r="AA67" s="63"/>
      <c r="AB67" s="63"/>
      <c r="AC67" s="63"/>
      <c r="AD67" s="129"/>
      <c r="AE67" s="129"/>
      <c r="AF67" s="129"/>
      <c r="AG67" s="129"/>
    </row>
    <row r="68" spans="1:33" s="27" customFormat="1" ht="20.25" customHeight="1" x14ac:dyDescent="0.2">
      <c r="A68" s="318"/>
      <c r="B68" s="333"/>
      <c r="C68" s="137"/>
      <c r="D68" s="727" t="s">
        <v>0</v>
      </c>
      <c r="E68" s="728"/>
      <c r="F68" s="728"/>
      <c r="G68" s="728"/>
      <c r="H68" s="728"/>
      <c r="I68" s="728"/>
      <c r="J68" s="728"/>
      <c r="K68" s="728"/>
      <c r="L68" s="728"/>
      <c r="M68" s="728"/>
      <c r="N68" s="728"/>
      <c r="O68" s="728"/>
      <c r="P68" s="729"/>
      <c r="Q68" s="138"/>
      <c r="R68" s="333"/>
      <c r="S68" s="498"/>
      <c r="T68" s="130"/>
      <c r="U68" s="130"/>
      <c r="V68" s="63"/>
      <c r="W68" s="63"/>
      <c r="X68" s="63"/>
      <c r="Y68" s="63"/>
      <c r="Z68" s="63"/>
      <c r="AA68" s="63"/>
      <c r="AB68" s="63"/>
      <c r="AC68" s="63"/>
      <c r="AD68" s="129"/>
      <c r="AE68" s="129"/>
      <c r="AF68" s="129"/>
      <c r="AG68" s="129"/>
    </row>
    <row r="69" spans="1:33" s="32" customFormat="1" ht="14.25" customHeight="1" x14ac:dyDescent="0.3">
      <c r="A69" s="318"/>
      <c r="B69" s="333"/>
      <c r="C69" s="135"/>
      <c r="D69" s="441" t="s">
        <v>57</v>
      </c>
      <c r="E69" s="104" t="s">
        <v>15</v>
      </c>
      <c r="F69" s="752" t="s">
        <v>16</v>
      </c>
      <c r="G69" s="752"/>
      <c r="H69" s="752"/>
      <c r="I69" s="752"/>
      <c r="J69" s="752"/>
      <c r="K69" s="752"/>
      <c r="L69" s="752"/>
      <c r="M69" s="752"/>
      <c r="N69" s="752"/>
      <c r="O69" s="752"/>
      <c r="P69" s="104" t="s">
        <v>17</v>
      </c>
      <c r="Q69" s="136"/>
      <c r="R69" s="333"/>
      <c r="S69" s="498"/>
      <c r="T69" s="130"/>
      <c r="U69" s="130"/>
      <c r="V69" s="128"/>
      <c r="W69" s="128"/>
      <c r="X69" s="128"/>
      <c r="Y69" s="128"/>
      <c r="Z69" s="128"/>
      <c r="AA69" s="128"/>
      <c r="AB69" s="128"/>
      <c r="AC69" s="128"/>
      <c r="AD69" s="126"/>
      <c r="AE69" s="126"/>
      <c r="AF69" s="126"/>
      <c r="AG69" s="126"/>
    </row>
    <row r="70" spans="1:33" s="27" customFormat="1" ht="20.25" customHeight="1" x14ac:dyDescent="0.2">
      <c r="A70" s="318"/>
      <c r="B70" s="333"/>
      <c r="C70" s="137"/>
      <c r="D70" s="35" t="s">
        <v>0</v>
      </c>
      <c r="E70" s="29" t="s">
        <v>217</v>
      </c>
      <c r="F70" s="70">
        <v>1</v>
      </c>
      <c r="G70" s="71">
        <v>2</v>
      </c>
      <c r="H70" s="72">
        <v>3</v>
      </c>
      <c r="I70" s="73">
        <v>4</v>
      </c>
      <c r="J70" s="74">
        <v>5</v>
      </c>
      <c r="K70" s="75">
        <v>6</v>
      </c>
      <c r="L70" s="76">
        <v>7</v>
      </c>
      <c r="M70" s="77">
        <v>8</v>
      </c>
      <c r="N70" s="78">
        <v>9</v>
      </c>
      <c r="O70" s="79">
        <v>10</v>
      </c>
      <c r="P70" s="31" t="s">
        <v>0</v>
      </c>
      <c r="Q70" s="138"/>
      <c r="R70" s="333"/>
      <c r="S70" s="132">
        <f>VLOOKUP($E70,R.VL_DEQResourcesInvolved,2,FALSE)</f>
        <v>0</v>
      </c>
      <c r="T70" s="120">
        <f>VLOOKUP($E70,R.VL_DEQResourcesInvolved,3,FALSE)</f>
        <v>0</v>
      </c>
      <c r="U70" s="120">
        <f>IF(S70=10,T70,VLOOKUP($E70,R.VL_DEQResourcesInvolved,4,FALSE))</f>
        <v>0</v>
      </c>
      <c r="V70" s="574" t="s">
        <v>542</v>
      </c>
      <c r="W70" s="63"/>
      <c r="X70" s="63"/>
      <c r="Y70" s="63"/>
      <c r="Z70" s="63"/>
      <c r="AA70" s="63"/>
      <c r="AB70" s="63"/>
      <c r="AC70" s="63"/>
      <c r="AD70" s="129"/>
      <c r="AE70" s="129"/>
      <c r="AF70" s="129"/>
      <c r="AG70" s="129"/>
    </row>
    <row r="71" spans="1:33" s="27" customFormat="1" ht="20.25" hidden="1" customHeight="1" outlineLevel="1" x14ac:dyDescent="0.2">
      <c r="A71" s="318"/>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20.25" hidden="1" customHeight="1" outlineLevel="1" x14ac:dyDescent="0.2">
      <c r="A72" s="318"/>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20.25" hidden="1" customHeight="1" outlineLevel="1" x14ac:dyDescent="0.2">
      <c r="A73" s="318"/>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ht="14.25" customHeight="1" collapsed="1" x14ac:dyDescent="0.2">
      <c r="A74" s="318"/>
      <c r="B74" s="333"/>
      <c r="C74" s="143"/>
      <c r="D74" s="100"/>
      <c r="E74" s="741"/>
      <c r="F74" s="741"/>
      <c r="G74" s="741"/>
      <c r="H74" s="741"/>
      <c r="I74" s="741"/>
      <c r="J74" s="741"/>
      <c r="K74" s="741"/>
      <c r="L74" s="741"/>
      <c r="M74" s="741"/>
      <c r="N74" s="741"/>
      <c r="O74" s="741"/>
      <c r="P74" s="741"/>
      <c r="Q74" s="144"/>
      <c r="R74" s="333"/>
      <c r="S74" s="498"/>
      <c r="T74" s="127"/>
      <c r="U74" s="127"/>
      <c r="V74" s="63"/>
      <c r="W74" s="63"/>
      <c r="X74" s="63"/>
      <c r="Y74" s="63"/>
      <c r="Z74" s="63"/>
      <c r="AA74" s="63"/>
      <c r="AB74" s="63"/>
      <c r="AC74" s="63"/>
      <c r="AD74" s="129"/>
      <c r="AE74" s="129"/>
      <c r="AF74" s="129"/>
      <c r="AG74" s="129"/>
    </row>
    <row r="75" spans="1:33" s="28" customFormat="1" ht="30" customHeight="1" x14ac:dyDescent="0.3">
      <c r="A75" s="318"/>
      <c r="B75" s="333"/>
      <c r="C75" s="145"/>
      <c r="D75" s="642" t="str">
        <f>"Please suggest process improvements to the "&amp;D2&amp;" worksheet."</f>
        <v>Please suggest process improvements to the Organizational Services worksheet.</v>
      </c>
      <c r="E75" s="642"/>
      <c r="F75" s="642"/>
      <c r="G75" s="642"/>
      <c r="H75" s="642"/>
      <c r="I75" s="642"/>
      <c r="J75" s="642"/>
      <c r="K75" s="88"/>
      <c r="L75" s="89"/>
      <c r="M75" s="90"/>
      <c r="N75" s="91"/>
      <c r="O75" s="92"/>
      <c r="P75" s="38"/>
      <c r="Q75" s="146"/>
      <c r="R75" s="333"/>
      <c r="S75"/>
      <c r="T75" s="130"/>
      <c r="U75" s="130"/>
      <c r="V75" s="63"/>
      <c r="W75" s="63"/>
      <c r="X75" s="63"/>
      <c r="Y75" s="63"/>
      <c r="Z75" s="63"/>
      <c r="AA75" s="63"/>
      <c r="AB75" s="63"/>
      <c r="AC75" s="63"/>
      <c r="AD75" s="64"/>
      <c r="AE75" s="64"/>
      <c r="AF75" s="64"/>
      <c r="AG75" s="64"/>
    </row>
    <row r="76" spans="1:33" s="6" customFormat="1" ht="30.75" customHeight="1" x14ac:dyDescent="0.3">
      <c r="A76" s="318"/>
      <c r="B76" s="333"/>
      <c r="C76" s="135"/>
      <c r="D76" s="639"/>
      <c r="E76" s="640"/>
      <c r="F76" s="640"/>
      <c r="G76" s="640"/>
      <c r="H76" s="640"/>
      <c r="I76" s="640"/>
      <c r="J76" s="640"/>
      <c r="K76" s="640"/>
      <c r="L76" s="640"/>
      <c r="M76" s="640"/>
      <c r="N76" s="640"/>
      <c r="O76" s="640"/>
      <c r="P76" s="641"/>
      <c r="Q76" s="147"/>
      <c r="R76" s="333"/>
      <c r="S76"/>
      <c r="T76" s="130"/>
      <c r="U76" s="130"/>
      <c r="V76" s="63"/>
      <c r="W76" s="63"/>
      <c r="X76" s="63"/>
      <c r="Y76" s="63"/>
      <c r="Z76" s="63"/>
      <c r="AA76" s="63"/>
      <c r="AB76" s="63"/>
      <c r="AC76" s="63"/>
      <c r="AD76" s="65"/>
      <c r="AE76" s="65"/>
      <c r="AF76" s="65"/>
      <c r="AG76" s="65"/>
    </row>
    <row r="77" spans="1:33" ht="18" customHeight="1" x14ac:dyDescent="0.3">
      <c r="A77" s="349" t="s">
        <v>104</v>
      </c>
      <c r="B77" s="333"/>
      <c r="C77" s="148"/>
      <c r="D77" s="149"/>
      <c r="E77" s="149"/>
      <c r="F77" s="149"/>
      <c r="G77" s="149"/>
      <c r="H77" s="149"/>
      <c r="I77" s="149"/>
      <c r="J77" s="149"/>
      <c r="K77" s="149"/>
      <c r="L77" s="149"/>
      <c r="M77" s="149"/>
      <c r="N77" s="149"/>
      <c r="O77" s="149"/>
      <c r="P77" s="149"/>
      <c r="Q77" s="150"/>
      <c r="R77" s="333"/>
      <c r="S77"/>
    </row>
    <row r="78" spans="1:33" s="63" customFormat="1" ht="14.25" x14ac:dyDescent="0.2">
      <c r="A78" s="311"/>
      <c r="B78" s="333"/>
      <c r="C78" s="333"/>
      <c r="D78" s="333"/>
      <c r="E78" s="333"/>
      <c r="F78" s="333"/>
      <c r="G78" s="333"/>
      <c r="H78" s="333"/>
      <c r="I78" s="333"/>
      <c r="J78" s="333"/>
      <c r="K78" s="333"/>
      <c r="L78" s="333"/>
      <c r="M78" s="333"/>
      <c r="N78" s="333"/>
      <c r="O78" s="333"/>
      <c r="P78" s="333"/>
      <c r="Q78" s="333"/>
      <c r="R78" s="333"/>
      <c r="S78"/>
    </row>
    <row r="79" spans="1:33" s="63" customFormat="1" ht="14.25" customHeight="1" x14ac:dyDescent="0.3">
      <c r="A79" s="311"/>
      <c r="C79" s="111"/>
      <c r="S79"/>
    </row>
    <row r="80" spans="1:33" s="63" customFormat="1" x14ac:dyDescent="0.3">
      <c r="A80" s="311"/>
      <c r="C80" s="111"/>
      <c r="S80" s="112"/>
    </row>
    <row r="81" spans="1:19" s="63" customFormat="1" x14ac:dyDescent="0.3">
      <c r="A81" s="311"/>
      <c r="C81" s="111"/>
      <c r="S81" s="112"/>
    </row>
    <row r="82" spans="1:19" s="63" customFormat="1" x14ac:dyDescent="0.3">
      <c r="A82" s="311"/>
      <c r="C82" s="111"/>
      <c r="S82" s="112"/>
    </row>
    <row r="83" spans="1:19" s="63" customFormat="1" x14ac:dyDescent="0.3">
      <c r="A83" s="311"/>
      <c r="C83" s="111"/>
      <c r="S83" s="112"/>
    </row>
    <row r="84" spans="1:19" s="63" customFormat="1" x14ac:dyDescent="0.3">
      <c r="A84" s="311"/>
      <c r="C84" s="111"/>
      <c r="S84" s="112"/>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G70"/>
  <sheetViews>
    <sheetView showGridLines="0" topLeftCell="B1" zoomScaleNormal="100" workbookViewId="0">
      <selection activeCell="D15" sqref="D15"/>
    </sheetView>
  </sheetViews>
  <sheetFormatPr defaultColWidth="9" defaultRowHeight="20.25" outlineLevelRow="1" outlineLevelCol="1" x14ac:dyDescent="0.3"/>
  <cols>
    <col min="1" max="1" width="13.75" style="63" customWidth="1"/>
    <col min="2" max="2" width="3.625" style="63"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3" customWidth="1"/>
    <col min="34" max="16384" width="9" style="103"/>
  </cols>
  <sheetData>
    <row r="1" spans="1:33" s="63" customFormat="1" ht="20.25" customHeight="1" x14ac:dyDescent="0.2">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x14ac:dyDescent="0.25">
      <c r="A2" s="349" t="s">
        <v>103</v>
      </c>
      <c r="B2" s="333"/>
      <c r="C2" s="151">
        <v>11</v>
      </c>
      <c r="D2" s="152" t="s">
        <v>79</v>
      </c>
      <c r="E2" s="716" t="str">
        <f>R.1MediaAndLongName</f>
        <v>AQ GrantsPassLMP</v>
      </c>
      <c r="F2" s="716"/>
      <c r="G2" s="716"/>
      <c r="H2" s="716"/>
      <c r="I2" s="716"/>
      <c r="J2" s="716"/>
      <c r="K2" s="716"/>
      <c r="L2" s="716"/>
      <c r="M2" s="716"/>
      <c r="N2" s="716"/>
      <c r="O2" s="716"/>
      <c r="P2" s="716"/>
      <c r="Q2" s="153"/>
      <c r="R2" s="333"/>
      <c r="S2" s="118" t="str">
        <f>"R."&amp;$C$2&amp;"StaffCount"</f>
        <v>R.11StaffCount</v>
      </c>
      <c r="T2" s="118" t="str">
        <f>"R."&amp;$C$2&amp;"LowHrs"</f>
        <v>R.11LowHrs</v>
      </c>
      <c r="U2" s="348" t="str">
        <f>"R."&amp;$C$2&amp;"HighHrs"</f>
        <v>R.11HighHrs</v>
      </c>
      <c r="V2" s="119" t="s">
        <v>0</v>
      </c>
      <c r="W2" s="63"/>
      <c r="X2" s="63"/>
      <c r="Y2" s="63"/>
      <c r="Z2" s="63"/>
      <c r="AA2" s="63"/>
      <c r="AB2" s="63"/>
      <c r="AC2" s="63"/>
      <c r="AD2" s="65"/>
      <c r="AE2" s="65"/>
      <c r="AF2" s="65"/>
    </row>
    <row r="3" spans="1:33" s="6" customFormat="1" ht="20.25" customHeight="1" thickTop="1" x14ac:dyDescent="0.3">
      <c r="A3" s="113"/>
      <c r="B3" s="333"/>
      <c r="C3" s="154"/>
      <c r="D3" s="95"/>
      <c r="E3" s="95"/>
      <c r="F3" s="81"/>
      <c r="G3" s="163"/>
      <c r="H3" s="163"/>
      <c r="I3" s="163"/>
      <c r="J3" s="96"/>
      <c r="K3" s="12"/>
      <c r="L3" s="12"/>
      <c r="M3" s="702" t="s">
        <v>54</v>
      </c>
      <c r="N3" s="702"/>
      <c r="O3" s="702"/>
      <c r="P3" s="702"/>
      <c r="Q3" s="155"/>
      <c r="R3" s="333"/>
      <c r="S3" s="120">
        <f>COUNTIFS(S15:S57,"&gt;0")</f>
        <v>1</v>
      </c>
      <c r="T3" s="123">
        <f>SUM(T15:T57)</f>
        <v>40</v>
      </c>
      <c r="U3" s="123">
        <f>SUM(U15:U57)</f>
        <v>80</v>
      </c>
      <c r="V3" s="119"/>
      <c r="W3" s="63"/>
      <c r="X3" s="63"/>
      <c r="Y3" s="63"/>
      <c r="Z3" s="63"/>
      <c r="AA3" s="63"/>
      <c r="AB3" s="63"/>
      <c r="AC3" s="63"/>
      <c r="AD3" s="65"/>
      <c r="AE3" s="65"/>
      <c r="AF3" s="65"/>
    </row>
    <row r="4" spans="1:33" s="6" customFormat="1" ht="20.25" customHeight="1" x14ac:dyDescent="0.3">
      <c r="A4" s="113"/>
      <c r="B4" s="333"/>
      <c r="C4" s="154"/>
      <c r="D4" s="493" t="s">
        <v>52</v>
      </c>
      <c r="E4" s="80">
        <f>S3</f>
        <v>1</v>
      </c>
      <c r="F4" s="703" t="s">
        <v>51</v>
      </c>
      <c r="G4" s="703"/>
      <c r="H4" s="703"/>
      <c r="I4" s="703"/>
      <c r="J4" s="703"/>
      <c r="K4" s="703"/>
      <c r="L4" s="703"/>
      <c r="M4" s="704" t="str">
        <f>S4</f>
        <v>40-80</v>
      </c>
      <c r="N4" s="704"/>
      <c r="O4" s="704"/>
      <c r="P4" s="704"/>
      <c r="Q4" s="155"/>
      <c r="R4" s="333"/>
      <c r="S4" s="121" t="str">
        <f>IF(R.11StaffCount=0,"0",IF(R.11LowHrs=0,"0-"&amp;TEXT(R.11HighHrs,"#,###"),TEXT(R.11LowHrs,"#,###")&amp;"-"&amp;TEXT(R.11HighHrs,"#,###")))</f>
        <v>40-80</v>
      </c>
      <c r="T4" s="118" t="str">
        <f>"R."&amp;$C$2&amp;"LowDollars"</f>
        <v>R.11LowDollars</v>
      </c>
      <c r="U4" s="348" t="str">
        <f>"R."&amp;$C$2&amp;"HighDollars"</f>
        <v>R.11HighDollars</v>
      </c>
      <c r="V4" s="119"/>
      <c r="W4" s="63"/>
      <c r="X4" s="63"/>
      <c r="Y4" s="63"/>
      <c r="Z4" s="63"/>
      <c r="AA4" s="63"/>
      <c r="AB4" s="63"/>
      <c r="AC4" s="63"/>
      <c r="AD4" s="65"/>
      <c r="AE4" s="65"/>
      <c r="AF4" s="65"/>
    </row>
    <row r="5" spans="1:33" s="6" customFormat="1" ht="20.25" customHeight="1" x14ac:dyDescent="0.3">
      <c r="A5" s="113"/>
      <c r="B5" s="333"/>
      <c r="C5" s="154"/>
      <c r="D5" s="493" t="s">
        <v>65</v>
      </c>
      <c r="E5" s="97">
        <f>R.AvgHrDEQCost</f>
        <v>58</v>
      </c>
      <c r="F5" s="703" t="s">
        <v>55</v>
      </c>
      <c r="G5" s="703"/>
      <c r="H5" s="703"/>
      <c r="I5" s="703"/>
      <c r="J5" s="703"/>
      <c r="K5" s="703"/>
      <c r="L5" s="703"/>
      <c r="M5" s="705" t="str">
        <f>S5</f>
        <v>$2,320-4,640</v>
      </c>
      <c r="N5" s="705"/>
      <c r="O5" s="705"/>
      <c r="P5" s="705"/>
      <c r="Q5" s="155"/>
      <c r="R5" s="333"/>
      <c r="S5" s="121" t="str">
        <f>IF(R.11StaffCount=0,"$0",IF(R.11LowDollars=0,"$0-"&amp;TEXT(R.11HighDollars,"#,###"),TEXT(R.11LowDollars,"$#,###")&amp;"-"&amp;TEXT(R.11HighDollars,"#,###")))</f>
        <v>$2,320-4,640</v>
      </c>
      <c r="T5" s="123">
        <f>T3*E5</f>
        <v>2320</v>
      </c>
      <c r="U5" s="123">
        <f>U3*E5</f>
        <v>4640</v>
      </c>
      <c r="V5" s="119"/>
      <c r="W5" s="63"/>
      <c r="X5" s="63"/>
      <c r="Y5" s="63"/>
      <c r="Z5" s="63"/>
      <c r="AA5" s="63"/>
      <c r="AB5" s="63"/>
      <c r="AC5" s="63"/>
      <c r="AD5" s="65"/>
      <c r="AE5" s="65"/>
      <c r="AF5" s="65"/>
    </row>
    <row r="6" spans="1:33" s="6" customFormat="1" ht="8.25" customHeight="1" x14ac:dyDescent="0.3">
      <c r="A6" s="113"/>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row>
    <row r="7" spans="1:33" s="6" customFormat="1" ht="105" customHeight="1" x14ac:dyDescent="0.3">
      <c r="A7" s="315"/>
      <c r="B7" s="333"/>
      <c r="C7" s="154"/>
      <c r="D7" s="733" t="s">
        <v>236</v>
      </c>
      <c r="E7" s="734"/>
      <c r="F7" s="734"/>
      <c r="G7" s="734"/>
      <c r="H7" s="734"/>
      <c r="I7" s="734"/>
      <c r="J7" s="734"/>
      <c r="K7" s="734"/>
      <c r="L7" s="734"/>
      <c r="M7" s="734"/>
      <c r="N7" s="734"/>
      <c r="O7" s="734"/>
      <c r="P7" s="735"/>
      <c r="Q7" s="155"/>
      <c r="R7" s="333"/>
      <c r="S7" s="495">
        <f>AVERAGEIF(S14:S56,"&gt;0")</f>
        <v>3</v>
      </c>
      <c r="T7" s="492"/>
      <c r="U7" s="492"/>
      <c r="V7" s="119"/>
      <c r="W7" s="435"/>
      <c r="X7" s="435"/>
      <c r="Y7" s="435"/>
      <c r="Z7" s="435"/>
      <c r="AA7" s="435"/>
      <c r="AB7" s="435"/>
      <c r="AC7" s="435"/>
      <c r="AD7" s="65"/>
      <c r="AE7" s="65"/>
      <c r="AF7" s="65"/>
    </row>
    <row r="8" spans="1:33" s="6" customFormat="1" ht="20.25" customHeight="1" x14ac:dyDescent="0.3">
      <c r="A8" s="315"/>
      <c r="B8" s="333"/>
      <c r="C8" s="154"/>
      <c r="D8" s="751" t="s">
        <v>505</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x14ac:dyDescent="0.2">
      <c r="A9" s="344"/>
      <c r="B9" s="439"/>
      <c r="C9" s="137"/>
      <c r="D9" s="748" t="s">
        <v>457</v>
      </c>
      <c r="E9" s="749"/>
      <c r="F9" s="749"/>
      <c r="G9" s="749"/>
      <c r="H9" s="749"/>
      <c r="I9" s="749"/>
      <c r="J9" s="749"/>
      <c r="K9" s="749"/>
      <c r="L9" s="749"/>
      <c r="M9" s="749"/>
      <c r="N9" s="749"/>
      <c r="O9" s="749"/>
      <c r="P9" s="750"/>
      <c r="Q9" s="138"/>
      <c r="R9" s="439"/>
      <c r="S9"/>
      <c r="T9" s="462"/>
      <c r="U9" s="440"/>
      <c r="V9" s="437"/>
      <c r="W9" s="437"/>
      <c r="X9" s="437"/>
      <c r="Y9" s="437"/>
      <c r="Z9" s="437"/>
      <c r="AA9" s="437"/>
      <c r="AB9" s="437"/>
      <c r="AC9" s="437"/>
      <c r="AD9" s="129"/>
      <c r="AE9" s="129"/>
      <c r="AF9" s="129"/>
      <c r="AG9" s="129"/>
    </row>
    <row r="10" spans="1:33" s="68" customFormat="1" ht="14.25" customHeight="1" x14ac:dyDescent="0.2">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x14ac:dyDescent="0.25">
      <c r="A11" s="300"/>
      <c r="B11" s="333"/>
      <c r="C11" s="479" t="s">
        <v>0</v>
      </c>
      <c r="D11" s="303" t="s">
        <v>132</v>
      </c>
      <c r="E11" s="93"/>
      <c r="F11" s="93"/>
      <c r="G11" s="93"/>
      <c r="H11" s="93"/>
      <c r="I11" s="93"/>
      <c r="J11" s="93"/>
      <c r="K11" s="93"/>
      <c r="L11" s="93"/>
      <c r="M11" s="93"/>
      <c r="N11" s="93"/>
      <c r="O11" s="93"/>
      <c r="P11" s="93"/>
      <c r="Q11" s="136"/>
      <c r="R11" s="333"/>
      <c r="S11" s="127"/>
      <c r="T11" s="126"/>
      <c r="U11" s="126"/>
      <c r="V11" s="128"/>
      <c r="W11" s="128"/>
      <c r="X11" s="128"/>
      <c r="Y11" s="128"/>
      <c r="Z11" s="128"/>
      <c r="AA11" s="128"/>
      <c r="AB11" s="128"/>
      <c r="AC11" s="128"/>
      <c r="AD11" s="126"/>
      <c r="AE11" s="126"/>
      <c r="AF11" s="126"/>
    </row>
    <row r="12" spans="1:33" s="32" customFormat="1" ht="14.25" customHeight="1" x14ac:dyDescent="0.2">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x14ac:dyDescent="0.2">
      <c r="A13" s="116"/>
      <c r="B13" s="333"/>
      <c r="C13" s="137"/>
      <c r="D13" s="722" t="s">
        <v>607</v>
      </c>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x14ac:dyDescent="0.2">
      <c r="A14" s="115"/>
      <c r="B14" s="333"/>
      <c r="C14" s="232"/>
      <c r="D14" s="496" t="s">
        <v>57</v>
      </c>
      <c r="E14" s="392" t="s">
        <v>15</v>
      </c>
      <c r="F14" s="736" t="s">
        <v>16</v>
      </c>
      <c r="G14" s="736"/>
      <c r="H14" s="736"/>
      <c r="I14" s="736"/>
      <c r="J14" s="736"/>
      <c r="K14" s="736"/>
      <c r="L14" s="736"/>
      <c r="M14" s="736"/>
      <c r="N14" s="736"/>
      <c r="O14" s="736"/>
      <c r="P14" s="392" t="s">
        <v>17</v>
      </c>
      <c r="Q14" s="136"/>
      <c r="R14" s="333"/>
      <c r="S14" s="227"/>
      <c r="T14" s="228"/>
      <c r="U14" s="228"/>
      <c r="V14" s="229"/>
      <c r="W14" s="229"/>
      <c r="X14" s="229"/>
      <c r="Y14" s="229"/>
      <c r="Z14" s="229"/>
      <c r="AA14" s="229"/>
      <c r="AB14" s="229"/>
      <c r="AC14" s="229"/>
      <c r="AD14" s="126"/>
      <c r="AE14" s="126"/>
      <c r="AF14" s="126"/>
    </row>
    <row r="15" spans="1:33" s="27" customFormat="1" ht="15.75" customHeight="1" x14ac:dyDescent="0.2">
      <c r="A15" s="116"/>
      <c r="B15" s="333"/>
      <c r="C15" s="137"/>
      <c r="D15" s="35" t="s">
        <v>606</v>
      </c>
      <c r="E15" s="29" t="s">
        <v>221</v>
      </c>
      <c r="F15" s="70">
        <v>1</v>
      </c>
      <c r="G15" s="71">
        <v>2</v>
      </c>
      <c r="H15" s="72">
        <v>3</v>
      </c>
      <c r="I15" s="73">
        <v>4</v>
      </c>
      <c r="J15" s="74">
        <v>5</v>
      </c>
      <c r="K15" s="75">
        <v>6</v>
      </c>
      <c r="L15" s="76">
        <v>7</v>
      </c>
      <c r="M15" s="77">
        <v>8</v>
      </c>
      <c r="N15" s="78">
        <v>9</v>
      </c>
      <c r="O15" s="79">
        <v>10</v>
      </c>
      <c r="P15" s="31" t="s">
        <v>0</v>
      </c>
      <c r="Q15" s="138"/>
      <c r="R15" s="333"/>
      <c r="S15" s="132">
        <f>VLOOKUP($E15,R.VL_DEQResourcesInvolved,2,FALSE)</f>
        <v>3</v>
      </c>
      <c r="T15" s="120">
        <f>VLOOKUP($E15,R.VL_DEQResourcesInvolved,3,FALSE)</f>
        <v>40</v>
      </c>
      <c r="U15" s="120">
        <f>IF(S15=10,T15,VLOOKUP($E15,R.VL_DEQResourcesInvolved,4,FALSE))</f>
        <v>80</v>
      </c>
      <c r="V15" s="574" t="s">
        <v>542</v>
      </c>
      <c r="W15" s="63"/>
      <c r="X15" s="63"/>
      <c r="Y15" s="63"/>
      <c r="Z15" s="63"/>
      <c r="AA15" s="63"/>
      <c r="AB15" s="63"/>
      <c r="AC15" s="63"/>
      <c r="AD15" s="129"/>
      <c r="AE15" s="129"/>
      <c r="AF15" s="129"/>
    </row>
    <row r="16" spans="1:33" s="27" customFormat="1" ht="15.75" hidden="1" customHeight="1" outlineLevel="1" x14ac:dyDescent="0.2">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x14ac:dyDescent="0.2">
      <c r="A17" s="116"/>
      <c r="B17" s="333"/>
      <c r="C17" s="137"/>
      <c r="D17" s="35" t="s">
        <v>0</v>
      </c>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x14ac:dyDescent="0.2">
      <c r="A18" s="116"/>
      <c r="B18" s="333"/>
      <c r="C18" s="137"/>
      <c r="D18" s="35"/>
      <c r="E18" s="29" t="s">
        <v>217</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x14ac:dyDescent="0.2">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x14ac:dyDescent="0.2">
      <c r="A20" s="116"/>
      <c r="B20" s="333"/>
      <c r="C20" s="137"/>
      <c r="D20" s="737"/>
      <c r="E20" s="738"/>
      <c r="F20" s="738"/>
      <c r="G20" s="738"/>
      <c r="H20" s="738"/>
      <c r="I20" s="738"/>
      <c r="J20" s="738"/>
      <c r="K20" s="738"/>
      <c r="L20" s="738"/>
      <c r="M20" s="738"/>
      <c r="N20" s="738"/>
      <c r="O20" s="738"/>
      <c r="P20" s="739"/>
      <c r="Q20" s="138"/>
      <c r="R20" s="333"/>
      <c r="S20" s="131" t="s">
        <v>0</v>
      </c>
      <c r="T20" s="130"/>
      <c r="U20" s="130"/>
      <c r="V20" s="63"/>
      <c r="W20" s="63"/>
      <c r="X20" s="63"/>
      <c r="Y20" s="63"/>
      <c r="Z20" s="63"/>
      <c r="AA20" s="63"/>
      <c r="AB20" s="63"/>
      <c r="AC20" s="63"/>
      <c r="AD20" s="129"/>
      <c r="AE20" s="129"/>
      <c r="AF20" s="129"/>
    </row>
    <row r="21" spans="1:32" s="32" customFormat="1" ht="14.25" customHeight="1" x14ac:dyDescent="0.2">
      <c r="A21" s="115"/>
      <c r="B21" s="333"/>
      <c r="C21" s="231"/>
      <c r="D21" s="441" t="s">
        <v>57</v>
      </c>
      <c r="E21" s="291" t="s">
        <v>15</v>
      </c>
      <c r="F21" s="752" t="s">
        <v>16</v>
      </c>
      <c r="G21" s="752"/>
      <c r="H21" s="752"/>
      <c r="I21" s="752"/>
      <c r="J21" s="752"/>
      <c r="K21" s="752"/>
      <c r="L21" s="752"/>
      <c r="M21" s="752"/>
      <c r="N21" s="752"/>
      <c r="O21" s="752"/>
      <c r="P21" s="291" t="s">
        <v>17</v>
      </c>
      <c r="Q21" s="136"/>
      <c r="R21" s="333"/>
      <c r="S21" s="227"/>
      <c r="T21" s="228"/>
      <c r="U21" s="228"/>
      <c r="V21" s="229"/>
      <c r="W21" s="229"/>
      <c r="X21" s="229"/>
      <c r="Y21" s="229"/>
      <c r="Z21" s="229"/>
      <c r="AA21" s="229"/>
      <c r="AB21" s="229"/>
      <c r="AC21" s="229"/>
      <c r="AD21" s="126"/>
      <c r="AE21" s="126"/>
      <c r="AF21" s="126"/>
    </row>
    <row r="22" spans="1:32" s="27" customFormat="1" ht="15.75" customHeight="1" x14ac:dyDescent="0.2">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15.75" hidden="1" customHeight="1" outlineLevel="1" x14ac:dyDescent="0.2">
      <c r="A23" s="116"/>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x14ac:dyDescent="0.2">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x14ac:dyDescent="0.2">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x14ac:dyDescent="0.2">
      <c r="A26" s="116"/>
      <c r="B26" s="333"/>
      <c r="C26" s="143"/>
      <c r="D26" s="100"/>
      <c r="E26" s="741"/>
      <c r="F26" s="741"/>
      <c r="G26" s="741"/>
      <c r="H26" s="741"/>
      <c r="I26" s="741"/>
      <c r="J26" s="741"/>
      <c r="K26" s="741"/>
      <c r="L26" s="741"/>
      <c r="M26" s="741"/>
      <c r="N26" s="741"/>
      <c r="O26" s="741"/>
      <c r="P26" s="741"/>
      <c r="Q26" s="144"/>
      <c r="R26" s="333"/>
      <c r="S26" s="131"/>
      <c r="T26" s="130"/>
      <c r="U26" s="130"/>
      <c r="V26" s="574"/>
      <c r="W26" s="63"/>
      <c r="X26" s="63"/>
      <c r="Y26" s="63"/>
      <c r="Z26" s="63"/>
      <c r="AA26" s="63"/>
      <c r="AB26" s="63"/>
      <c r="AC26" s="63"/>
      <c r="AD26" s="129"/>
      <c r="AE26" s="129"/>
      <c r="AF26" s="129"/>
    </row>
    <row r="27" spans="1:32" s="32" customFormat="1" ht="30" customHeight="1" x14ac:dyDescent="0.3">
      <c r="A27" s="349" t="s">
        <v>103</v>
      </c>
      <c r="B27" s="333"/>
      <c r="C27" s="135"/>
      <c r="D27" s="305" t="s">
        <v>133</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x14ac:dyDescent="0.2">
      <c r="A28" s="115"/>
      <c r="B28" s="333"/>
      <c r="C28" s="231"/>
      <c r="D28" s="442" t="s">
        <v>50</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row>
    <row r="29" spans="1:32" s="27" customFormat="1" ht="17.25" customHeight="1" x14ac:dyDescent="0.2">
      <c r="A29" s="116"/>
      <c r="B29" s="333"/>
      <c r="C29" s="137"/>
      <c r="D29" s="722" t="s">
        <v>0</v>
      </c>
      <c r="E29" s="723"/>
      <c r="F29" s="723"/>
      <c r="G29" s="723"/>
      <c r="H29" s="723"/>
      <c r="I29" s="723"/>
      <c r="J29" s="723"/>
      <c r="K29" s="723"/>
      <c r="L29" s="723"/>
      <c r="M29" s="723"/>
      <c r="N29" s="723"/>
      <c r="O29" s="723"/>
      <c r="P29" s="724"/>
      <c r="Q29" s="138"/>
      <c r="R29" s="333"/>
      <c r="S29" s="131" t="s">
        <v>0</v>
      </c>
      <c r="T29" s="130"/>
      <c r="U29" s="130"/>
      <c r="V29" s="349"/>
      <c r="W29" s="63"/>
      <c r="X29" s="63"/>
      <c r="Y29" s="63"/>
      <c r="Z29" s="63"/>
      <c r="AA29" s="63"/>
      <c r="AB29" s="63"/>
      <c r="AC29" s="63"/>
      <c r="AD29" s="129"/>
      <c r="AE29" s="129"/>
      <c r="AF29" s="129"/>
    </row>
    <row r="30" spans="1:32" s="32" customFormat="1" ht="14.25" customHeight="1" x14ac:dyDescent="0.2">
      <c r="A30" s="115"/>
      <c r="B30" s="333"/>
      <c r="C30" s="231"/>
      <c r="D30" s="441" t="s">
        <v>57</v>
      </c>
      <c r="E30" s="158" t="s">
        <v>15</v>
      </c>
      <c r="F30" s="752" t="s">
        <v>16</v>
      </c>
      <c r="G30" s="752"/>
      <c r="H30" s="752"/>
      <c r="I30" s="752"/>
      <c r="J30" s="752"/>
      <c r="K30" s="752"/>
      <c r="L30" s="752"/>
      <c r="M30" s="752"/>
      <c r="N30" s="752"/>
      <c r="O30" s="752"/>
      <c r="P30" s="158" t="s">
        <v>17</v>
      </c>
      <c r="Q30" s="136"/>
      <c r="R30" s="333"/>
      <c r="S30" s="227"/>
      <c r="T30" s="228"/>
      <c r="U30" s="228"/>
      <c r="V30" s="229"/>
      <c r="W30" s="229"/>
      <c r="X30" s="229"/>
      <c r="Y30" s="229"/>
      <c r="Z30" s="229"/>
      <c r="AA30" s="229"/>
      <c r="AB30" s="229"/>
      <c r="AC30" s="229"/>
      <c r="AD30" s="126"/>
      <c r="AE30" s="126"/>
      <c r="AF30" s="126"/>
    </row>
    <row r="31" spans="1:32" s="27" customFormat="1" ht="15.75" customHeight="1" x14ac:dyDescent="0.2">
      <c r="A31" s="116"/>
      <c r="B31" s="333"/>
      <c r="C31" s="137"/>
      <c r="D31" s="35" t="s">
        <v>0</v>
      </c>
      <c r="E31" s="29" t="s">
        <v>217</v>
      </c>
      <c r="F31" s="70">
        <v>1</v>
      </c>
      <c r="G31" s="71">
        <v>2</v>
      </c>
      <c r="H31" s="72">
        <v>3</v>
      </c>
      <c r="I31" s="73">
        <v>4</v>
      </c>
      <c r="J31" s="74">
        <v>5</v>
      </c>
      <c r="K31" s="75">
        <v>6</v>
      </c>
      <c r="L31" s="76">
        <v>7</v>
      </c>
      <c r="M31" s="77">
        <v>8</v>
      </c>
      <c r="N31" s="78">
        <v>9</v>
      </c>
      <c r="O31" s="79">
        <v>10</v>
      </c>
      <c r="P31" s="31" t="s">
        <v>12</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15.75" hidden="1" customHeight="1" outlineLevel="1" x14ac:dyDescent="0.2">
      <c r="A32" s="116"/>
      <c r="B32" s="333"/>
      <c r="C32" s="137"/>
      <c r="D32" s="35" t="s">
        <v>0</v>
      </c>
      <c r="E32" s="29" t="s">
        <v>217</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15.75" hidden="1" customHeight="1" outlineLevel="1" x14ac:dyDescent="0.2">
      <c r="A33" s="116"/>
      <c r="B33" s="333"/>
      <c r="C33" s="137"/>
      <c r="D33" s="35" t="s">
        <v>0</v>
      </c>
      <c r="E33" s="29" t="s">
        <v>217</v>
      </c>
      <c r="F33" s="70">
        <v>1</v>
      </c>
      <c r="G33" s="71">
        <v>2</v>
      </c>
      <c r="H33" s="72">
        <v>3</v>
      </c>
      <c r="I33" s="73">
        <v>4</v>
      </c>
      <c r="J33" s="74">
        <v>5</v>
      </c>
      <c r="K33" s="75">
        <v>6</v>
      </c>
      <c r="L33" s="76">
        <v>7</v>
      </c>
      <c r="M33" s="77">
        <v>8</v>
      </c>
      <c r="N33" s="78">
        <v>9</v>
      </c>
      <c r="O33" s="79">
        <v>10</v>
      </c>
      <c r="P33" s="31"/>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x14ac:dyDescent="0.2">
      <c r="A34" s="116"/>
      <c r="B34" s="333"/>
      <c r="C34" s="137"/>
      <c r="D34" s="35"/>
      <c r="E34" s="29" t="s">
        <v>217</v>
      </c>
      <c r="F34" s="70">
        <v>1</v>
      </c>
      <c r="G34" s="71">
        <v>2</v>
      </c>
      <c r="H34" s="72">
        <v>3</v>
      </c>
      <c r="I34" s="73">
        <v>4</v>
      </c>
      <c r="J34" s="74">
        <v>5</v>
      </c>
      <c r="K34" s="75">
        <v>6</v>
      </c>
      <c r="L34" s="76">
        <v>7</v>
      </c>
      <c r="M34" s="77">
        <v>8</v>
      </c>
      <c r="N34" s="78">
        <v>9</v>
      </c>
      <c r="O34" s="79">
        <v>10</v>
      </c>
      <c r="P34" s="31"/>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x14ac:dyDescent="0.2">
      <c r="A35" s="116"/>
      <c r="B35" s="333"/>
      <c r="C35" s="244"/>
      <c r="D35" s="442" t="s">
        <v>49</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15.75" customHeight="1" x14ac:dyDescent="0.2">
      <c r="A36" s="116"/>
      <c r="B36" s="333"/>
      <c r="C36" s="137"/>
      <c r="D36" s="727"/>
      <c r="E36" s="728"/>
      <c r="F36" s="728"/>
      <c r="G36" s="728"/>
      <c r="H36" s="728"/>
      <c r="I36" s="728"/>
      <c r="J36" s="728"/>
      <c r="K36" s="728"/>
      <c r="L36" s="728"/>
      <c r="M36" s="728"/>
      <c r="N36" s="728"/>
      <c r="O36" s="728"/>
      <c r="P36" s="729"/>
      <c r="Q36" s="138"/>
      <c r="R36" s="333"/>
      <c r="S36" s="131" t="s">
        <v>0</v>
      </c>
      <c r="T36" s="130"/>
      <c r="U36" s="130"/>
      <c r="V36" s="63"/>
      <c r="W36" s="63"/>
      <c r="X36" s="63"/>
      <c r="Y36" s="63"/>
      <c r="Z36" s="63"/>
      <c r="AA36" s="63"/>
      <c r="AB36" s="63"/>
      <c r="AC36" s="63"/>
      <c r="AD36" s="129"/>
      <c r="AE36" s="129"/>
      <c r="AF36" s="129"/>
    </row>
    <row r="37" spans="1:32" s="32" customFormat="1" ht="14.25" customHeight="1" x14ac:dyDescent="0.2">
      <c r="A37" s="115"/>
      <c r="B37" s="333"/>
      <c r="C37" s="231"/>
      <c r="D37" s="441" t="s">
        <v>57</v>
      </c>
      <c r="E37" s="158" t="s">
        <v>15</v>
      </c>
      <c r="F37" s="752" t="s">
        <v>16</v>
      </c>
      <c r="G37" s="752"/>
      <c r="H37" s="752"/>
      <c r="I37" s="752"/>
      <c r="J37" s="752"/>
      <c r="K37" s="752"/>
      <c r="L37" s="752"/>
      <c r="M37" s="752"/>
      <c r="N37" s="752"/>
      <c r="O37" s="752"/>
      <c r="P37" s="158" t="s">
        <v>17</v>
      </c>
      <c r="Q37" s="136"/>
      <c r="R37" s="333"/>
      <c r="S37" s="227"/>
      <c r="T37" s="228"/>
      <c r="U37" s="228"/>
      <c r="V37" s="229"/>
      <c r="W37" s="229"/>
      <c r="X37" s="229"/>
      <c r="Y37" s="229"/>
      <c r="Z37" s="229"/>
      <c r="AA37" s="229"/>
      <c r="AB37" s="229"/>
      <c r="AC37" s="229"/>
      <c r="AD37" s="126"/>
      <c r="AE37" s="126"/>
      <c r="AF37" s="126"/>
    </row>
    <row r="38" spans="1:32" s="27" customFormat="1" ht="15.75" customHeight="1" x14ac:dyDescent="0.2">
      <c r="A38" s="116"/>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15.75" hidden="1" customHeight="1" outlineLevel="1" x14ac:dyDescent="0.2">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15.75" hidden="1" customHeight="1" outlineLevel="1" x14ac:dyDescent="0.2">
      <c r="A40" s="1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x14ac:dyDescent="0.2">
      <c r="A41" s="1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x14ac:dyDescent="0.2">
      <c r="A42" s="116"/>
      <c r="B42" s="333"/>
      <c r="C42" s="375"/>
      <c r="D42" s="480"/>
      <c r="E42" s="742"/>
      <c r="F42" s="742"/>
      <c r="G42" s="742"/>
      <c r="H42" s="742"/>
      <c r="I42" s="742"/>
      <c r="J42" s="742"/>
      <c r="K42" s="742"/>
      <c r="L42" s="742"/>
      <c r="M42" s="742"/>
      <c r="N42" s="742"/>
      <c r="O42" s="742"/>
      <c r="P42" s="742"/>
      <c r="Q42" s="378"/>
      <c r="R42" s="333"/>
      <c r="S42" s="131"/>
      <c r="T42" s="130"/>
      <c r="U42" s="130"/>
      <c r="V42" s="63"/>
      <c r="W42" s="63"/>
      <c r="X42" s="63"/>
      <c r="Y42" s="63"/>
      <c r="Z42" s="63"/>
      <c r="AA42" s="63"/>
      <c r="AB42" s="63"/>
      <c r="AC42" s="63"/>
      <c r="AD42" s="129"/>
      <c r="AE42" s="129"/>
      <c r="AF42" s="129"/>
    </row>
    <row r="43" spans="1:32" s="32" customFormat="1" ht="30" customHeight="1" x14ac:dyDescent="0.25">
      <c r="A43" s="349" t="s">
        <v>103</v>
      </c>
      <c r="B43" s="333"/>
      <c r="C43" s="482" t="s">
        <v>0</v>
      </c>
      <c r="D43" s="380" t="s">
        <v>134</v>
      </c>
      <c r="E43" s="381"/>
      <c r="F43" s="381"/>
      <c r="G43" s="381"/>
      <c r="H43" s="381"/>
      <c r="I43" s="381"/>
      <c r="J43" s="381"/>
      <c r="K43" s="381"/>
      <c r="L43" s="381"/>
      <c r="M43" s="381"/>
      <c r="N43" s="381"/>
      <c r="O43" s="381"/>
      <c r="P43" s="381"/>
      <c r="Q43" s="383"/>
      <c r="R43" s="333"/>
      <c r="S43" s="133"/>
      <c r="T43" s="130" t="s">
        <v>0</v>
      </c>
      <c r="U43" s="130"/>
      <c r="V43" s="128"/>
      <c r="W43" s="128"/>
      <c r="X43" s="128"/>
      <c r="Y43" s="128"/>
      <c r="Z43" s="128"/>
      <c r="AA43" s="128"/>
      <c r="AB43" s="128"/>
      <c r="AC43" s="128"/>
      <c r="AD43" s="126"/>
      <c r="AE43" s="126"/>
      <c r="AF43" s="126"/>
    </row>
    <row r="44" spans="1:32" s="32" customFormat="1" ht="14.25" customHeight="1" x14ac:dyDescent="0.2">
      <c r="A44" s="115"/>
      <c r="B44" s="333"/>
      <c r="C44" s="231"/>
      <c r="D44" s="442" t="s">
        <v>50</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x14ac:dyDescent="0.2">
      <c r="A45" s="116"/>
      <c r="B45" s="333"/>
      <c r="C45" s="137"/>
      <c r="D45" s="722"/>
      <c r="E45" s="723"/>
      <c r="F45" s="723"/>
      <c r="G45" s="723"/>
      <c r="H45" s="723"/>
      <c r="I45" s="723"/>
      <c r="J45" s="723"/>
      <c r="K45" s="723"/>
      <c r="L45" s="723"/>
      <c r="M45" s="723"/>
      <c r="N45" s="723"/>
      <c r="O45" s="723"/>
      <c r="P45" s="724"/>
      <c r="Q45" s="138"/>
      <c r="R45" s="333"/>
      <c r="S45" s="131" t="s">
        <v>0</v>
      </c>
      <c r="T45" s="130"/>
      <c r="U45" s="130"/>
      <c r="V45" s="63"/>
      <c r="W45" s="63"/>
      <c r="X45" s="63"/>
      <c r="Y45" s="63"/>
      <c r="Z45" s="63"/>
      <c r="AA45" s="63"/>
      <c r="AB45" s="63"/>
      <c r="AC45" s="63"/>
      <c r="AD45" s="129"/>
      <c r="AE45" s="129"/>
      <c r="AF45" s="129"/>
    </row>
    <row r="46" spans="1:32" s="32" customFormat="1" ht="14.25" customHeight="1" x14ac:dyDescent="0.2">
      <c r="A46" s="115"/>
      <c r="B46" s="333"/>
      <c r="C46" s="232"/>
      <c r="D46" s="496" t="s">
        <v>57</v>
      </c>
      <c r="E46" s="392" t="s">
        <v>15</v>
      </c>
      <c r="F46" s="736" t="s">
        <v>16</v>
      </c>
      <c r="G46" s="736"/>
      <c r="H46" s="736"/>
      <c r="I46" s="736"/>
      <c r="J46" s="736"/>
      <c r="K46" s="736"/>
      <c r="L46" s="736"/>
      <c r="M46" s="736"/>
      <c r="N46" s="736"/>
      <c r="O46" s="736"/>
      <c r="P46" s="392" t="s">
        <v>17</v>
      </c>
      <c r="Q46" s="136"/>
      <c r="R46" s="333"/>
      <c r="S46" s="227"/>
      <c r="T46" s="228"/>
      <c r="U46" s="228"/>
      <c r="V46" s="229"/>
      <c r="W46" s="229"/>
      <c r="X46" s="229"/>
      <c r="Y46" s="229"/>
      <c r="Z46" s="229"/>
      <c r="AA46" s="229"/>
      <c r="AB46" s="229"/>
      <c r="AC46" s="229"/>
      <c r="AD46" s="126"/>
      <c r="AE46" s="126"/>
      <c r="AF46" s="126"/>
    </row>
    <row r="47" spans="1:32" s="27" customFormat="1" ht="15.75" customHeight="1" x14ac:dyDescent="0.2">
      <c r="A47" s="116"/>
      <c r="B47" s="333"/>
      <c r="C47" s="137"/>
      <c r="D47" s="35"/>
      <c r="E47" s="29" t="s">
        <v>217</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row>
    <row r="48" spans="1:32" s="27" customFormat="1" ht="15.75" hidden="1" customHeight="1" outlineLevel="1" x14ac:dyDescent="0.2">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15.75" hidden="1" customHeight="1" outlineLevel="1" x14ac:dyDescent="0.2">
      <c r="A49" s="1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x14ac:dyDescent="0.2">
      <c r="A50" s="1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x14ac:dyDescent="0.2">
      <c r="A51" s="1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15.75" customHeight="1" x14ac:dyDescent="0.2">
      <c r="A52" s="116"/>
      <c r="B52" s="333"/>
      <c r="C52" s="137"/>
      <c r="D52" s="737"/>
      <c r="E52" s="738"/>
      <c r="F52" s="738"/>
      <c r="G52" s="738"/>
      <c r="H52" s="738"/>
      <c r="I52" s="738"/>
      <c r="J52" s="738"/>
      <c r="K52" s="738"/>
      <c r="L52" s="738"/>
      <c r="M52" s="738"/>
      <c r="N52" s="738"/>
      <c r="O52" s="738"/>
      <c r="P52" s="739"/>
      <c r="Q52" s="138"/>
      <c r="R52" s="333"/>
      <c r="S52" s="131" t="s">
        <v>0</v>
      </c>
      <c r="T52" s="130"/>
      <c r="U52" s="130"/>
      <c r="V52" s="63"/>
      <c r="W52" s="63"/>
      <c r="X52" s="63"/>
      <c r="Y52" s="63"/>
      <c r="Z52" s="63"/>
      <c r="AA52" s="63"/>
      <c r="AB52" s="63"/>
      <c r="AC52" s="63"/>
      <c r="AD52" s="129"/>
      <c r="AE52" s="129"/>
      <c r="AF52" s="129"/>
    </row>
    <row r="53" spans="1:32" s="32" customFormat="1" ht="14.25" customHeight="1" x14ac:dyDescent="0.2">
      <c r="A53" s="115"/>
      <c r="B53" s="333"/>
      <c r="C53" s="231"/>
      <c r="D53" s="441" t="s">
        <v>57</v>
      </c>
      <c r="E53" s="291" t="s">
        <v>15</v>
      </c>
      <c r="F53" s="752" t="s">
        <v>16</v>
      </c>
      <c r="G53" s="752"/>
      <c r="H53" s="752"/>
      <c r="I53" s="752"/>
      <c r="J53" s="752"/>
      <c r="K53" s="752"/>
      <c r="L53" s="752"/>
      <c r="M53" s="752"/>
      <c r="N53" s="752"/>
      <c r="O53" s="752"/>
      <c r="P53" s="291" t="s">
        <v>17</v>
      </c>
      <c r="Q53" s="136"/>
      <c r="R53" s="333"/>
      <c r="S53" s="227"/>
      <c r="T53" s="228"/>
      <c r="U53" s="228"/>
      <c r="V53" s="229"/>
      <c r="W53" s="229"/>
      <c r="X53" s="229"/>
      <c r="Y53" s="229"/>
      <c r="Z53" s="229"/>
      <c r="AA53" s="229"/>
      <c r="AB53" s="229"/>
      <c r="AC53" s="229"/>
      <c r="AD53" s="126"/>
      <c r="AE53" s="126"/>
      <c r="AF53" s="126"/>
    </row>
    <row r="54" spans="1:32" s="27" customFormat="1" ht="15.75" customHeight="1" x14ac:dyDescent="0.2">
      <c r="A54" s="116"/>
      <c r="B54" s="333"/>
      <c r="C54" s="137"/>
      <c r="D54" s="35"/>
      <c r="E54" s="29" t="s">
        <v>217</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row>
    <row r="55" spans="1:32" s="27" customFormat="1" ht="15.75" hidden="1" customHeight="1" outlineLevel="1" x14ac:dyDescent="0.2">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15.75" hidden="1" customHeight="1" outlineLevel="1" x14ac:dyDescent="0.2">
      <c r="A56" s="1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x14ac:dyDescent="0.2">
      <c r="A57" s="1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x14ac:dyDescent="0.2">
      <c r="A58" s="116"/>
      <c r="B58" s="333"/>
      <c r="C58" s="375"/>
      <c r="D58" s="480"/>
      <c r="E58" s="742"/>
      <c r="F58" s="742"/>
      <c r="G58" s="742"/>
      <c r="H58" s="742"/>
      <c r="I58" s="742"/>
      <c r="J58" s="742"/>
      <c r="K58" s="742"/>
      <c r="L58" s="742"/>
      <c r="M58" s="742"/>
      <c r="N58" s="742"/>
      <c r="O58" s="742"/>
      <c r="P58" s="742"/>
      <c r="Q58" s="378"/>
      <c r="R58" s="333"/>
      <c r="S58" s="131"/>
      <c r="T58" s="130"/>
      <c r="U58" s="130"/>
      <c r="V58" s="63"/>
      <c r="W58" s="63"/>
      <c r="X58" s="63"/>
      <c r="Y58" s="63"/>
      <c r="Z58" s="63"/>
      <c r="AA58" s="63"/>
      <c r="AB58" s="63"/>
      <c r="AC58" s="63"/>
      <c r="AD58" s="129"/>
      <c r="AE58" s="129"/>
      <c r="AF58" s="129"/>
    </row>
    <row r="59" spans="1:32" s="28" customFormat="1" ht="30" customHeight="1" x14ac:dyDescent="0.3">
      <c r="A59" s="117"/>
      <c r="B59" s="333"/>
      <c r="C59" s="145"/>
      <c r="D59" s="642" t="str">
        <f>"Please suggest process improvements to the "&amp;D2&amp;" worksheet."</f>
        <v>Please suggest process improvements to the Technical Services worksheet.</v>
      </c>
      <c r="E59" s="642"/>
      <c r="F59" s="642"/>
      <c r="G59" s="642"/>
      <c r="H59" s="642"/>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x14ac:dyDescent="0.3">
      <c r="A60" s="113"/>
      <c r="B60" s="333"/>
      <c r="C60" s="135"/>
      <c r="D60" s="639"/>
      <c r="E60" s="640"/>
      <c r="F60" s="640"/>
      <c r="G60" s="640"/>
      <c r="H60" s="640"/>
      <c r="I60" s="640"/>
      <c r="J60" s="640"/>
      <c r="K60" s="640"/>
      <c r="L60" s="640"/>
      <c r="M60" s="640"/>
      <c r="N60" s="640"/>
      <c r="O60" s="640"/>
      <c r="P60" s="641"/>
      <c r="Q60" s="147"/>
      <c r="R60" s="333"/>
      <c r="S60" s="131"/>
      <c r="T60" s="130"/>
      <c r="U60" s="130"/>
      <c r="V60" s="63"/>
      <c r="W60" s="63"/>
      <c r="X60" s="63"/>
      <c r="Y60" s="63"/>
      <c r="Z60" s="63"/>
      <c r="AA60" s="63"/>
      <c r="AB60" s="63"/>
      <c r="AC60" s="63"/>
      <c r="AD60" s="65"/>
      <c r="AE60" s="65"/>
      <c r="AF60" s="65"/>
    </row>
    <row r="61" spans="1:32" ht="18" customHeight="1" x14ac:dyDescent="0.3">
      <c r="A61" s="349" t="s">
        <v>104</v>
      </c>
      <c r="B61" s="333"/>
      <c r="C61" s="148"/>
      <c r="D61" s="149"/>
      <c r="E61" s="149"/>
      <c r="F61" s="149"/>
      <c r="G61" s="149"/>
      <c r="H61" s="149"/>
      <c r="I61" s="149"/>
      <c r="J61" s="149"/>
      <c r="K61" s="149"/>
      <c r="L61" s="149"/>
      <c r="M61" s="149"/>
      <c r="N61" s="149"/>
      <c r="O61" s="149"/>
      <c r="P61" s="149"/>
      <c r="Q61" s="150"/>
      <c r="R61" s="333"/>
    </row>
    <row r="62" spans="1:32" s="63" customFormat="1" ht="14.25" x14ac:dyDescent="0.2">
      <c r="B62" s="333"/>
      <c r="C62" s="333"/>
      <c r="D62" s="333"/>
      <c r="E62" s="333"/>
      <c r="F62" s="333"/>
      <c r="G62" s="333"/>
      <c r="H62" s="333"/>
      <c r="I62" s="333"/>
      <c r="J62" s="333"/>
      <c r="K62" s="333"/>
      <c r="L62" s="333"/>
      <c r="M62" s="333"/>
      <c r="N62" s="333"/>
      <c r="O62" s="333"/>
      <c r="P62" s="333"/>
      <c r="Q62" s="333"/>
      <c r="R62" s="333"/>
      <c r="S62" s="112"/>
    </row>
    <row r="63" spans="1:32" s="63" customFormat="1" x14ac:dyDescent="0.3">
      <c r="C63" s="111"/>
      <c r="S63" s="112"/>
    </row>
    <row r="64" spans="1:32" s="63" customFormat="1" x14ac:dyDescent="0.3">
      <c r="C64" s="111"/>
      <c r="S64" s="112"/>
    </row>
    <row r="65" spans="3:19" s="63" customFormat="1" x14ac:dyDescent="0.3">
      <c r="C65" s="111"/>
      <c r="S65" s="112"/>
    </row>
    <row r="66" spans="3:19" s="63" customFormat="1" x14ac:dyDescent="0.3">
      <c r="C66" s="111"/>
      <c r="S66" s="112"/>
    </row>
    <row r="67" spans="3:19" s="63" customFormat="1" x14ac:dyDescent="0.3">
      <c r="C67" s="111"/>
      <c r="S67" s="112"/>
    </row>
    <row r="68" spans="3:19" s="63" customFormat="1" x14ac:dyDescent="0.3">
      <c r="C68" s="111"/>
      <c r="S68" s="112"/>
    </row>
    <row r="69" spans="3:19" s="63" customFormat="1" x14ac:dyDescent="0.3">
      <c r="C69" s="111"/>
      <c r="S69" s="112"/>
    </row>
    <row r="70" spans="3:19" s="63" customFormat="1" x14ac:dyDescent="0.3">
      <c r="C70" s="111"/>
      <c r="S70" s="112"/>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G38"/>
  <sheetViews>
    <sheetView showGridLines="0" zoomScaleNormal="100" workbookViewId="0">
      <selection activeCell="D2" sqref="D2"/>
    </sheetView>
  </sheetViews>
  <sheetFormatPr defaultColWidth="9" defaultRowHeight="20.25" outlineLevelRow="1" outlineLevelCol="1" x14ac:dyDescent="0.3"/>
  <cols>
    <col min="1" max="1" width="13.75" style="63" customWidth="1"/>
    <col min="2" max="2" width="3.625" style="63" customWidth="1"/>
    <col min="3" max="3" width="3.625" style="43" customWidth="1"/>
    <col min="4" max="4" width="40.5" style="301" customWidth="1"/>
    <col min="5" max="5" width="15.75" style="301" customWidth="1"/>
    <col min="6" max="15" width="1.625" style="301" customWidth="1"/>
    <col min="16" max="16" width="15.75" style="301" customWidth="1"/>
    <col min="17" max="17" width="3.625" style="3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301" customWidth="1"/>
    <col min="34" max="16384" width="9" style="301"/>
  </cols>
  <sheetData>
    <row r="1" spans="1:33" s="63" customFormat="1" ht="20.25" customHeight="1" x14ac:dyDescent="0.2">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x14ac:dyDescent="0.25">
      <c r="A2" s="349" t="s">
        <v>103</v>
      </c>
      <c r="B2" s="333"/>
      <c r="C2" s="151">
        <v>12</v>
      </c>
      <c r="D2" s="152" t="s">
        <v>146</v>
      </c>
      <c r="E2" s="716" t="str">
        <f>R.1MediaAndLongName</f>
        <v>AQ GrantsPassLMP</v>
      </c>
      <c r="F2" s="716"/>
      <c r="G2" s="716"/>
      <c r="H2" s="716"/>
      <c r="I2" s="716"/>
      <c r="J2" s="716"/>
      <c r="K2" s="716"/>
      <c r="L2" s="716"/>
      <c r="M2" s="716"/>
      <c r="N2" s="716"/>
      <c r="O2" s="716"/>
      <c r="P2" s="716"/>
      <c r="Q2" s="153"/>
      <c r="R2" s="333"/>
      <c r="W2" s="63"/>
      <c r="X2" s="63"/>
      <c r="Y2" s="63"/>
      <c r="Z2" s="63"/>
      <c r="AA2" s="63"/>
      <c r="AB2" s="63"/>
      <c r="AC2" s="63"/>
      <c r="AD2" s="65"/>
      <c r="AE2" s="65"/>
      <c r="AF2" s="65"/>
    </row>
    <row r="3" spans="1:33" s="6" customFormat="1" ht="20.25" customHeight="1" thickTop="1" x14ac:dyDescent="0.3">
      <c r="A3" s="113"/>
      <c r="B3" s="333"/>
      <c r="C3" s="154"/>
      <c r="D3" s="95"/>
      <c r="E3" s="95"/>
      <c r="F3" s="81"/>
      <c r="G3" s="306"/>
      <c r="H3" s="306"/>
      <c r="I3" s="306"/>
      <c r="J3" s="96"/>
      <c r="K3" s="12"/>
      <c r="L3" s="12"/>
      <c r="M3" s="702" t="s">
        <v>54</v>
      </c>
      <c r="N3" s="702"/>
      <c r="O3" s="702"/>
      <c r="P3" s="702"/>
      <c r="Q3" s="155"/>
      <c r="R3" s="333"/>
      <c r="S3" s="118" t="str">
        <f>"R."&amp;$C$2&amp;"StaffCount"</f>
        <v>R.12StaffCount</v>
      </c>
      <c r="T3" s="118" t="str">
        <f>"R."&amp;$C$2&amp;"LowHrs"</f>
        <v>R.12LowHrs</v>
      </c>
      <c r="U3" s="348" t="str">
        <f>"R."&amp;$C$2&amp;"HighHrs"</f>
        <v>R.12HighHrs</v>
      </c>
      <c r="V3" s="119" t="s">
        <v>0</v>
      </c>
      <c r="W3" s="63"/>
      <c r="X3" s="63"/>
      <c r="Y3" s="63"/>
      <c r="Z3" s="63"/>
      <c r="AA3" s="63"/>
      <c r="AB3" s="63"/>
      <c r="AC3" s="63"/>
      <c r="AD3" s="65"/>
      <c r="AE3" s="65"/>
      <c r="AF3" s="65"/>
    </row>
    <row r="4" spans="1:33" s="6" customFormat="1" ht="20.25" customHeight="1" x14ac:dyDescent="0.3">
      <c r="A4" s="113"/>
      <c r="B4" s="333"/>
      <c r="C4" s="154"/>
      <c r="D4" s="493" t="s">
        <v>52</v>
      </c>
      <c r="E4" s="80">
        <f>S4</f>
        <v>0</v>
      </c>
      <c r="F4" s="703" t="s">
        <v>51</v>
      </c>
      <c r="G4" s="703"/>
      <c r="H4" s="703"/>
      <c r="I4" s="703"/>
      <c r="J4" s="703"/>
      <c r="K4" s="703"/>
      <c r="L4" s="703"/>
      <c r="M4" s="704" t="str">
        <f>S5</f>
        <v>0</v>
      </c>
      <c r="N4" s="704"/>
      <c r="O4" s="704"/>
      <c r="P4" s="704"/>
      <c r="Q4" s="155"/>
      <c r="R4" s="333"/>
      <c r="S4" s="120">
        <f>COUNTIFS(S15:S25,"&gt;0")</f>
        <v>0</v>
      </c>
      <c r="T4" s="123">
        <f>SUM(T15:T25)</f>
        <v>0</v>
      </c>
      <c r="U4" s="123">
        <f>SUM(U15:U25)</f>
        <v>0</v>
      </c>
      <c r="V4" s="119"/>
      <c r="W4" s="63"/>
      <c r="X4" s="63"/>
      <c r="Y4" s="63"/>
      <c r="Z4" s="63"/>
      <c r="AA4" s="63"/>
      <c r="AB4" s="63"/>
      <c r="AC4" s="63"/>
      <c r="AD4" s="65"/>
      <c r="AE4" s="65"/>
      <c r="AF4" s="65"/>
    </row>
    <row r="5" spans="1:33" s="6" customFormat="1" ht="20.25" customHeight="1" x14ac:dyDescent="0.3">
      <c r="A5" s="113"/>
      <c r="B5" s="333"/>
      <c r="C5" s="154"/>
      <c r="D5" s="493" t="s">
        <v>65</v>
      </c>
      <c r="E5" s="97">
        <f>R.AvgHrDEQCost</f>
        <v>58</v>
      </c>
      <c r="F5" s="703" t="s">
        <v>55</v>
      </c>
      <c r="G5" s="703"/>
      <c r="H5" s="703"/>
      <c r="I5" s="703"/>
      <c r="J5" s="703"/>
      <c r="K5" s="703"/>
      <c r="L5" s="703"/>
      <c r="M5" s="705" t="str">
        <f>S6</f>
        <v>$0</v>
      </c>
      <c r="N5" s="705"/>
      <c r="O5" s="705"/>
      <c r="P5" s="705"/>
      <c r="Q5" s="155"/>
      <c r="R5" s="333"/>
      <c r="S5" s="121" t="str">
        <f>IF(R.12StaffCount=0,"0",IF(R.12LowHrs=0,"0-"&amp;TEXT(R.12HighHrs,"#,###"),TEXT(R.12LowHrs,"#,###")&amp;"-"&amp;TEXT(R.12HighHrs,"#,###")))</f>
        <v>0</v>
      </c>
      <c r="T5" s="118" t="str">
        <f>"R."&amp;$C$2&amp;"LowDollars"</f>
        <v>R.12LowDollars</v>
      </c>
      <c r="U5" s="348" t="str">
        <f>"R."&amp;$C$2&amp;"HighDollars"</f>
        <v>R.12HighDollars</v>
      </c>
      <c r="V5" s="119"/>
      <c r="W5" s="63"/>
      <c r="X5" s="63"/>
      <c r="Y5" s="63"/>
      <c r="Z5" s="63"/>
      <c r="AA5" s="63"/>
      <c r="AB5" s="63"/>
      <c r="AC5" s="63"/>
      <c r="AD5" s="65"/>
      <c r="AE5" s="65"/>
      <c r="AF5" s="65"/>
    </row>
    <row r="6" spans="1:33" s="6" customFormat="1" ht="8.25" customHeight="1" x14ac:dyDescent="0.3">
      <c r="A6" s="113"/>
      <c r="B6" s="333"/>
      <c r="C6" s="154"/>
      <c r="D6" s="109" t="s">
        <v>0</v>
      </c>
      <c r="E6" s="99"/>
      <c r="F6" s="98"/>
      <c r="G6" s="98"/>
      <c r="H6" s="98"/>
      <c r="I6" s="98"/>
      <c r="J6" s="98"/>
      <c r="K6" s="98"/>
      <c r="L6" s="98"/>
      <c r="M6" s="98"/>
      <c r="N6" s="98"/>
      <c r="O6" s="98"/>
      <c r="P6" s="98"/>
      <c r="Q6" s="155"/>
      <c r="R6" s="333"/>
      <c r="S6" s="121" t="str">
        <f>IF(R.12StaffCount=0,"$0",IF(R.12LowDollars=0,"$0-"&amp;TEXT(R.12HighDollars,"#,###"),TEXT(R.12LowDollars,"$#,###")&amp;"-"&amp;TEXT(R.12HighDollars,"#,###")))</f>
        <v>$0</v>
      </c>
      <c r="T6" s="123">
        <f>T4*E5</f>
        <v>0</v>
      </c>
      <c r="U6" s="123">
        <f>U4*E5</f>
        <v>0</v>
      </c>
      <c r="V6" s="119"/>
      <c r="W6" s="63"/>
      <c r="X6" s="63"/>
      <c r="Y6" s="63"/>
      <c r="Z6" s="63"/>
      <c r="AA6" s="63"/>
      <c r="AB6" s="63"/>
      <c r="AC6" s="63"/>
      <c r="AD6" s="65"/>
      <c r="AE6" s="65"/>
      <c r="AF6" s="65"/>
    </row>
    <row r="7" spans="1:33" s="6" customFormat="1" ht="105" customHeight="1" x14ac:dyDescent="0.3">
      <c r="A7" s="315"/>
      <c r="B7" s="333"/>
      <c r="C7" s="154"/>
      <c r="D7" s="733" t="s">
        <v>237</v>
      </c>
      <c r="E7" s="734"/>
      <c r="F7" s="734"/>
      <c r="G7" s="734"/>
      <c r="H7" s="734"/>
      <c r="I7" s="734"/>
      <c r="J7" s="734"/>
      <c r="K7" s="734"/>
      <c r="L7" s="734"/>
      <c r="M7" s="734"/>
      <c r="N7" s="734"/>
      <c r="O7" s="734"/>
      <c r="P7" s="735"/>
      <c r="Q7" s="155"/>
      <c r="R7" s="333"/>
      <c r="S7" s="495" t="e">
        <f>AVERAGEIF(S14:S56,"&gt;0")</f>
        <v>#DIV/0!</v>
      </c>
      <c r="T7" s="492"/>
      <c r="U7" s="492"/>
      <c r="V7" s="119"/>
      <c r="W7" s="435"/>
      <c r="X7" s="435"/>
      <c r="Y7" s="435"/>
      <c r="Z7" s="435"/>
      <c r="AA7" s="435"/>
      <c r="AB7" s="435"/>
      <c r="AC7" s="435"/>
      <c r="AD7" s="65"/>
      <c r="AE7" s="65"/>
      <c r="AF7" s="65"/>
    </row>
    <row r="8" spans="1:33" s="6" customFormat="1" ht="20.25" customHeight="1" x14ac:dyDescent="0.3">
      <c r="A8" s="315"/>
      <c r="B8" s="333"/>
      <c r="C8" s="154"/>
      <c r="D8" s="751" t="s">
        <v>502</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x14ac:dyDescent="0.2">
      <c r="A9" s="344"/>
      <c r="B9" s="439"/>
      <c r="C9" s="137"/>
      <c r="D9" s="748" t="s">
        <v>457</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8.25" customHeight="1" x14ac:dyDescent="0.2">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x14ac:dyDescent="0.25">
      <c r="A11" s="300"/>
      <c r="B11" s="333"/>
      <c r="C11" s="482" t="s">
        <v>0</v>
      </c>
      <c r="D11" s="380" t="s">
        <v>168</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row>
    <row r="12" spans="1:33" s="32" customFormat="1" ht="14.25" x14ac:dyDescent="0.2">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x14ac:dyDescent="0.2">
      <c r="A13" s="116"/>
      <c r="B13" s="333"/>
      <c r="C13" s="137"/>
      <c r="D13" s="722"/>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x14ac:dyDescent="0.2">
      <c r="A14" s="115"/>
      <c r="B14" s="333"/>
      <c r="C14" s="231"/>
      <c r="D14" s="441" t="s">
        <v>57</v>
      </c>
      <c r="E14" s="291" t="s">
        <v>15</v>
      </c>
      <c r="F14" s="725" t="s">
        <v>16</v>
      </c>
      <c r="G14" s="725"/>
      <c r="H14" s="725"/>
      <c r="I14" s="725"/>
      <c r="J14" s="725"/>
      <c r="K14" s="725"/>
      <c r="L14" s="725"/>
      <c r="M14" s="725"/>
      <c r="N14" s="725"/>
      <c r="O14" s="725"/>
      <c r="P14" s="291" t="s">
        <v>17</v>
      </c>
      <c r="Q14" s="136"/>
      <c r="R14" s="333"/>
      <c r="S14" s="227"/>
      <c r="T14" s="228"/>
      <c r="U14" s="228"/>
      <c r="V14" s="229"/>
      <c r="W14" s="229"/>
      <c r="X14" s="229"/>
      <c r="Y14" s="229"/>
      <c r="Z14" s="229"/>
      <c r="AA14" s="229"/>
      <c r="AB14" s="229"/>
      <c r="AC14" s="229"/>
      <c r="AD14" s="126"/>
      <c r="AE14" s="126"/>
      <c r="AF14" s="126"/>
    </row>
    <row r="15" spans="1:33" s="27" customFormat="1" ht="15.75" customHeight="1" x14ac:dyDescent="0.2">
      <c r="A15" s="116"/>
      <c r="B15" s="333"/>
      <c r="C15" s="137"/>
      <c r="D15" s="35"/>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row>
    <row r="16" spans="1:33" s="27" customFormat="1" ht="15.75" hidden="1" customHeight="1" outlineLevel="1" x14ac:dyDescent="0.2">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x14ac:dyDescent="0.2">
      <c r="A17" s="1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x14ac:dyDescent="0.2">
      <c r="A18" s="1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ollapsed="1" x14ac:dyDescent="0.2">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15.75" customHeight="1" x14ac:dyDescent="0.2">
      <c r="A20" s="116"/>
      <c r="B20" s="333"/>
      <c r="C20" s="137"/>
      <c r="D20" s="722"/>
      <c r="E20" s="723"/>
      <c r="F20" s="723"/>
      <c r="G20" s="723"/>
      <c r="H20" s="723"/>
      <c r="I20" s="723"/>
      <c r="J20" s="723"/>
      <c r="K20" s="723"/>
      <c r="L20" s="723"/>
      <c r="M20" s="723"/>
      <c r="N20" s="723"/>
      <c r="O20" s="723"/>
      <c r="P20" s="724"/>
      <c r="Q20" s="138"/>
      <c r="R20" s="333"/>
      <c r="S20" s="131" t="s">
        <v>0</v>
      </c>
      <c r="T20" s="130"/>
      <c r="U20" s="130"/>
      <c r="V20" s="63"/>
      <c r="W20" s="63"/>
      <c r="X20" s="63"/>
      <c r="Y20" s="63"/>
      <c r="Z20" s="63"/>
      <c r="AA20" s="63"/>
      <c r="AB20" s="63"/>
      <c r="AC20" s="63"/>
      <c r="AD20" s="129"/>
      <c r="AE20" s="129"/>
      <c r="AF20" s="129"/>
    </row>
    <row r="21" spans="1:32" s="32" customFormat="1" ht="14.25" x14ac:dyDescent="0.2">
      <c r="A21" s="115"/>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15.75" customHeight="1" x14ac:dyDescent="0.2">
      <c r="A22" s="116"/>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15.75" hidden="1" customHeight="1" outlineLevel="1" x14ac:dyDescent="0.2">
      <c r="A23" s="116"/>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x14ac:dyDescent="0.2">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x14ac:dyDescent="0.2">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x14ac:dyDescent="0.2">
      <c r="A26" s="116"/>
      <c r="B26" s="333"/>
      <c r="C26" s="375"/>
      <c r="D26" s="480"/>
      <c r="E26" s="742"/>
      <c r="F26" s="742"/>
      <c r="G26" s="742"/>
      <c r="H26" s="742"/>
      <c r="I26" s="742"/>
      <c r="J26" s="742"/>
      <c r="K26" s="742"/>
      <c r="L26" s="742"/>
      <c r="M26" s="742"/>
      <c r="N26" s="742"/>
      <c r="O26" s="742"/>
      <c r="P26" s="742"/>
      <c r="Q26" s="378"/>
      <c r="R26" s="333"/>
      <c r="S26" s="131"/>
      <c r="T26" s="130"/>
      <c r="U26" s="130"/>
      <c r="V26" s="63"/>
      <c r="W26" s="63"/>
      <c r="X26" s="63"/>
      <c r="Y26" s="63"/>
      <c r="Z26" s="63"/>
      <c r="AA26" s="63"/>
      <c r="AB26" s="63"/>
      <c r="AC26" s="63"/>
      <c r="AD26" s="129"/>
      <c r="AE26" s="129"/>
      <c r="AF26" s="129"/>
    </row>
    <row r="27" spans="1:32" s="28" customFormat="1" ht="30" customHeight="1" x14ac:dyDescent="0.3">
      <c r="A27" s="117"/>
      <c r="B27" s="333"/>
      <c r="C27" s="145"/>
      <c r="D27" s="642" t="str">
        <f>"Please suggest process improvements to the "&amp;D2&amp;" worksheet."</f>
        <v>Please suggest process improvements to the Compliance &amp; Enforcement worksheet.</v>
      </c>
      <c r="E27" s="642"/>
      <c r="F27" s="642"/>
      <c r="G27" s="642"/>
      <c r="H27" s="642"/>
      <c r="I27" s="642"/>
      <c r="J27" s="642"/>
      <c r="K27" s="642"/>
      <c r="L27" s="642"/>
      <c r="M27" s="642"/>
      <c r="N27" s="642"/>
      <c r="O27" s="642"/>
      <c r="P27" s="38"/>
      <c r="Q27" s="146"/>
      <c r="R27" s="333"/>
      <c r="S27" s="133"/>
      <c r="T27" s="130"/>
      <c r="U27" s="130"/>
      <c r="V27" s="63"/>
      <c r="W27" s="63"/>
      <c r="X27" s="63"/>
      <c r="Y27" s="63"/>
      <c r="Z27" s="63"/>
      <c r="AA27" s="63"/>
      <c r="AB27" s="63"/>
      <c r="AC27" s="63"/>
      <c r="AD27" s="64"/>
      <c r="AE27" s="64"/>
      <c r="AF27" s="64"/>
    </row>
    <row r="28" spans="1:32" s="6" customFormat="1" ht="30.75" customHeight="1" x14ac:dyDescent="0.3">
      <c r="A28" s="113"/>
      <c r="B28" s="333"/>
      <c r="C28" s="135"/>
      <c r="D28" s="639"/>
      <c r="E28" s="640"/>
      <c r="F28" s="640"/>
      <c r="G28" s="640"/>
      <c r="H28" s="640"/>
      <c r="I28" s="640"/>
      <c r="J28" s="640"/>
      <c r="K28" s="640"/>
      <c r="L28" s="640"/>
      <c r="M28" s="640"/>
      <c r="N28" s="640"/>
      <c r="O28" s="640"/>
      <c r="P28" s="641"/>
      <c r="Q28" s="147"/>
      <c r="R28" s="333"/>
      <c r="S28" s="131"/>
      <c r="T28" s="130"/>
      <c r="U28" s="130"/>
      <c r="V28" s="63"/>
      <c r="W28" s="63"/>
      <c r="X28" s="63"/>
      <c r="Y28" s="63"/>
      <c r="Z28" s="63"/>
      <c r="AA28" s="63"/>
      <c r="AB28" s="63"/>
      <c r="AC28" s="63"/>
      <c r="AD28" s="65"/>
      <c r="AE28" s="65"/>
      <c r="AF28" s="65"/>
    </row>
    <row r="29" spans="1:32" ht="18" customHeight="1" x14ac:dyDescent="0.3">
      <c r="A29" s="349" t="s">
        <v>104</v>
      </c>
      <c r="B29" s="333"/>
      <c r="C29" s="148"/>
      <c r="D29" s="149"/>
      <c r="E29" s="149"/>
      <c r="F29" s="149"/>
      <c r="G29" s="149"/>
      <c r="H29" s="149"/>
      <c r="I29" s="149"/>
      <c r="J29" s="149"/>
      <c r="K29" s="149"/>
      <c r="L29" s="149"/>
      <c r="M29" s="149"/>
      <c r="N29" s="149"/>
      <c r="O29" s="149"/>
      <c r="P29" s="149"/>
      <c r="Q29" s="150"/>
      <c r="R29" s="333"/>
    </row>
    <row r="30" spans="1:32" s="63" customFormat="1" ht="14.25" customHeight="1" x14ac:dyDescent="0.2">
      <c r="B30" s="333"/>
      <c r="C30" s="333"/>
      <c r="D30" s="333"/>
      <c r="E30" s="333"/>
      <c r="F30" s="333"/>
      <c r="G30" s="333"/>
      <c r="H30" s="333"/>
      <c r="I30" s="333"/>
      <c r="J30" s="333"/>
      <c r="K30" s="333"/>
      <c r="L30" s="333"/>
      <c r="M30" s="333"/>
      <c r="N30" s="333"/>
      <c r="O30" s="333"/>
      <c r="P30" s="333"/>
      <c r="Q30" s="333"/>
      <c r="R30" s="333"/>
      <c r="S30" s="112"/>
    </row>
    <row r="31" spans="1:32" s="63" customFormat="1" x14ac:dyDescent="0.3">
      <c r="C31" s="111"/>
      <c r="S31" s="112"/>
    </row>
    <row r="32" spans="1:32" s="63" customFormat="1" x14ac:dyDescent="0.3">
      <c r="C32" s="111"/>
      <c r="S32" s="112"/>
    </row>
    <row r="33" spans="3:19" s="63" customFormat="1" x14ac:dyDescent="0.3">
      <c r="C33" s="111"/>
      <c r="S33" s="112"/>
    </row>
    <row r="34" spans="3:19" s="63" customFormat="1" x14ac:dyDescent="0.3">
      <c r="C34" s="111"/>
      <c r="S34" s="112"/>
    </row>
    <row r="35" spans="3:19" s="63" customFormat="1" x14ac:dyDescent="0.3">
      <c r="C35" s="111"/>
      <c r="S35" s="112"/>
    </row>
    <row r="36" spans="3:19" s="63" customFormat="1" x14ac:dyDescent="0.3">
      <c r="C36" s="111"/>
      <c r="S36" s="112"/>
    </row>
    <row r="37" spans="3:19" s="63" customFormat="1" x14ac:dyDescent="0.3">
      <c r="C37" s="111"/>
      <c r="S37" s="112"/>
    </row>
    <row r="38" spans="3:19" s="63" customFormat="1" x14ac:dyDescent="0.3">
      <c r="C38" s="111"/>
      <c r="S38" s="112"/>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AG71"/>
  <sheetViews>
    <sheetView showGridLines="0" zoomScaleNormal="100" workbookViewId="0">
      <selection activeCell="D2" sqref="D2"/>
    </sheetView>
  </sheetViews>
  <sheetFormatPr defaultColWidth="9" defaultRowHeight="20.25" outlineLevelRow="1" outlineLevelCol="1" x14ac:dyDescent="0.3"/>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160" customWidth="1"/>
    <col min="34" max="16384" width="9" style="160"/>
  </cols>
  <sheetData>
    <row r="1" spans="1:33" s="63" customFormat="1" ht="20.25" customHeight="1" x14ac:dyDescent="0.2">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x14ac:dyDescent="0.25">
      <c r="A2" s="349" t="s">
        <v>103</v>
      </c>
      <c r="B2" s="333"/>
      <c r="C2" s="151">
        <v>13</v>
      </c>
      <c r="D2" s="152" t="s">
        <v>73</v>
      </c>
      <c r="E2" s="716" t="str">
        <f>R.1MediaAndLongName</f>
        <v>AQ GrantsPassLMP</v>
      </c>
      <c r="F2" s="716"/>
      <c r="G2" s="716"/>
      <c r="H2" s="716"/>
      <c r="I2" s="716"/>
      <c r="J2" s="716"/>
      <c r="K2" s="716"/>
      <c r="L2" s="716"/>
      <c r="M2" s="716"/>
      <c r="N2" s="716"/>
      <c r="O2" s="716"/>
      <c r="P2" s="716"/>
      <c r="Q2" s="153"/>
      <c r="R2" s="333"/>
      <c r="S2" s="65"/>
      <c r="T2" s="65"/>
      <c r="U2" s="65"/>
      <c r="V2" s="119" t="s">
        <v>0</v>
      </c>
      <c r="W2" s="63"/>
      <c r="X2" s="63"/>
      <c r="Y2" s="63"/>
      <c r="Z2" s="63"/>
      <c r="AA2" s="63"/>
      <c r="AB2" s="63"/>
      <c r="AC2" s="63"/>
      <c r="AD2" s="65"/>
      <c r="AE2" s="65"/>
      <c r="AF2" s="65"/>
    </row>
    <row r="3" spans="1:33" s="6" customFormat="1" ht="20.25" customHeight="1" thickTop="1" x14ac:dyDescent="0.3">
      <c r="A3" s="113"/>
      <c r="B3" s="333"/>
      <c r="C3" s="154"/>
      <c r="D3" s="753" t="s">
        <v>80</v>
      </c>
      <c r="E3" s="753"/>
      <c r="F3" s="102"/>
      <c r="G3" s="102"/>
      <c r="H3" s="102"/>
      <c r="I3" s="102"/>
      <c r="J3" s="102"/>
      <c r="K3" s="102"/>
      <c r="L3" s="102"/>
      <c r="M3" s="102"/>
      <c r="N3" s="102"/>
      <c r="O3" s="102"/>
      <c r="P3" s="102"/>
      <c r="Q3" s="155"/>
      <c r="R3" s="333"/>
      <c r="S3" s="118" t="str">
        <f>"R."&amp;$C$2&amp;"StaffCount"</f>
        <v>R.13StaffCount</v>
      </c>
      <c r="T3" s="118" t="str">
        <f>"R."&amp;$C$2&amp;"LowHrs"</f>
        <v>R.13LowHrs</v>
      </c>
      <c r="U3" s="348" t="str">
        <f>"R."&amp;$C$2&amp;"HighHrs"</f>
        <v>R.13HighHrs</v>
      </c>
      <c r="V3" s="119"/>
      <c r="W3" s="63"/>
      <c r="X3" s="63"/>
      <c r="Y3" s="63"/>
      <c r="Z3" s="63"/>
      <c r="AA3" s="63"/>
      <c r="AB3" s="63"/>
      <c r="AC3" s="63"/>
      <c r="AD3" s="65"/>
      <c r="AE3" s="65"/>
      <c r="AF3" s="65"/>
    </row>
    <row r="4" spans="1:33" s="6" customFormat="1" ht="20.25" customHeight="1" x14ac:dyDescent="0.3">
      <c r="A4" s="113"/>
      <c r="B4" s="333"/>
      <c r="C4" s="154"/>
      <c r="D4" s="95"/>
      <c r="E4" s="95"/>
      <c r="F4" s="81"/>
      <c r="G4" s="163"/>
      <c r="H4" s="163"/>
      <c r="I4" s="163"/>
      <c r="J4" s="96"/>
      <c r="K4" s="12"/>
      <c r="L4" s="12"/>
      <c r="M4" s="702" t="s">
        <v>54</v>
      </c>
      <c r="N4" s="702"/>
      <c r="O4" s="702"/>
      <c r="P4" s="702"/>
      <c r="Q4" s="155"/>
      <c r="R4" s="333"/>
      <c r="S4" s="120">
        <f>COUNTIFS(S16:S58,"&gt;0")</f>
        <v>0</v>
      </c>
      <c r="T4" s="123">
        <f>SUM(T16:T58)</f>
        <v>0</v>
      </c>
      <c r="U4" s="123">
        <f>SUM(U16:U58)</f>
        <v>0</v>
      </c>
      <c r="V4" s="119"/>
      <c r="W4" s="63"/>
      <c r="X4" s="63"/>
      <c r="Y4" s="63"/>
      <c r="Z4" s="63"/>
      <c r="AA4" s="63"/>
      <c r="AB4" s="63"/>
      <c r="AC4" s="63"/>
      <c r="AD4" s="65"/>
      <c r="AE4" s="65"/>
      <c r="AF4" s="65"/>
    </row>
    <row r="5" spans="1:33" s="6" customFormat="1" ht="20.25" customHeight="1" x14ac:dyDescent="0.3">
      <c r="A5" s="113"/>
      <c r="B5" s="333"/>
      <c r="C5" s="154"/>
      <c r="D5" s="493" t="s">
        <v>52</v>
      </c>
      <c r="E5" s="80">
        <f>S4</f>
        <v>0</v>
      </c>
      <c r="F5" s="703" t="s">
        <v>51</v>
      </c>
      <c r="G5" s="703"/>
      <c r="H5" s="703"/>
      <c r="I5" s="703"/>
      <c r="J5" s="703"/>
      <c r="K5" s="703"/>
      <c r="L5" s="703"/>
      <c r="M5" s="704" t="str">
        <f>S5</f>
        <v>0</v>
      </c>
      <c r="N5" s="704"/>
      <c r="O5" s="704"/>
      <c r="P5" s="704"/>
      <c r="Q5" s="155"/>
      <c r="R5" s="333"/>
      <c r="S5" s="121" t="str">
        <f>IF(R.13StaffCount=0,"0",IF(R.13LowHrs=0,"0-"&amp;TEXT(R.13HighHrs,"#,###"),TEXT(R.13LowHrs,"#,###")&amp;"-"&amp;TEXT(R.13HighHrs,"#,###")))</f>
        <v>0</v>
      </c>
      <c r="T5" s="118" t="str">
        <f>"R."&amp;$C$2&amp;"LowDollars"</f>
        <v>R.13LowDollars</v>
      </c>
      <c r="U5" s="348" t="str">
        <f>"R."&amp;$C$2&amp;"HighDollars"</f>
        <v>R.13HighDollars</v>
      </c>
      <c r="V5" s="119"/>
      <c r="W5" s="63"/>
      <c r="X5" s="63"/>
      <c r="Y5" s="63"/>
      <c r="Z5" s="63"/>
      <c r="AA5" s="63"/>
      <c r="AB5" s="63"/>
      <c r="AC5" s="63"/>
      <c r="AD5" s="65"/>
      <c r="AE5" s="65"/>
      <c r="AF5" s="65"/>
    </row>
    <row r="6" spans="1:33" s="6" customFormat="1" ht="20.25" customHeight="1" x14ac:dyDescent="0.3">
      <c r="A6" s="113"/>
      <c r="B6" s="333"/>
      <c r="C6" s="154"/>
      <c r="D6" s="493" t="s">
        <v>65</v>
      </c>
      <c r="E6" s="97">
        <f>R.AvgHrDEQCost</f>
        <v>58</v>
      </c>
      <c r="F6" s="703" t="s">
        <v>55</v>
      </c>
      <c r="G6" s="703"/>
      <c r="H6" s="703"/>
      <c r="I6" s="703"/>
      <c r="J6" s="703"/>
      <c r="K6" s="703"/>
      <c r="L6" s="703"/>
      <c r="M6" s="705" t="str">
        <f>S6</f>
        <v>$0</v>
      </c>
      <c r="N6" s="705"/>
      <c r="O6" s="705"/>
      <c r="P6" s="705"/>
      <c r="Q6" s="155"/>
      <c r="R6" s="333"/>
      <c r="S6" s="121" t="str">
        <f>IF(R.13StaffCount=0,"$0",IF(R.13LowDollars=0,"$0-"&amp;TEXT(R.13HighDollars,"#,###"),TEXT(R.13LowDollars,"$#,###")&amp;"-"&amp;TEXT(R.13HighDollars,"#,###")))</f>
        <v>$0</v>
      </c>
      <c r="T6" s="123">
        <f>T4*E6</f>
        <v>0</v>
      </c>
      <c r="U6" s="123">
        <f>U4*E6</f>
        <v>0</v>
      </c>
      <c r="V6" s="119"/>
      <c r="W6" s="63"/>
      <c r="X6" s="63"/>
      <c r="Y6" s="63"/>
      <c r="Z6" s="63"/>
      <c r="AA6" s="63"/>
      <c r="AB6" s="63"/>
      <c r="AC6" s="63"/>
      <c r="AD6" s="65"/>
      <c r="AE6" s="65"/>
      <c r="AF6" s="65"/>
    </row>
    <row r="7" spans="1:33" s="6" customFormat="1" ht="8.25" customHeight="1" x14ac:dyDescent="0.3">
      <c r="A7" s="113"/>
      <c r="B7" s="333"/>
      <c r="C7" s="154"/>
      <c r="D7" s="109" t="s">
        <v>0</v>
      </c>
      <c r="E7" s="99"/>
      <c r="F7" s="98"/>
      <c r="G7" s="98"/>
      <c r="H7" s="98"/>
      <c r="I7" s="98"/>
      <c r="J7" s="98"/>
      <c r="K7" s="98"/>
      <c r="L7" s="98"/>
      <c r="M7" s="98"/>
      <c r="N7" s="98"/>
      <c r="O7" s="98"/>
      <c r="P7" s="98"/>
      <c r="Q7" s="155"/>
      <c r="R7" s="333"/>
      <c r="S7" s="65"/>
      <c r="T7" s="65"/>
      <c r="U7" s="65"/>
      <c r="V7" s="119"/>
      <c r="W7" s="63"/>
      <c r="X7" s="63"/>
      <c r="Y7" s="63"/>
      <c r="Z7" s="63"/>
      <c r="AA7" s="63"/>
      <c r="AB7" s="63"/>
      <c r="AC7" s="63"/>
      <c r="AD7" s="65"/>
      <c r="AE7" s="65"/>
      <c r="AF7" s="65"/>
    </row>
    <row r="8" spans="1:33" s="6" customFormat="1" ht="105" customHeight="1" x14ac:dyDescent="0.3">
      <c r="A8" s="315"/>
      <c r="B8" s="333"/>
      <c r="C8" s="154"/>
      <c r="D8" s="733" t="s">
        <v>238</v>
      </c>
      <c r="E8" s="734"/>
      <c r="F8" s="734"/>
      <c r="G8" s="734"/>
      <c r="H8" s="734"/>
      <c r="I8" s="734"/>
      <c r="J8" s="734"/>
      <c r="K8" s="734"/>
      <c r="L8" s="734"/>
      <c r="M8" s="734"/>
      <c r="N8" s="734"/>
      <c r="O8" s="734"/>
      <c r="P8" s="735"/>
      <c r="Q8" s="155"/>
      <c r="R8" s="333"/>
      <c r="S8"/>
      <c r="T8" s="492"/>
      <c r="U8" s="492"/>
      <c r="V8" s="119"/>
      <c r="W8" s="435"/>
      <c r="X8" s="435"/>
      <c r="Y8" s="435"/>
      <c r="Z8" s="435"/>
      <c r="AA8" s="435"/>
      <c r="AB8" s="435"/>
      <c r="AC8" s="435"/>
      <c r="AD8" s="65"/>
      <c r="AE8" s="65"/>
      <c r="AF8" s="65"/>
    </row>
    <row r="9" spans="1:33" s="6" customFormat="1" ht="20.25" customHeight="1" x14ac:dyDescent="0.3">
      <c r="A9" s="315"/>
      <c r="B9" s="333"/>
      <c r="C9" s="154"/>
      <c r="D9" s="751" t="s">
        <v>494</v>
      </c>
      <c r="E9" s="751"/>
      <c r="F9" s="751"/>
      <c r="G9" s="751"/>
      <c r="H9" s="751"/>
      <c r="I9" s="751"/>
      <c r="J9" s="751"/>
      <c r="K9" s="751"/>
      <c r="L9" s="751"/>
      <c r="M9" s="751"/>
      <c r="N9" s="751"/>
      <c r="O9" s="751"/>
      <c r="P9" s="751"/>
      <c r="Q9" s="155"/>
      <c r="R9" s="333"/>
      <c r="T9" s="492"/>
      <c r="U9" s="492"/>
      <c r="V9" s="119"/>
      <c r="W9" s="435"/>
      <c r="X9" s="435"/>
      <c r="Y9" s="435"/>
      <c r="Z9" s="435"/>
      <c r="AA9" s="435"/>
      <c r="AB9" s="435"/>
      <c r="AC9" s="435"/>
      <c r="AD9" s="65"/>
      <c r="AE9" s="65"/>
      <c r="AF9" s="65"/>
    </row>
    <row r="10" spans="1:33" s="27" customFormat="1" ht="15.75" customHeight="1" x14ac:dyDescent="0.2">
      <c r="A10" s="344"/>
      <c r="B10" s="439"/>
      <c r="C10" s="137"/>
      <c r="D10" s="748" t="s">
        <v>457</v>
      </c>
      <c r="E10" s="749"/>
      <c r="F10" s="749"/>
      <c r="G10" s="749"/>
      <c r="H10" s="749"/>
      <c r="I10" s="749"/>
      <c r="J10" s="749"/>
      <c r="K10" s="749"/>
      <c r="L10" s="749"/>
      <c r="M10" s="749"/>
      <c r="N10" s="749"/>
      <c r="O10" s="749"/>
      <c r="P10" s="750"/>
      <c r="Q10" s="138"/>
      <c r="R10" s="439"/>
      <c r="S10" s="462"/>
      <c r="T10" s="462"/>
      <c r="U10" s="440"/>
      <c r="V10" s="437"/>
      <c r="W10" s="437"/>
      <c r="X10" s="437"/>
      <c r="Y10" s="437"/>
      <c r="Z10" s="437"/>
      <c r="AA10" s="437"/>
      <c r="AB10" s="437"/>
      <c r="AC10" s="437"/>
      <c r="AD10" s="129"/>
      <c r="AE10" s="129"/>
      <c r="AF10" s="129"/>
      <c r="AG10" s="129"/>
    </row>
    <row r="11" spans="1:33" s="68" customFormat="1" ht="8.25" customHeight="1" x14ac:dyDescent="0.2">
      <c r="A11" s="114"/>
      <c r="B11" s="333"/>
      <c r="C11" s="403"/>
      <c r="D11" s="404"/>
      <c r="E11" s="404"/>
      <c r="F11" s="404"/>
      <c r="G11" s="404"/>
      <c r="H11" s="404"/>
      <c r="I11" s="404"/>
      <c r="J11" s="404"/>
      <c r="K11" s="404"/>
      <c r="L11" s="404"/>
      <c r="M11" s="404"/>
      <c r="N11" s="404"/>
      <c r="O11" s="404"/>
      <c r="P11" s="404"/>
      <c r="Q11" s="405"/>
      <c r="R11" s="333"/>
      <c r="S11" s="124"/>
      <c r="T11" s="124"/>
      <c r="U11" s="124"/>
      <c r="V11" s="125"/>
      <c r="W11" s="125"/>
      <c r="X11" s="125"/>
      <c r="Y11" s="125"/>
      <c r="Z11" s="125"/>
      <c r="AA11" s="125"/>
      <c r="AB11" s="125"/>
      <c r="AC11" s="125"/>
      <c r="AD11" s="124"/>
      <c r="AE11" s="124"/>
      <c r="AF11" s="124"/>
    </row>
    <row r="12" spans="1:33" s="32" customFormat="1" ht="30" customHeight="1" x14ac:dyDescent="0.25">
      <c r="A12" s="349" t="s">
        <v>103</v>
      </c>
      <c r="B12" s="333"/>
      <c r="C12" s="479" t="s">
        <v>0</v>
      </c>
      <c r="D12" s="303" t="s">
        <v>124</v>
      </c>
      <c r="E12" s="93"/>
      <c r="F12" s="93"/>
      <c r="G12" s="93"/>
      <c r="H12" s="93"/>
      <c r="I12" s="93"/>
      <c r="J12" s="93"/>
      <c r="K12" s="93"/>
      <c r="L12" s="93"/>
      <c r="M12" s="93"/>
      <c r="N12" s="93"/>
      <c r="O12" s="93"/>
      <c r="P12" s="93"/>
      <c r="Q12" s="136"/>
      <c r="R12" s="333"/>
      <c r="S12" s="127"/>
      <c r="T12" s="126"/>
      <c r="U12" s="126"/>
      <c r="V12" s="128"/>
      <c r="W12" s="128"/>
      <c r="X12" s="128"/>
      <c r="Y12" s="128"/>
      <c r="Z12" s="128"/>
      <c r="AA12" s="128"/>
      <c r="AB12" s="128"/>
      <c r="AC12" s="128"/>
      <c r="AD12" s="126"/>
      <c r="AE12" s="126"/>
      <c r="AF12" s="126"/>
    </row>
    <row r="13" spans="1:33" s="32" customFormat="1" ht="15.75" customHeight="1" x14ac:dyDescent="0.2">
      <c r="A13" s="115"/>
      <c r="B13" s="333"/>
      <c r="C13" s="231"/>
      <c r="D13" s="442" t="s">
        <v>50</v>
      </c>
      <c r="E13" s="93"/>
      <c r="F13" s="93"/>
      <c r="G13" s="93"/>
      <c r="H13" s="93"/>
      <c r="I13" s="93"/>
      <c r="J13" s="93"/>
      <c r="K13" s="93"/>
      <c r="L13" s="93"/>
      <c r="M13" s="93"/>
      <c r="N13" s="93"/>
      <c r="O13" s="93"/>
      <c r="P13" s="93"/>
      <c r="Q13" s="136"/>
      <c r="R13" s="333"/>
      <c r="S13" s="241"/>
      <c r="T13" s="126"/>
      <c r="U13" s="126"/>
      <c r="V13" s="229"/>
      <c r="W13" s="229"/>
      <c r="X13" s="229"/>
      <c r="Y13" s="229"/>
      <c r="Z13" s="229"/>
      <c r="AA13" s="229"/>
      <c r="AB13" s="229"/>
      <c r="AC13" s="229"/>
      <c r="AD13" s="126"/>
      <c r="AE13" s="126"/>
      <c r="AF13" s="126"/>
    </row>
    <row r="14" spans="1:33" s="27" customFormat="1" ht="15.75" customHeight="1" x14ac:dyDescent="0.2">
      <c r="A14" s="116"/>
      <c r="B14" s="333"/>
      <c r="C14" s="137"/>
      <c r="D14" s="722"/>
      <c r="E14" s="723"/>
      <c r="F14" s="723"/>
      <c r="G14" s="723"/>
      <c r="H14" s="723"/>
      <c r="I14" s="723"/>
      <c r="J14" s="723"/>
      <c r="K14" s="723"/>
      <c r="L14" s="723"/>
      <c r="M14" s="723"/>
      <c r="N14" s="723"/>
      <c r="O14" s="723"/>
      <c r="P14" s="724"/>
      <c r="Q14" s="138"/>
      <c r="R14" s="333"/>
      <c r="S14" s="130"/>
      <c r="T14" s="129"/>
      <c r="U14" s="129"/>
      <c r="V14" s="63"/>
      <c r="W14" s="63"/>
      <c r="X14" s="63"/>
      <c r="Y14" s="63"/>
      <c r="Z14" s="63"/>
      <c r="AA14" s="63"/>
      <c r="AB14" s="63"/>
      <c r="AC14" s="63"/>
      <c r="AD14" s="129"/>
      <c r="AE14" s="129"/>
      <c r="AF14" s="129"/>
    </row>
    <row r="15" spans="1:33" s="32" customFormat="1" ht="15.75" customHeight="1" x14ac:dyDescent="0.2">
      <c r="A15" s="115"/>
      <c r="B15" s="333"/>
      <c r="C15" s="232"/>
      <c r="D15" s="496" t="s">
        <v>57</v>
      </c>
      <c r="E15" s="392" t="s">
        <v>15</v>
      </c>
      <c r="F15" s="736" t="s">
        <v>16</v>
      </c>
      <c r="G15" s="736"/>
      <c r="H15" s="736"/>
      <c r="I15" s="736"/>
      <c r="J15" s="736"/>
      <c r="K15" s="736"/>
      <c r="L15" s="736"/>
      <c r="M15" s="736"/>
      <c r="N15" s="736"/>
      <c r="O15" s="736"/>
      <c r="P15" s="392" t="s">
        <v>17</v>
      </c>
      <c r="Q15" s="136"/>
      <c r="R15" s="333"/>
      <c r="S15" s="227"/>
      <c r="T15" s="228"/>
      <c r="U15" s="228"/>
      <c r="V15" s="229"/>
      <c r="W15" s="229"/>
      <c r="X15" s="229"/>
      <c r="Y15" s="229"/>
      <c r="Z15" s="229"/>
      <c r="AA15" s="229"/>
      <c r="AB15" s="229"/>
      <c r="AC15" s="229"/>
      <c r="AD15" s="126"/>
      <c r="AE15" s="126"/>
      <c r="AF15" s="126"/>
    </row>
    <row r="16" spans="1:33" s="27" customFormat="1" ht="15.75" customHeight="1" x14ac:dyDescent="0.2">
      <c r="A16" s="116"/>
      <c r="B16" s="333"/>
      <c r="C16" s="137"/>
      <c r="D16" s="541"/>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574" t="s">
        <v>542</v>
      </c>
      <c r="W16" s="63"/>
      <c r="X16" s="63"/>
      <c r="Y16" s="63"/>
      <c r="Z16" s="63"/>
      <c r="AA16" s="63"/>
      <c r="AB16" s="63"/>
      <c r="AC16" s="63"/>
      <c r="AD16" s="129"/>
      <c r="AE16" s="129"/>
      <c r="AF16" s="129"/>
    </row>
    <row r="17" spans="1:32" s="27" customFormat="1" ht="15.75" hidden="1" customHeight="1" outlineLevel="1" x14ac:dyDescent="0.2">
      <c r="A17" s="116"/>
      <c r="B17" s="333"/>
      <c r="C17" s="137"/>
      <c r="D17" s="541"/>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x14ac:dyDescent="0.2">
      <c r="A18" s="116"/>
      <c r="B18" s="333"/>
      <c r="C18" s="137"/>
      <c r="D18" s="541"/>
      <c r="E18" s="29" t="s">
        <v>217</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hidden="1" customHeight="1" outlineLevel="1" x14ac:dyDescent="0.2">
      <c r="A19" s="116"/>
      <c r="B19" s="333"/>
      <c r="C19" s="137"/>
      <c r="D19" s="541" t="s">
        <v>0</v>
      </c>
      <c r="E19" s="29" t="s">
        <v>217</v>
      </c>
      <c r="F19" s="70">
        <v>1</v>
      </c>
      <c r="G19" s="71">
        <v>2</v>
      </c>
      <c r="H19" s="72">
        <v>3</v>
      </c>
      <c r="I19" s="73">
        <v>4</v>
      </c>
      <c r="J19" s="74">
        <v>5</v>
      </c>
      <c r="K19" s="75">
        <v>6</v>
      </c>
      <c r="L19" s="76">
        <v>7</v>
      </c>
      <c r="M19" s="77">
        <v>8</v>
      </c>
      <c r="N19" s="78">
        <v>9</v>
      </c>
      <c r="O19" s="79">
        <v>10</v>
      </c>
      <c r="P19" s="31"/>
      <c r="Q19" s="138"/>
      <c r="R19" s="333"/>
      <c r="S19" s="132">
        <f>VLOOKUP($E19,R.VL_DEQResourcesInvolved,2,FALSE)</f>
        <v>0</v>
      </c>
      <c r="T19" s="120">
        <f>VLOOKUP($E19,R.VL_DEQResourcesInvolved,3,FALSE)</f>
        <v>0</v>
      </c>
      <c r="U19" s="120">
        <f>IF(S19=10,T19,VLOOKUP($E19,R.VL_DEQResourcesInvolved,4,FALSE))</f>
        <v>0</v>
      </c>
      <c r="V19" s="63"/>
      <c r="W19" s="63"/>
      <c r="X19" s="63"/>
      <c r="Y19" s="63"/>
      <c r="Z19" s="63"/>
      <c r="AA19" s="63"/>
      <c r="AB19" s="63"/>
      <c r="AC19" s="63"/>
      <c r="AD19" s="129"/>
      <c r="AE19" s="129"/>
      <c r="AF19" s="129"/>
    </row>
    <row r="20" spans="1:32" s="27" customFormat="1" ht="15.75" customHeight="1" collapsed="1" x14ac:dyDescent="0.2">
      <c r="A20" s="116"/>
      <c r="B20" s="333"/>
      <c r="C20" s="244"/>
      <c r="D20" s="441" t="s">
        <v>49</v>
      </c>
      <c r="E20" s="30"/>
      <c r="F20" s="30"/>
      <c r="G20" s="30"/>
      <c r="H20" s="30"/>
      <c r="I20" s="30"/>
      <c r="J20" s="30"/>
      <c r="K20" s="30"/>
      <c r="L20" s="30"/>
      <c r="M20" s="30"/>
      <c r="N20" s="30"/>
      <c r="O20" s="30"/>
      <c r="P20" s="30"/>
      <c r="Q20" s="142"/>
      <c r="R20" s="333"/>
      <c r="S20" s="227"/>
      <c r="T20" s="228"/>
      <c r="U20" s="228"/>
      <c r="V20" s="235"/>
      <c r="W20" s="235"/>
      <c r="X20" s="235"/>
      <c r="Y20" s="235"/>
      <c r="Z20" s="235"/>
      <c r="AA20" s="235"/>
      <c r="AB20" s="235"/>
      <c r="AC20" s="235"/>
      <c r="AD20" s="129"/>
      <c r="AE20" s="129"/>
      <c r="AF20" s="129"/>
    </row>
    <row r="21" spans="1:32" s="27" customFormat="1" ht="15.75" customHeight="1" x14ac:dyDescent="0.2">
      <c r="A21" s="116"/>
      <c r="B21" s="333"/>
      <c r="C21" s="137"/>
      <c r="D21" s="737"/>
      <c r="E21" s="738"/>
      <c r="F21" s="738"/>
      <c r="G21" s="738"/>
      <c r="H21" s="738"/>
      <c r="I21" s="738"/>
      <c r="J21" s="738"/>
      <c r="K21" s="738"/>
      <c r="L21" s="738"/>
      <c r="M21" s="738"/>
      <c r="N21" s="738"/>
      <c r="O21" s="738"/>
      <c r="P21" s="739"/>
      <c r="Q21" s="138"/>
      <c r="R21" s="333"/>
      <c r="S21" s="131" t="s">
        <v>0</v>
      </c>
      <c r="T21" s="130"/>
      <c r="U21" s="130"/>
      <c r="V21" s="63"/>
      <c r="W21" s="63"/>
      <c r="X21" s="63"/>
      <c r="Y21" s="63"/>
      <c r="Z21" s="63"/>
      <c r="AA21" s="63"/>
      <c r="AB21" s="63"/>
      <c r="AC21" s="63"/>
      <c r="AD21" s="129"/>
      <c r="AE21" s="129"/>
      <c r="AF21" s="129"/>
    </row>
    <row r="22" spans="1:32" s="32" customFormat="1" ht="15.75" customHeight="1" x14ac:dyDescent="0.2">
      <c r="A22" s="115"/>
      <c r="B22" s="333"/>
      <c r="C22" s="231"/>
      <c r="D22" s="441" t="s">
        <v>57</v>
      </c>
      <c r="E22" s="291" t="s">
        <v>15</v>
      </c>
      <c r="F22" s="752" t="s">
        <v>16</v>
      </c>
      <c r="G22" s="752"/>
      <c r="H22" s="752"/>
      <c r="I22" s="752"/>
      <c r="J22" s="752"/>
      <c r="K22" s="752"/>
      <c r="L22" s="752"/>
      <c r="M22" s="752"/>
      <c r="N22" s="752"/>
      <c r="O22" s="752"/>
      <c r="P22" s="291" t="s">
        <v>17</v>
      </c>
      <c r="Q22" s="136"/>
      <c r="R22" s="333"/>
      <c r="S22" s="227"/>
      <c r="T22" s="228"/>
      <c r="U22" s="228"/>
      <c r="V22" s="229"/>
      <c r="W22" s="229"/>
      <c r="X22" s="229"/>
      <c r="Y22" s="229"/>
      <c r="Z22" s="229"/>
      <c r="AA22" s="229"/>
      <c r="AB22" s="229"/>
      <c r="AC22" s="229"/>
      <c r="AD22" s="126"/>
      <c r="AE22" s="126"/>
      <c r="AF22" s="126"/>
    </row>
    <row r="23" spans="1:32" s="27" customFormat="1" ht="15.75" customHeight="1" x14ac:dyDescent="0.2">
      <c r="A23" s="116"/>
      <c r="B23" s="333"/>
      <c r="C23" s="137"/>
      <c r="D23" s="541"/>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74" t="s">
        <v>542</v>
      </c>
      <c r="W23" s="63"/>
      <c r="X23" s="63"/>
      <c r="Y23" s="63"/>
      <c r="Z23" s="63"/>
      <c r="AA23" s="63"/>
      <c r="AB23" s="63"/>
      <c r="AC23" s="63"/>
      <c r="AD23" s="129"/>
      <c r="AE23" s="129"/>
      <c r="AF23" s="129"/>
    </row>
    <row r="24" spans="1:32" s="27" customFormat="1" ht="15.75" hidden="1" customHeight="1" outlineLevel="1" x14ac:dyDescent="0.2">
      <c r="A24" s="116"/>
      <c r="B24" s="333"/>
      <c r="C24" s="137"/>
      <c r="D24" s="541"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x14ac:dyDescent="0.2">
      <c r="A25" s="116"/>
      <c r="B25" s="333"/>
      <c r="C25" s="137"/>
      <c r="D25" s="541"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5.75" hidden="1" customHeight="1" outlineLevel="1" x14ac:dyDescent="0.2">
      <c r="A26" s="116"/>
      <c r="B26" s="333"/>
      <c r="C26" s="137"/>
      <c r="D26" s="541" t="s">
        <v>0</v>
      </c>
      <c r="E26" s="29" t="s">
        <v>217</v>
      </c>
      <c r="F26" s="70">
        <v>1</v>
      </c>
      <c r="G26" s="71">
        <v>2</v>
      </c>
      <c r="H26" s="72">
        <v>3</v>
      </c>
      <c r="I26" s="73">
        <v>4</v>
      </c>
      <c r="J26" s="74">
        <v>5</v>
      </c>
      <c r="K26" s="75">
        <v>6</v>
      </c>
      <c r="L26" s="76">
        <v>7</v>
      </c>
      <c r="M26" s="77">
        <v>8</v>
      </c>
      <c r="N26" s="78">
        <v>9</v>
      </c>
      <c r="O26" s="79">
        <v>10</v>
      </c>
      <c r="P26" s="31" t="s">
        <v>0</v>
      </c>
      <c r="Q26" s="138"/>
      <c r="R26" s="333"/>
      <c r="S26" s="132">
        <f>VLOOKUP($E26,R.VL_DEQResourcesInvolved,2,FALSE)</f>
        <v>0</v>
      </c>
      <c r="T26" s="120">
        <f>VLOOKUP($E26,R.VL_DEQResourcesInvolved,3,FALSE)</f>
        <v>0</v>
      </c>
      <c r="U26" s="120">
        <f>IF(S26=10,T26,VLOOKUP($E26,R.VL_DEQResourcesInvolved,4,FALSE))</f>
        <v>0</v>
      </c>
      <c r="V26" s="63"/>
      <c r="W26" s="63"/>
      <c r="X26" s="63"/>
      <c r="Y26" s="63"/>
      <c r="Z26" s="63"/>
      <c r="AA26" s="63"/>
      <c r="AB26" s="63"/>
      <c r="AC26" s="63"/>
      <c r="AD26" s="129"/>
      <c r="AE26" s="129"/>
      <c r="AF26" s="129"/>
    </row>
    <row r="27" spans="1:32" s="27" customFormat="1" ht="14.25" customHeight="1" collapsed="1" x14ac:dyDescent="0.2">
      <c r="A27" s="116"/>
      <c r="B27" s="333"/>
      <c r="C27" s="375"/>
      <c r="D27" s="480"/>
      <c r="E27" s="742"/>
      <c r="F27" s="742"/>
      <c r="G27" s="742"/>
      <c r="H27" s="742"/>
      <c r="I27" s="742"/>
      <c r="J27" s="742"/>
      <c r="K27" s="742"/>
      <c r="L27" s="742"/>
      <c r="M27" s="742"/>
      <c r="N27" s="742"/>
      <c r="O27" s="742"/>
      <c r="P27" s="742"/>
      <c r="Q27" s="378"/>
      <c r="R27" s="333"/>
      <c r="S27" s="131"/>
      <c r="T27" s="130"/>
      <c r="U27" s="130"/>
      <c r="V27" s="63"/>
      <c r="W27" s="63"/>
      <c r="X27" s="63"/>
      <c r="Y27" s="63"/>
      <c r="Z27" s="63"/>
      <c r="AA27" s="63"/>
      <c r="AB27" s="63"/>
      <c r="AC27" s="63"/>
      <c r="AD27" s="129"/>
      <c r="AE27" s="129"/>
      <c r="AF27" s="129"/>
    </row>
    <row r="28" spans="1:32" s="32" customFormat="1" ht="30" customHeight="1" x14ac:dyDescent="0.3">
      <c r="A28" s="300"/>
      <c r="B28" s="333"/>
      <c r="C28" s="135"/>
      <c r="D28" s="303" t="s">
        <v>125</v>
      </c>
      <c r="E28" s="301"/>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32" customFormat="1" ht="14.25" customHeight="1" x14ac:dyDescent="0.2">
      <c r="A29" s="115"/>
      <c r="B29" s="333"/>
      <c r="C29" s="231"/>
      <c r="D29" s="442" t="s">
        <v>50</v>
      </c>
      <c r="E29" s="93"/>
      <c r="F29" s="93"/>
      <c r="G29" s="93"/>
      <c r="H29" s="93"/>
      <c r="I29" s="93"/>
      <c r="J29" s="93"/>
      <c r="K29" s="93"/>
      <c r="L29" s="93"/>
      <c r="M29" s="93"/>
      <c r="N29" s="93"/>
      <c r="O29" s="93"/>
      <c r="P29" s="93"/>
      <c r="Q29" s="136"/>
      <c r="R29" s="333"/>
      <c r="S29" s="234"/>
      <c r="T29" s="228"/>
      <c r="U29" s="228"/>
      <c r="V29" s="229"/>
      <c r="W29" s="229"/>
      <c r="X29" s="229"/>
      <c r="Y29" s="229"/>
      <c r="Z29" s="229"/>
      <c r="AA29" s="229"/>
      <c r="AB29" s="229"/>
      <c r="AC29" s="229"/>
      <c r="AD29" s="126"/>
      <c r="AE29" s="126"/>
      <c r="AF29" s="126"/>
    </row>
    <row r="30" spans="1:32" s="27" customFormat="1" ht="15.75" customHeight="1" x14ac:dyDescent="0.2">
      <c r="A30" s="116"/>
      <c r="B30" s="333"/>
      <c r="C30" s="137"/>
      <c r="D30" s="722"/>
      <c r="E30" s="723"/>
      <c r="F30" s="723"/>
      <c r="G30" s="723"/>
      <c r="H30" s="723"/>
      <c r="I30" s="723"/>
      <c r="J30" s="723"/>
      <c r="K30" s="723"/>
      <c r="L30" s="723"/>
      <c r="M30" s="723"/>
      <c r="N30" s="723"/>
      <c r="O30" s="723"/>
      <c r="P30" s="724"/>
      <c r="Q30" s="138"/>
      <c r="R30" s="333"/>
      <c r="S30" s="131" t="s">
        <v>0</v>
      </c>
      <c r="T30" s="130"/>
      <c r="U30" s="130"/>
      <c r="V30" s="63"/>
      <c r="W30" s="63"/>
      <c r="X30" s="63"/>
      <c r="Y30" s="63"/>
      <c r="Z30" s="63"/>
      <c r="AA30" s="63"/>
      <c r="AB30" s="63"/>
      <c r="AC30" s="63"/>
      <c r="AD30" s="129"/>
      <c r="AE30" s="129"/>
      <c r="AF30" s="129"/>
    </row>
    <row r="31" spans="1:32" s="32" customFormat="1" ht="15.75" customHeight="1" x14ac:dyDescent="0.3">
      <c r="A31" s="115"/>
      <c r="B31" s="333"/>
      <c r="C31" s="135"/>
      <c r="D31" s="441" t="s">
        <v>57</v>
      </c>
      <c r="E31" s="158" t="s">
        <v>15</v>
      </c>
      <c r="F31" s="752" t="s">
        <v>16</v>
      </c>
      <c r="G31" s="752"/>
      <c r="H31" s="752"/>
      <c r="I31" s="752"/>
      <c r="J31" s="752"/>
      <c r="K31" s="752"/>
      <c r="L31" s="752"/>
      <c r="M31" s="752"/>
      <c r="N31" s="752"/>
      <c r="O31" s="752"/>
      <c r="P31" s="158" t="s">
        <v>17</v>
      </c>
      <c r="Q31" s="136"/>
      <c r="R31" s="333"/>
      <c r="S31" s="131"/>
      <c r="T31" s="130"/>
      <c r="U31" s="130"/>
      <c r="V31" s="128"/>
      <c r="W31" s="128"/>
      <c r="X31" s="128"/>
      <c r="Y31" s="128"/>
      <c r="Z31" s="128"/>
      <c r="AA31" s="128"/>
      <c r="AB31" s="128"/>
      <c r="AC31" s="128"/>
      <c r="AD31" s="126"/>
      <c r="AE31" s="126"/>
      <c r="AF31" s="126"/>
    </row>
    <row r="32" spans="1:32" s="27" customFormat="1" ht="15.75" customHeight="1" x14ac:dyDescent="0.2">
      <c r="A32" s="116"/>
      <c r="B32" s="333"/>
      <c r="C32" s="137"/>
      <c r="D32" s="541"/>
      <c r="E32" s="29" t="s">
        <v>217</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574" t="s">
        <v>542</v>
      </c>
      <c r="W32" s="63"/>
      <c r="X32" s="63"/>
      <c r="Y32" s="63"/>
      <c r="Z32" s="63"/>
      <c r="AA32" s="63"/>
      <c r="AB32" s="63"/>
      <c r="AC32" s="63"/>
      <c r="AD32" s="129"/>
      <c r="AE32" s="129"/>
      <c r="AF32" s="129"/>
    </row>
    <row r="33" spans="1:32" s="27" customFormat="1" ht="15.75" hidden="1" customHeight="1" outlineLevel="1" x14ac:dyDescent="0.2">
      <c r="A33" s="116"/>
      <c r="B33" s="333"/>
      <c r="C33" s="137"/>
      <c r="D33" s="541"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x14ac:dyDescent="0.2">
      <c r="A34" s="116"/>
      <c r="B34" s="333"/>
      <c r="C34" s="137"/>
      <c r="D34" s="541"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5.75" hidden="1" customHeight="1" outlineLevel="1" x14ac:dyDescent="0.2">
      <c r="A35" s="116"/>
      <c r="B35" s="333"/>
      <c r="C35" s="137"/>
      <c r="D35" s="541" t="s">
        <v>0</v>
      </c>
      <c r="E35" s="29" t="s">
        <v>217</v>
      </c>
      <c r="F35" s="70">
        <v>1</v>
      </c>
      <c r="G35" s="71">
        <v>2</v>
      </c>
      <c r="H35" s="72">
        <v>3</v>
      </c>
      <c r="I35" s="73">
        <v>4</v>
      </c>
      <c r="J35" s="74">
        <v>5</v>
      </c>
      <c r="K35" s="75">
        <v>6</v>
      </c>
      <c r="L35" s="76">
        <v>7</v>
      </c>
      <c r="M35" s="77">
        <v>8</v>
      </c>
      <c r="N35" s="78">
        <v>9</v>
      </c>
      <c r="O35" s="79">
        <v>10</v>
      </c>
      <c r="P35" s="31" t="s">
        <v>0</v>
      </c>
      <c r="Q35" s="138"/>
      <c r="R35" s="333"/>
      <c r="S35" s="132">
        <f>VLOOKUP($E35,R.VL_DEQResourcesInvolved,2,FALSE)</f>
        <v>0</v>
      </c>
      <c r="T35" s="120">
        <f>VLOOKUP($E35,R.VL_DEQResourcesInvolved,3,FALSE)</f>
        <v>0</v>
      </c>
      <c r="U35" s="120">
        <f>IF(S35=10,T35,VLOOKUP($E35,R.VL_DEQResourcesInvolved,4,FALSE))</f>
        <v>0</v>
      </c>
      <c r="V35" s="63"/>
      <c r="W35" s="63"/>
      <c r="X35" s="63"/>
      <c r="Y35" s="63"/>
      <c r="Z35" s="63"/>
      <c r="AA35" s="63"/>
      <c r="AB35" s="63"/>
      <c r="AC35" s="63"/>
      <c r="AD35" s="129"/>
      <c r="AE35" s="129"/>
      <c r="AF35" s="129"/>
    </row>
    <row r="36" spans="1:32" s="27" customFormat="1" ht="15.75" customHeight="1" collapsed="1" x14ac:dyDescent="0.2">
      <c r="A36" s="116"/>
      <c r="B36" s="333"/>
      <c r="C36" s="141"/>
      <c r="D36" s="442" t="s">
        <v>49</v>
      </c>
      <c r="E36" s="30"/>
      <c r="F36" s="30"/>
      <c r="G36" s="30"/>
      <c r="H36" s="30"/>
      <c r="I36" s="30"/>
      <c r="J36" s="30"/>
      <c r="K36" s="30"/>
      <c r="L36" s="30"/>
      <c r="M36" s="30"/>
      <c r="N36" s="30"/>
      <c r="O36" s="30"/>
      <c r="P36" s="30"/>
      <c r="Q36" s="142"/>
      <c r="R36" s="333"/>
      <c r="S36" s="131"/>
      <c r="T36" s="130"/>
      <c r="U36" s="130"/>
      <c r="V36" s="63"/>
      <c r="W36" s="63"/>
      <c r="X36" s="63"/>
      <c r="Y36" s="63"/>
      <c r="Z36" s="63"/>
      <c r="AA36" s="63"/>
      <c r="AB36" s="63"/>
      <c r="AC36" s="63"/>
      <c r="AD36" s="129"/>
      <c r="AE36" s="129"/>
      <c r="AF36" s="129"/>
    </row>
    <row r="37" spans="1:32" s="27" customFormat="1" ht="15.75" customHeight="1" x14ac:dyDescent="0.2">
      <c r="A37" s="116"/>
      <c r="B37" s="333"/>
      <c r="C37" s="137"/>
      <c r="D37" s="727"/>
      <c r="E37" s="728"/>
      <c r="F37" s="728"/>
      <c r="G37" s="728"/>
      <c r="H37" s="728"/>
      <c r="I37" s="728"/>
      <c r="J37" s="728"/>
      <c r="K37" s="728"/>
      <c r="L37" s="728"/>
      <c r="M37" s="728"/>
      <c r="N37" s="728"/>
      <c r="O37" s="728"/>
      <c r="P37" s="729"/>
      <c r="Q37" s="138"/>
      <c r="R37" s="333"/>
      <c r="S37" s="131" t="s">
        <v>0</v>
      </c>
      <c r="T37" s="130"/>
      <c r="U37" s="130"/>
      <c r="V37" s="63"/>
      <c r="W37" s="63"/>
      <c r="X37" s="63"/>
      <c r="Y37" s="63"/>
      <c r="Z37" s="63"/>
      <c r="AA37" s="63"/>
      <c r="AB37" s="63"/>
      <c r="AC37" s="63"/>
      <c r="AD37" s="129"/>
      <c r="AE37" s="129"/>
      <c r="AF37" s="129"/>
    </row>
    <row r="38" spans="1:32" s="32" customFormat="1" ht="15.75" customHeight="1" x14ac:dyDescent="0.3">
      <c r="A38" s="115"/>
      <c r="B38" s="333"/>
      <c r="C38" s="135"/>
      <c r="D38" s="441" t="s">
        <v>57</v>
      </c>
      <c r="E38" s="158" t="s">
        <v>15</v>
      </c>
      <c r="F38" s="752" t="s">
        <v>16</v>
      </c>
      <c r="G38" s="752"/>
      <c r="H38" s="752"/>
      <c r="I38" s="752"/>
      <c r="J38" s="752"/>
      <c r="K38" s="752"/>
      <c r="L38" s="752"/>
      <c r="M38" s="752"/>
      <c r="N38" s="752"/>
      <c r="O38" s="752"/>
      <c r="P38" s="158" t="s">
        <v>17</v>
      </c>
      <c r="Q38" s="136"/>
      <c r="R38" s="333"/>
      <c r="S38" s="131"/>
      <c r="T38" s="130"/>
      <c r="U38" s="130"/>
      <c r="V38" s="128"/>
      <c r="W38" s="128"/>
      <c r="X38" s="128"/>
      <c r="Y38" s="128"/>
      <c r="Z38" s="128"/>
      <c r="AA38" s="128"/>
      <c r="AB38" s="128"/>
      <c r="AC38" s="128"/>
      <c r="AD38" s="126"/>
      <c r="AE38" s="126"/>
      <c r="AF38" s="126"/>
    </row>
    <row r="39" spans="1:32" s="27" customFormat="1" ht="15.75" customHeight="1" x14ac:dyDescent="0.2">
      <c r="A39" s="116"/>
      <c r="B39" s="333"/>
      <c r="C39" s="137"/>
      <c r="D39" s="541"/>
      <c r="E39" s="29" t="s">
        <v>217</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574" t="s">
        <v>542</v>
      </c>
      <c r="W39" s="63"/>
      <c r="X39" s="63"/>
      <c r="Y39" s="63"/>
      <c r="Z39" s="63"/>
      <c r="AA39" s="63"/>
      <c r="AB39" s="63"/>
      <c r="AC39" s="63"/>
      <c r="AD39" s="129"/>
      <c r="AE39" s="129"/>
      <c r="AF39" s="129"/>
    </row>
    <row r="40" spans="1:32" s="27" customFormat="1" ht="15.75" hidden="1" customHeight="1" outlineLevel="1" x14ac:dyDescent="0.2">
      <c r="A40" s="116"/>
      <c r="B40" s="333"/>
      <c r="C40" s="137"/>
      <c r="D40" s="541"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x14ac:dyDescent="0.2">
      <c r="A41" s="116"/>
      <c r="B41" s="333"/>
      <c r="C41" s="137"/>
      <c r="D41" s="541"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5.75" hidden="1" customHeight="1" outlineLevel="1" x14ac:dyDescent="0.2">
      <c r="A42" s="116"/>
      <c r="B42" s="333"/>
      <c r="C42" s="137"/>
      <c r="D42" s="541" t="s">
        <v>0</v>
      </c>
      <c r="E42" s="29" t="s">
        <v>217</v>
      </c>
      <c r="F42" s="70">
        <v>1</v>
      </c>
      <c r="G42" s="71">
        <v>2</v>
      </c>
      <c r="H42" s="72">
        <v>3</v>
      </c>
      <c r="I42" s="73">
        <v>4</v>
      </c>
      <c r="J42" s="74">
        <v>5</v>
      </c>
      <c r="K42" s="75">
        <v>6</v>
      </c>
      <c r="L42" s="76">
        <v>7</v>
      </c>
      <c r="M42" s="77">
        <v>8</v>
      </c>
      <c r="N42" s="78">
        <v>9</v>
      </c>
      <c r="O42" s="79">
        <v>10</v>
      </c>
      <c r="P42" s="31" t="s">
        <v>0</v>
      </c>
      <c r="Q42" s="138"/>
      <c r="R42" s="333"/>
      <c r="S42" s="132">
        <f>VLOOKUP($E42,R.VL_DEQResourcesInvolved,2,FALSE)</f>
        <v>0</v>
      </c>
      <c r="T42" s="120">
        <f>VLOOKUP($E42,R.VL_DEQResourcesInvolved,3,FALSE)</f>
        <v>0</v>
      </c>
      <c r="U42" s="120">
        <f>IF(S42=10,T42,VLOOKUP($E42,R.VL_DEQResourcesInvolved,4,FALSE))</f>
        <v>0</v>
      </c>
      <c r="V42" s="63"/>
      <c r="W42" s="63"/>
      <c r="X42" s="63"/>
      <c r="Y42" s="63"/>
      <c r="Z42" s="63"/>
      <c r="AA42" s="63"/>
      <c r="AB42" s="63"/>
      <c r="AC42" s="63"/>
      <c r="AD42" s="129"/>
      <c r="AE42" s="129"/>
      <c r="AF42" s="129"/>
    </row>
    <row r="43" spans="1:32" s="27" customFormat="1" ht="15.75" customHeight="1" collapsed="1" x14ac:dyDescent="0.2">
      <c r="A43" s="116"/>
      <c r="B43" s="333"/>
      <c r="C43" s="375"/>
      <c r="D43" s="480"/>
      <c r="E43" s="742"/>
      <c r="F43" s="742"/>
      <c r="G43" s="742"/>
      <c r="H43" s="742"/>
      <c r="I43" s="742"/>
      <c r="J43" s="742"/>
      <c r="K43" s="742"/>
      <c r="L43" s="742"/>
      <c r="M43" s="742"/>
      <c r="N43" s="742"/>
      <c r="O43" s="742"/>
      <c r="P43" s="742"/>
      <c r="Q43" s="378"/>
      <c r="R43" s="333"/>
      <c r="S43" s="131"/>
      <c r="T43" s="130"/>
      <c r="U43" s="130"/>
      <c r="V43" s="63"/>
      <c r="W43" s="63"/>
      <c r="X43" s="63"/>
      <c r="Y43" s="63"/>
      <c r="Z43" s="63"/>
      <c r="AA43" s="63"/>
      <c r="AB43" s="63"/>
      <c r="AC43" s="63"/>
      <c r="AD43" s="129"/>
      <c r="AE43" s="129"/>
      <c r="AF43" s="129"/>
    </row>
    <row r="44" spans="1:32" s="32" customFormat="1" ht="30" customHeight="1" x14ac:dyDescent="0.25">
      <c r="A44" s="349" t="s">
        <v>103</v>
      </c>
      <c r="B44" s="333"/>
      <c r="C44" s="482" t="s">
        <v>0</v>
      </c>
      <c r="D44" s="380" t="s">
        <v>131</v>
      </c>
      <c r="E44" s="381"/>
      <c r="F44" s="381"/>
      <c r="G44" s="381"/>
      <c r="H44" s="381"/>
      <c r="I44" s="381"/>
      <c r="J44" s="381"/>
      <c r="K44" s="381"/>
      <c r="L44" s="381"/>
      <c r="M44" s="381"/>
      <c r="N44" s="381"/>
      <c r="O44" s="381"/>
      <c r="P44" s="381"/>
      <c r="Q44" s="383"/>
      <c r="R44" s="333"/>
      <c r="S44" s="133"/>
      <c r="T44" s="130" t="s">
        <v>0</v>
      </c>
      <c r="U44" s="130"/>
      <c r="V44" s="128"/>
      <c r="W44" s="128"/>
      <c r="X44" s="128"/>
      <c r="Y44" s="128"/>
      <c r="Z44" s="128"/>
      <c r="AA44" s="128"/>
      <c r="AB44" s="128"/>
      <c r="AC44" s="128"/>
      <c r="AD44" s="126"/>
      <c r="AE44" s="126"/>
      <c r="AF44" s="126"/>
    </row>
    <row r="45" spans="1:32" s="32" customFormat="1" ht="14.25" customHeight="1" x14ac:dyDescent="0.2">
      <c r="A45" s="115"/>
      <c r="B45" s="333"/>
      <c r="C45" s="231"/>
      <c r="D45" s="442" t="s">
        <v>50</v>
      </c>
      <c r="E45" s="93"/>
      <c r="F45" s="93"/>
      <c r="G45" s="93"/>
      <c r="H45" s="93"/>
      <c r="I45" s="93"/>
      <c r="J45" s="93"/>
      <c r="K45" s="93"/>
      <c r="L45" s="93"/>
      <c r="M45" s="93"/>
      <c r="N45" s="93"/>
      <c r="O45" s="93"/>
      <c r="P45" s="93"/>
      <c r="Q45" s="136"/>
      <c r="R45" s="333"/>
      <c r="S45" s="234"/>
      <c r="T45" s="228"/>
      <c r="U45" s="228"/>
      <c r="V45" s="229"/>
      <c r="W45" s="229"/>
      <c r="X45" s="229"/>
      <c r="Y45" s="229"/>
      <c r="Z45" s="229"/>
      <c r="AA45" s="229"/>
      <c r="AB45" s="229"/>
      <c r="AC45" s="229"/>
      <c r="AD45" s="126"/>
      <c r="AE45" s="126"/>
      <c r="AF45" s="126"/>
    </row>
    <row r="46" spans="1:32" s="27" customFormat="1" ht="15.75" customHeight="1" x14ac:dyDescent="0.2">
      <c r="A46" s="116"/>
      <c r="B46" s="333"/>
      <c r="C46" s="137"/>
      <c r="D46" s="722"/>
      <c r="E46" s="723"/>
      <c r="F46" s="723"/>
      <c r="G46" s="723"/>
      <c r="H46" s="723"/>
      <c r="I46" s="723"/>
      <c r="J46" s="723"/>
      <c r="K46" s="723"/>
      <c r="L46" s="723"/>
      <c r="M46" s="723"/>
      <c r="N46" s="723"/>
      <c r="O46" s="723"/>
      <c r="P46" s="724"/>
      <c r="Q46" s="138"/>
      <c r="R46" s="333"/>
      <c r="S46" s="131" t="s">
        <v>0</v>
      </c>
      <c r="T46" s="130"/>
      <c r="U46" s="130"/>
      <c r="V46" s="63"/>
      <c r="W46" s="63"/>
      <c r="X46" s="63"/>
      <c r="Y46" s="63"/>
      <c r="Z46" s="63"/>
      <c r="AA46" s="63"/>
      <c r="AB46" s="63"/>
      <c r="AC46" s="63"/>
      <c r="AD46" s="129"/>
      <c r="AE46" s="129"/>
      <c r="AF46" s="129"/>
    </row>
    <row r="47" spans="1:32" s="32" customFormat="1" ht="15.75" customHeight="1" x14ac:dyDescent="0.2">
      <c r="A47" s="115"/>
      <c r="B47" s="333"/>
      <c r="C47" s="232"/>
      <c r="D47" s="496" t="s">
        <v>57</v>
      </c>
      <c r="E47" s="392" t="s">
        <v>15</v>
      </c>
      <c r="F47" s="736" t="s">
        <v>16</v>
      </c>
      <c r="G47" s="736"/>
      <c r="H47" s="736"/>
      <c r="I47" s="736"/>
      <c r="J47" s="736"/>
      <c r="K47" s="736"/>
      <c r="L47" s="736"/>
      <c r="M47" s="736"/>
      <c r="N47" s="736"/>
      <c r="O47" s="736"/>
      <c r="P47" s="392" t="s">
        <v>17</v>
      </c>
      <c r="Q47" s="136"/>
      <c r="R47" s="333"/>
      <c r="S47" s="131"/>
      <c r="T47" s="130"/>
      <c r="U47" s="130"/>
      <c r="V47" s="128"/>
      <c r="W47" s="128"/>
      <c r="X47" s="128"/>
      <c r="Y47" s="128"/>
      <c r="Z47" s="128"/>
      <c r="AA47" s="128"/>
      <c r="AB47" s="128"/>
      <c r="AC47" s="128"/>
      <c r="AD47" s="126"/>
      <c r="AE47" s="126"/>
      <c r="AF47" s="126"/>
    </row>
    <row r="48" spans="1:32" s="27" customFormat="1" ht="15.75" customHeight="1" x14ac:dyDescent="0.2">
      <c r="A48" s="116"/>
      <c r="B48" s="333"/>
      <c r="C48" s="137"/>
      <c r="D48" s="540"/>
      <c r="E48" s="29" t="s">
        <v>217</v>
      </c>
      <c r="F48" s="70">
        <v>1</v>
      </c>
      <c r="G48" s="71">
        <v>2</v>
      </c>
      <c r="H48" s="72">
        <v>3</v>
      </c>
      <c r="I48" s="73">
        <v>4</v>
      </c>
      <c r="J48" s="74">
        <v>5</v>
      </c>
      <c r="K48" s="75">
        <v>6</v>
      </c>
      <c r="L48" s="76">
        <v>7</v>
      </c>
      <c r="M48" s="77">
        <v>8</v>
      </c>
      <c r="N48" s="78">
        <v>9</v>
      </c>
      <c r="O48" s="79">
        <v>10</v>
      </c>
      <c r="P48" s="31"/>
      <c r="Q48" s="138"/>
      <c r="R48" s="333"/>
      <c r="S48" s="132">
        <f>VLOOKUP($E48,R.VL_DEQResourcesInvolved,2,FALSE)</f>
        <v>0</v>
      </c>
      <c r="T48" s="120">
        <f>VLOOKUP($E48,R.VL_DEQResourcesInvolved,3,FALSE)</f>
        <v>0</v>
      </c>
      <c r="U48" s="120">
        <f>IF(S48=10,T48,VLOOKUP($E48,R.VL_DEQResourcesInvolved,4,FALSE))</f>
        <v>0</v>
      </c>
      <c r="V48" s="574" t="s">
        <v>542</v>
      </c>
      <c r="W48" s="63"/>
      <c r="X48" s="63"/>
      <c r="Y48" s="63"/>
      <c r="Z48" s="63"/>
      <c r="AA48" s="63"/>
      <c r="AB48" s="63"/>
      <c r="AC48" s="63"/>
      <c r="AD48" s="129"/>
      <c r="AE48" s="129"/>
      <c r="AF48" s="129"/>
    </row>
    <row r="49" spans="1:32" s="27" customFormat="1" ht="15.75" hidden="1" customHeight="1" outlineLevel="1" x14ac:dyDescent="0.2">
      <c r="A49" s="116"/>
      <c r="B49" s="333"/>
      <c r="C49" s="137"/>
      <c r="D49" s="540"/>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x14ac:dyDescent="0.2">
      <c r="A50" s="116"/>
      <c r="B50" s="333"/>
      <c r="C50" s="137"/>
      <c r="D50" s="540"/>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5.75" hidden="1" customHeight="1" outlineLevel="1" x14ac:dyDescent="0.2">
      <c r="A51" s="116"/>
      <c r="B51" s="333"/>
      <c r="C51" s="137"/>
      <c r="D51" s="540"/>
      <c r="E51" s="29" t="s">
        <v>217</v>
      </c>
      <c r="F51" s="70">
        <v>1</v>
      </c>
      <c r="G51" s="71">
        <v>2</v>
      </c>
      <c r="H51" s="72">
        <v>3</v>
      </c>
      <c r="I51" s="73">
        <v>4</v>
      </c>
      <c r="J51" s="74">
        <v>5</v>
      </c>
      <c r="K51" s="75">
        <v>6</v>
      </c>
      <c r="L51" s="76">
        <v>7</v>
      </c>
      <c r="M51" s="77">
        <v>8</v>
      </c>
      <c r="N51" s="78">
        <v>9</v>
      </c>
      <c r="O51" s="79">
        <v>10</v>
      </c>
      <c r="P51" s="31" t="s">
        <v>0</v>
      </c>
      <c r="Q51" s="138"/>
      <c r="R51" s="333"/>
      <c r="S51" s="132">
        <f>VLOOKUP($E51,R.VL_DEQResourcesInvolved,2,FALSE)</f>
        <v>0</v>
      </c>
      <c r="T51" s="120">
        <f>VLOOKUP($E51,R.VL_DEQResourcesInvolved,3,FALSE)</f>
        <v>0</v>
      </c>
      <c r="U51" s="120">
        <f>IF(S51=10,T51,VLOOKUP($E51,R.VL_DEQResourcesInvolved,4,FALSE))</f>
        <v>0</v>
      </c>
      <c r="V51" s="63"/>
      <c r="W51" s="63"/>
      <c r="X51" s="63"/>
      <c r="Y51" s="63"/>
      <c r="Z51" s="63"/>
      <c r="AA51" s="63"/>
      <c r="AB51" s="63"/>
      <c r="AC51" s="63"/>
      <c r="AD51" s="129"/>
      <c r="AE51" s="129"/>
      <c r="AF51" s="129"/>
    </row>
    <row r="52" spans="1:32" s="27" customFormat="1" ht="15.75" customHeight="1" collapsed="1" x14ac:dyDescent="0.2">
      <c r="A52" s="116"/>
      <c r="B52" s="333"/>
      <c r="C52" s="244"/>
      <c r="D52" s="441" t="s">
        <v>49</v>
      </c>
      <c r="E52" s="30"/>
      <c r="F52" s="30"/>
      <c r="G52" s="30"/>
      <c r="H52" s="30"/>
      <c r="I52" s="30"/>
      <c r="J52" s="30"/>
      <c r="K52" s="30"/>
      <c r="L52" s="30"/>
      <c r="M52" s="30"/>
      <c r="N52" s="30"/>
      <c r="O52" s="30"/>
      <c r="P52" s="30"/>
      <c r="Q52" s="142"/>
      <c r="R52" s="333"/>
      <c r="S52" s="227"/>
      <c r="T52" s="228"/>
      <c r="U52" s="228"/>
      <c r="V52" s="235"/>
      <c r="W52" s="235"/>
      <c r="X52" s="235"/>
      <c r="Y52" s="235"/>
      <c r="Z52" s="235"/>
      <c r="AA52" s="235"/>
      <c r="AB52" s="235"/>
      <c r="AC52" s="235"/>
      <c r="AD52" s="129"/>
      <c r="AE52" s="129"/>
      <c r="AF52" s="129"/>
    </row>
    <row r="53" spans="1:32" s="27" customFormat="1" ht="15.75" customHeight="1" x14ac:dyDescent="0.2">
      <c r="A53" s="116"/>
      <c r="B53" s="333"/>
      <c r="C53" s="137"/>
      <c r="D53" s="737"/>
      <c r="E53" s="738"/>
      <c r="F53" s="738"/>
      <c r="G53" s="738"/>
      <c r="H53" s="738"/>
      <c r="I53" s="738"/>
      <c r="J53" s="738"/>
      <c r="K53" s="738"/>
      <c r="L53" s="738"/>
      <c r="M53" s="738"/>
      <c r="N53" s="738"/>
      <c r="O53" s="738"/>
      <c r="P53" s="739"/>
      <c r="Q53" s="138"/>
      <c r="R53" s="333"/>
      <c r="S53" s="131" t="s">
        <v>0</v>
      </c>
      <c r="T53" s="130"/>
      <c r="U53" s="130"/>
      <c r="V53" s="63"/>
      <c r="W53" s="63"/>
      <c r="X53" s="63"/>
      <c r="Y53" s="63"/>
      <c r="Z53" s="63"/>
      <c r="AA53" s="63"/>
      <c r="AB53" s="63"/>
      <c r="AC53" s="63"/>
      <c r="AD53" s="129"/>
      <c r="AE53" s="129"/>
      <c r="AF53" s="129"/>
    </row>
    <row r="54" spans="1:32" s="202" customFormat="1" ht="15.75" customHeight="1" x14ac:dyDescent="0.25">
      <c r="A54" s="199"/>
      <c r="B54" s="333"/>
      <c r="C54" s="231"/>
      <c r="D54" s="441" t="s">
        <v>57</v>
      </c>
      <c r="E54" s="291" t="s">
        <v>15</v>
      </c>
      <c r="F54" s="752" t="s">
        <v>16</v>
      </c>
      <c r="G54" s="752"/>
      <c r="H54" s="752"/>
      <c r="I54" s="752"/>
      <c r="J54" s="752"/>
      <c r="K54" s="752"/>
      <c r="L54" s="752"/>
      <c r="M54" s="752"/>
      <c r="N54" s="752"/>
      <c r="O54" s="752"/>
      <c r="P54" s="291" t="s">
        <v>17</v>
      </c>
      <c r="Q54" s="136"/>
      <c r="R54" s="333"/>
      <c r="S54" s="203"/>
      <c r="T54" s="204"/>
      <c r="U54" s="204"/>
      <c r="V54" s="201"/>
      <c r="W54" s="201"/>
      <c r="X54" s="201"/>
      <c r="Y54" s="201"/>
      <c r="Z54" s="201"/>
      <c r="AA54" s="201"/>
      <c r="AB54" s="201"/>
      <c r="AC54" s="201"/>
      <c r="AD54" s="187"/>
      <c r="AE54" s="187"/>
      <c r="AF54" s="187"/>
    </row>
    <row r="55" spans="1:32" s="27" customFormat="1" ht="15.75" customHeight="1" x14ac:dyDescent="0.2">
      <c r="A55" s="116"/>
      <c r="B55" s="333"/>
      <c r="C55" s="137"/>
      <c r="D55" s="540"/>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74" t="s">
        <v>542</v>
      </c>
      <c r="W55" s="63"/>
      <c r="X55" s="63"/>
      <c r="Y55" s="63"/>
      <c r="Z55" s="63"/>
      <c r="AA55" s="63"/>
      <c r="AB55" s="63"/>
      <c r="AC55" s="63"/>
      <c r="AD55" s="129"/>
      <c r="AE55" s="129"/>
      <c r="AF55" s="129"/>
    </row>
    <row r="56" spans="1:32" s="27" customFormat="1" ht="15.75" hidden="1" customHeight="1" outlineLevel="1" x14ac:dyDescent="0.2">
      <c r="A56" s="116"/>
      <c r="B56" s="333"/>
      <c r="C56" s="137"/>
      <c r="D56" s="540"/>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x14ac:dyDescent="0.2">
      <c r="A57" s="116"/>
      <c r="B57" s="333"/>
      <c r="C57" s="137"/>
      <c r="D57" s="540"/>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5.75" hidden="1" customHeight="1" outlineLevel="1" x14ac:dyDescent="0.2">
      <c r="A58" s="116"/>
      <c r="B58" s="333"/>
      <c r="C58" s="137"/>
      <c r="D58" s="540"/>
      <c r="E58" s="29" t="s">
        <v>217</v>
      </c>
      <c r="F58" s="70">
        <v>1</v>
      </c>
      <c r="G58" s="71">
        <v>2</v>
      </c>
      <c r="H58" s="72">
        <v>3</v>
      </c>
      <c r="I58" s="73">
        <v>4</v>
      </c>
      <c r="J58" s="74">
        <v>5</v>
      </c>
      <c r="K58" s="75">
        <v>6</v>
      </c>
      <c r="L58" s="76">
        <v>7</v>
      </c>
      <c r="M58" s="77">
        <v>8</v>
      </c>
      <c r="N58" s="78">
        <v>9</v>
      </c>
      <c r="O58" s="79">
        <v>10</v>
      </c>
      <c r="P58" s="31" t="s">
        <v>0</v>
      </c>
      <c r="Q58" s="138"/>
      <c r="R58" s="333"/>
      <c r="S58" s="132">
        <f>VLOOKUP($E58,R.VL_DEQResourcesInvolved,2,FALSE)</f>
        <v>0</v>
      </c>
      <c r="T58" s="120">
        <f>VLOOKUP($E58,R.VL_DEQResourcesInvolved,3,FALSE)</f>
        <v>0</v>
      </c>
      <c r="U58" s="120">
        <f>IF(S58=10,T58,VLOOKUP($E58,R.VL_DEQResourcesInvolved,4,FALSE))</f>
        <v>0</v>
      </c>
      <c r="V58" s="63"/>
      <c r="W58" s="63"/>
      <c r="X58" s="63"/>
      <c r="Y58" s="63"/>
      <c r="Z58" s="63"/>
      <c r="AA58" s="63"/>
      <c r="AB58" s="63"/>
      <c r="AC58" s="63"/>
      <c r="AD58" s="129"/>
      <c r="AE58" s="129"/>
      <c r="AF58" s="129"/>
    </row>
    <row r="59" spans="1:32" s="27" customFormat="1" ht="14.25" customHeight="1" collapsed="1" x14ac:dyDescent="0.2">
      <c r="A59" s="116"/>
      <c r="B59" s="333"/>
      <c r="C59" s="375"/>
      <c r="D59" s="480"/>
      <c r="E59" s="742"/>
      <c r="F59" s="742"/>
      <c r="G59" s="742"/>
      <c r="H59" s="742"/>
      <c r="I59" s="742"/>
      <c r="J59" s="742"/>
      <c r="K59" s="742"/>
      <c r="L59" s="742"/>
      <c r="M59" s="742"/>
      <c r="N59" s="742"/>
      <c r="O59" s="742"/>
      <c r="P59" s="742"/>
      <c r="Q59" s="378"/>
      <c r="R59" s="333"/>
      <c r="S59" s="131"/>
      <c r="T59" s="130"/>
      <c r="U59" s="130"/>
      <c r="V59" s="63"/>
      <c r="W59" s="63"/>
      <c r="X59" s="63"/>
      <c r="Y59" s="63"/>
      <c r="Z59" s="63"/>
      <c r="AA59" s="63"/>
      <c r="AB59" s="63"/>
      <c r="AC59" s="63"/>
      <c r="AD59" s="129"/>
      <c r="AE59" s="129"/>
      <c r="AF59" s="129"/>
    </row>
    <row r="60" spans="1:32" s="28" customFormat="1" ht="30" customHeight="1" x14ac:dyDescent="0.3">
      <c r="A60" s="117"/>
      <c r="B60" s="333"/>
      <c r="C60" s="145"/>
      <c r="D60" s="642" t="str">
        <f>"Please suggest process improvements to the "&amp;D2&amp;" worksheet."</f>
        <v>Please suggest process improvements to the LEAD worksheet.</v>
      </c>
      <c r="E60" s="642"/>
      <c r="F60" s="83"/>
      <c r="G60" s="84"/>
      <c r="H60" s="85"/>
      <c r="I60" s="86"/>
      <c r="J60" s="87"/>
      <c r="K60" s="88"/>
      <c r="L60" s="89"/>
      <c r="M60" s="90"/>
      <c r="N60" s="91"/>
      <c r="O60" s="92"/>
      <c r="P60" s="38"/>
      <c r="Q60" s="146"/>
      <c r="R60" s="333"/>
      <c r="S60" s="133"/>
      <c r="T60" s="130"/>
      <c r="U60" s="130"/>
      <c r="V60" s="63"/>
      <c r="W60" s="63"/>
      <c r="X60" s="63"/>
      <c r="Y60" s="63"/>
      <c r="Z60" s="63"/>
      <c r="AA60" s="63"/>
      <c r="AB60" s="63"/>
      <c r="AC60" s="63"/>
      <c r="AD60" s="64"/>
      <c r="AE60" s="64"/>
      <c r="AF60" s="64"/>
    </row>
    <row r="61" spans="1:32" s="6" customFormat="1" ht="30.75" customHeight="1" x14ac:dyDescent="0.3">
      <c r="A61" s="349"/>
      <c r="B61" s="333"/>
      <c r="C61" s="135"/>
      <c r="D61" s="639"/>
      <c r="E61" s="640"/>
      <c r="F61" s="640"/>
      <c r="G61" s="640"/>
      <c r="H61" s="640"/>
      <c r="I61" s="640"/>
      <c r="J61" s="640"/>
      <c r="K61" s="640"/>
      <c r="L61" s="640"/>
      <c r="M61" s="640"/>
      <c r="N61" s="640"/>
      <c r="O61" s="640"/>
      <c r="P61" s="641"/>
      <c r="Q61" s="147"/>
      <c r="R61" s="333"/>
      <c r="S61" s="131"/>
      <c r="T61" s="130"/>
      <c r="U61" s="130"/>
      <c r="V61" s="63"/>
      <c r="W61" s="63"/>
      <c r="X61" s="63"/>
      <c r="Y61" s="63"/>
      <c r="Z61" s="63"/>
      <c r="AA61" s="63"/>
      <c r="AB61" s="63"/>
      <c r="AC61" s="63"/>
      <c r="AD61" s="65"/>
      <c r="AE61" s="65"/>
      <c r="AF61" s="65"/>
    </row>
    <row r="62" spans="1:32" ht="18" customHeight="1" x14ac:dyDescent="0.3">
      <c r="A62" s="349" t="s">
        <v>104</v>
      </c>
      <c r="B62" s="333"/>
      <c r="C62" s="148"/>
      <c r="D62" s="149"/>
      <c r="E62" s="149"/>
      <c r="F62" s="149"/>
      <c r="G62" s="149"/>
      <c r="H62" s="149"/>
      <c r="I62" s="149"/>
      <c r="J62" s="149"/>
      <c r="K62" s="149"/>
      <c r="L62" s="149"/>
      <c r="M62" s="149"/>
      <c r="N62" s="149"/>
      <c r="O62" s="149"/>
      <c r="P62" s="149"/>
      <c r="Q62" s="150"/>
      <c r="R62" s="333"/>
    </row>
    <row r="63" spans="1:32" s="63" customFormat="1" ht="14.25" x14ac:dyDescent="0.2">
      <c r="B63" s="333"/>
      <c r="C63" s="333"/>
      <c r="D63" s="333"/>
      <c r="E63" s="333"/>
      <c r="F63" s="333"/>
      <c r="G63" s="333"/>
      <c r="H63" s="333"/>
      <c r="I63" s="333"/>
      <c r="J63" s="333"/>
      <c r="K63" s="333"/>
      <c r="L63" s="333"/>
      <c r="M63" s="333"/>
      <c r="N63" s="333"/>
      <c r="O63" s="333"/>
      <c r="P63" s="333"/>
      <c r="Q63" s="333"/>
      <c r="R63" s="333"/>
      <c r="S63" s="112"/>
    </row>
    <row r="64" spans="1:32" s="63" customFormat="1" x14ac:dyDescent="0.3">
      <c r="C64" s="111"/>
      <c r="S64" s="112"/>
    </row>
    <row r="65" spans="3:19" s="63" customFormat="1" x14ac:dyDescent="0.3">
      <c r="C65" s="111"/>
      <c r="S65" s="112"/>
    </row>
    <row r="66" spans="3:19" s="63" customFormat="1" x14ac:dyDescent="0.3">
      <c r="C66" s="111"/>
      <c r="S66" s="112"/>
    </row>
    <row r="67" spans="3:19" s="63" customFormat="1" x14ac:dyDescent="0.3">
      <c r="C67" s="111"/>
      <c r="S67" s="112"/>
    </row>
    <row r="68" spans="3:19" s="63" customFormat="1" x14ac:dyDescent="0.3">
      <c r="C68" s="111"/>
      <c r="S68" s="112"/>
    </row>
    <row r="69" spans="3:19" s="63" customFormat="1" x14ac:dyDescent="0.3">
      <c r="C69" s="111"/>
      <c r="S69" s="112"/>
    </row>
    <row r="70" spans="3:19" s="63" customFormat="1" x14ac:dyDescent="0.3">
      <c r="C70" s="111"/>
      <c r="S70" s="112"/>
    </row>
    <row r="71" spans="3:19" s="63" customFormat="1" x14ac:dyDescent="0.3">
      <c r="C71" s="111"/>
      <c r="S71" s="112"/>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AG116"/>
  <sheetViews>
    <sheetView showGridLines="0" topLeftCell="A54" zoomScaleNormal="100" workbookViewId="0">
      <selection activeCell="E31" sqref="E31"/>
    </sheetView>
  </sheetViews>
  <sheetFormatPr defaultColWidth="9" defaultRowHeight="20.25" outlineLevelRow="1" outlineLevelCol="1" x14ac:dyDescent="0.3"/>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5.125" style="63" customWidth="1" collapsed="1"/>
    <col min="23" max="23" width="30.625" style="63" customWidth="1"/>
    <col min="24" max="24" width="18" style="63" customWidth="1"/>
    <col min="25" max="33" width="31.125" style="63" customWidth="1"/>
    <col min="34" max="16384" width="9" style="160"/>
  </cols>
  <sheetData>
    <row r="1" spans="1:33" s="63" customFormat="1" ht="20.25" customHeight="1" x14ac:dyDescent="0.2">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x14ac:dyDescent="0.25">
      <c r="A2" s="301"/>
      <c r="B2" s="333"/>
      <c r="C2" s="151">
        <v>14</v>
      </c>
      <c r="D2" s="152" t="s">
        <v>82</v>
      </c>
      <c r="E2" s="716" t="str">
        <f>R.1MediaAndLongName</f>
        <v>AQ GrantsPassLMP</v>
      </c>
      <c r="F2" s="716"/>
      <c r="G2" s="716"/>
      <c r="H2" s="716"/>
      <c r="I2" s="716"/>
      <c r="J2" s="716"/>
      <c r="K2" s="716"/>
      <c r="L2" s="716"/>
      <c r="M2" s="716"/>
      <c r="N2" s="716"/>
      <c r="O2" s="716"/>
      <c r="P2" s="716"/>
      <c r="Q2" s="153"/>
      <c r="R2" s="333"/>
      <c r="S2" s="118" t="str">
        <f>"R."&amp;$C$2&amp;"StaffCount"</f>
        <v>R.14StaffCount</v>
      </c>
      <c r="T2" s="118" t="str">
        <f>"R."&amp;$C$2&amp;"LowHrs"</f>
        <v>R.14LowHrs</v>
      </c>
      <c r="U2" s="348" t="str">
        <f>"R."&amp;$C$2&amp;"HighHrs"</f>
        <v>R.14HighHrs</v>
      </c>
      <c r="W2" s="119" t="s">
        <v>0</v>
      </c>
      <c r="X2" s="63"/>
      <c r="Y2" s="63"/>
      <c r="Z2" s="63"/>
      <c r="AA2" s="63"/>
      <c r="AB2" s="63"/>
      <c r="AC2" s="63"/>
      <c r="AD2" s="65"/>
      <c r="AE2" s="65"/>
      <c r="AF2" s="65"/>
      <c r="AG2" s="65"/>
    </row>
    <row r="3" spans="1:33" s="6" customFormat="1" ht="20.25" customHeight="1" thickTop="1" x14ac:dyDescent="0.3">
      <c r="A3" s="113"/>
      <c r="B3" s="333"/>
      <c r="C3" s="154"/>
      <c r="D3" s="95"/>
      <c r="E3" s="95"/>
      <c r="F3" s="12"/>
      <c r="G3" s="163"/>
      <c r="H3" s="163"/>
      <c r="I3" s="163"/>
      <c r="J3" s="96"/>
      <c r="K3" s="12"/>
      <c r="L3" s="12"/>
      <c r="M3" s="702" t="s">
        <v>54</v>
      </c>
      <c r="N3" s="702"/>
      <c r="O3" s="702"/>
      <c r="P3" s="702"/>
      <c r="Q3" s="155"/>
      <c r="R3" s="333"/>
      <c r="S3" s="120">
        <f>COUNTIFS(S15:S105,"&gt;0")</f>
        <v>2</v>
      </c>
      <c r="T3" s="123">
        <f>SUM(T15:T105)</f>
        <v>120</v>
      </c>
      <c r="U3" s="123">
        <f>SUM(U15:U105)</f>
        <v>250</v>
      </c>
      <c r="V3" s="119"/>
      <c r="W3" s="63"/>
      <c r="X3" s="63"/>
      <c r="Y3" s="63"/>
      <c r="Z3" s="63"/>
      <c r="AA3" s="63"/>
      <c r="AB3" s="63"/>
      <c r="AC3" s="63"/>
      <c r="AD3" s="65"/>
      <c r="AE3" s="65"/>
      <c r="AF3" s="65"/>
      <c r="AG3" s="65"/>
    </row>
    <row r="4" spans="1:33" s="6" customFormat="1" ht="20.25" customHeight="1" x14ac:dyDescent="0.3">
      <c r="A4" s="113"/>
      <c r="B4" s="333"/>
      <c r="C4" s="154"/>
      <c r="D4" s="493" t="s">
        <v>52</v>
      </c>
      <c r="E4" s="80">
        <f>S3</f>
        <v>2</v>
      </c>
      <c r="F4" s="703" t="s">
        <v>51</v>
      </c>
      <c r="G4" s="703"/>
      <c r="H4" s="703"/>
      <c r="I4" s="703"/>
      <c r="J4" s="703"/>
      <c r="K4" s="703"/>
      <c r="L4" s="703"/>
      <c r="M4" s="704" t="str">
        <f>S4</f>
        <v>120-250</v>
      </c>
      <c r="N4" s="704"/>
      <c r="O4" s="704"/>
      <c r="P4" s="704"/>
      <c r="Q4" s="155"/>
      <c r="R4" s="333"/>
      <c r="S4" s="121" t="str">
        <f>IF(R.14StaffCount=0,"0",IF(R.14LowHrs=0,"0-"&amp;TEXT(R.14HighHrs,"#,###"),TEXT(R.14LowHrs,"#,###")&amp;"-"&amp;TEXT(R.14HighHrs,"#,###")))</f>
        <v>120-250</v>
      </c>
      <c r="T4" s="118" t="str">
        <f>"R."&amp;$C$2&amp;"LowDollars"</f>
        <v>R.14LowDollars</v>
      </c>
      <c r="U4" s="348" t="str">
        <f>"R."&amp;$C$2&amp;"HighDollars"</f>
        <v>R.14HighDollars</v>
      </c>
      <c r="V4" s="119"/>
      <c r="W4" s="63"/>
      <c r="X4" s="63"/>
      <c r="Y4" s="63"/>
      <c r="Z4" s="63"/>
      <c r="AA4" s="63"/>
      <c r="AB4" s="63"/>
      <c r="AC4" s="63"/>
      <c r="AD4" s="65"/>
      <c r="AE4" s="65"/>
      <c r="AF4" s="65"/>
      <c r="AG4" s="65"/>
    </row>
    <row r="5" spans="1:33" s="6" customFormat="1" ht="20.25" customHeight="1" x14ac:dyDescent="0.3">
      <c r="A5" s="113"/>
      <c r="B5" s="333"/>
      <c r="C5" s="154"/>
      <c r="D5" s="493" t="s">
        <v>64</v>
      </c>
      <c r="E5" s="97">
        <f>R.AvgHrDEQCost</f>
        <v>58</v>
      </c>
      <c r="F5" s="703" t="s">
        <v>55</v>
      </c>
      <c r="G5" s="703"/>
      <c r="H5" s="703"/>
      <c r="I5" s="703"/>
      <c r="J5" s="703"/>
      <c r="K5" s="703"/>
      <c r="L5" s="703"/>
      <c r="M5" s="705" t="str">
        <f>S5</f>
        <v>$6,960-14,500</v>
      </c>
      <c r="N5" s="705"/>
      <c r="O5" s="705"/>
      <c r="P5" s="705"/>
      <c r="Q5" s="155"/>
      <c r="R5" s="333"/>
      <c r="S5" s="121" t="str">
        <f>IF(R.14StaffCount=0,"$0",IF(R.14LowDollars=0,"$0-"&amp;TEXT(R.14HighDollars,"#,###"),TEXT(R.14LowDollars,"$#,###")&amp;"-"&amp;TEXT(R.14HighDollars,"#,###")))</f>
        <v>$6,960-14,500</v>
      </c>
      <c r="T5" s="123">
        <f>T3*E5</f>
        <v>6960</v>
      </c>
      <c r="U5" s="123">
        <f>U3*E5</f>
        <v>14500</v>
      </c>
      <c r="V5" s="119"/>
      <c r="W5" s="63"/>
      <c r="X5" s="63"/>
      <c r="Y5" s="63"/>
      <c r="Z5" s="63"/>
      <c r="AA5" s="63"/>
      <c r="AB5" s="63"/>
      <c r="AC5" s="63"/>
      <c r="AD5" s="65"/>
      <c r="AE5" s="65"/>
      <c r="AF5" s="65"/>
      <c r="AG5" s="65"/>
    </row>
    <row r="6" spans="1:33" s="6" customFormat="1" ht="24.75" customHeight="1" x14ac:dyDescent="0.3">
      <c r="A6" s="113"/>
      <c r="B6" s="333"/>
      <c r="C6" s="154"/>
      <c r="D6" s="442" t="s">
        <v>26</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25.5" customHeight="1" x14ac:dyDescent="0.3">
      <c r="A7" s="315"/>
      <c r="B7" s="333"/>
      <c r="C7" s="154"/>
      <c r="D7" s="733" t="s">
        <v>580</v>
      </c>
      <c r="E7" s="734"/>
      <c r="F7" s="734"/>
      <c r="G7" s="734"/>
      <c r="H7" s="734"/>
      <c r="I7" s="734"/>
      <c r="J7" s="734"/>
      <c r="K7" s="734"/>
      <c r="L7" s="734"/>
      <c r="M7" s="734"/>
      <c r="N7" s="734"/>
      <c r="O7" s="734"/>
      <c r="P7" s="735"/>
      <c r="Q7" s="155"/>
      <c r="R7" s="333"/>
      <c r="S7" s="495">
        <f>AVERAGEIF(S14:S56,"&gt;0")</f>
        <v>3.5</v>
      </c>
      <c r="T7" s="492"/>
      <c r="U7" s="492"/>
      <c r="V7" s="119"/>
      <c r="W7" s="435"/>
      <c r="X7" s="435"/>
      <c r="Y7" s="435"/>
      <c r="Z7" s="435"/>
      <c r="AA7" s="435"/>
      <c r="AB7" s="435"/>
      <c r="AC7" s="435"/>
      <c r="AD7" s="65"/>
      <c r="AE7" s="65"/>
      <c r="AF7" s="65"/>
    </row>
    <row r="8" spans="1:33" s="6" customFormat="1" ht="20.25" customHeight="1" x14ac:dyDescent="0.3">
      <c r="A8" s="315"/>
      <c r="B8" s="333"/>
      <c r="C8" s="154"/>
      <c r="D8" s="751" t="s">
        <v>489</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x14ac:dyDescent="0.2">
      <c r="A9" s="344"/>
      <c r="B9" s="439"/>
      <c r="C9" s="137"/>
      <c r="D9" s="748" t="s">
        <v>0</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14.25" customHeight="1" x14ac:dyDescent="0.2">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218" customFormat="1" ht="30" customHeight="1" x14ac:dyDescent="0.25">
      <c r="A11" s="349" t="s">
        <v>109</v>
      </c>
      <c r="B11" s="333"/>
      <c r="C11" s="484" t="s">
        <v>0</v>
      </c>
      <c r="D11" s="303" t="s">
        <v>126</v>
      </c>
      <c r="E11" s="246"/>
      <c r="F11" s="246"/>
      <c r="G11" s="246"/>
      <c r="H11" s="246"/>
      <c r="I11" s="246"/>
      <c r="J11" s="246"/>
      <c r="K11" s="246"/>
      <c r="L11" s="246"/>
      <c r="M11" s="246"/>
      <c r="N11" s="246"/>
      <c r="O11" s="246"/>
      <c r="P11" s="246"/>
      <c r="Q11" s="243"/>
      <c r="R11" s="333"/>
      <c r="S11" s="226"/>
      <c r="T11" s="215"/>
      <c r="U11" s="215"/>
      <c r="V11" s="217"/>
      <c r="W11" s="217"/>
      <c r="X11" s="217"/>
      <c r="Y11" s="217"/>
      <c r="Z11" s="217"/>
      <c r="AA11" s="217"/>
      <c r="AB11" s="217"/>
      <c r="AC11" s="217"/>
      <c r="AD11" s="215"/>
      <c r="AE11" s="215"/>
      <c r="AF11" s="215"/>
      <c r="AG11" s="215"/>
    </row>
    <row r="12" spans="1:33" s="32" customFormat="1" ht="14.25" customHeight="1" x14ac:dyDescent="0.2">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15.75" customHeight="1" x14ac:dyDescent="0.2">
      <c r="A13" s="116"/>
      <c r="B13" s="333"/>
      <c r="C13" s="137"/>
      <c r="D13" s="722" t="s">
        <v>0</v>
      </c>
      <c r="E13" s="723"/>
      <c r="F13" s="723"/>
      <c r="G13" s="723"/>
      <c r="H13" s="723"/>
      <c r="I13" s="723"/>
      <c r="J13" s="723"/>
      <c r="K13" s="723"/>
      <c r="L13" s="723"/>
      <c r="M13" s="723"/>
      <c r="N13" s="723"/>
      <c r="O13" s="723"/>
      <c r="P13" s="724"/>
      <c r="Q13" s="138"/>
      <c r="R13" s="333"/>
      <c r="S13" s="130"/>
      <c r="T13" s="129"/>
      <c r="U13" s="129"/>
      <c r="V13" s="63"/>
      <c r="W13" s="63"/>
      <c r="Y13" s="63"/>
      <c r="Z13" s="63"/>
      <c r="AA13" s="63"/>
      <c r="AB13" s="63"/>
      <c r="AC13" s="63"/>
      <c r="AD13" s="129"/>
      <c r="AE13" s="129"/>
      <c r="AF13" s="129"/>
      <c r="AG13" s="129"/>
    </row>
    <row r="14" spans="1:33" s="32" customFormat="1" ht="14.25" customHeight="1" x14ac:dyDescent="0.2">
      <c r="A14" s="115"/>
      <c r="B14" s="333"/>
      <c r="C14" s="232"/>
      <c r="D14" s="496" t="s">
        <v>57</v>
      </c>
      <c r="E14" s="392" t="s">
        <v>15</v>
      </c>
      <c r="F14" s="736" t="s">
        <v>16</v>
      </c>
      <c r="G14" s="736"/>
      <c r="H14" s="736"/>
      <c r="I14" s="736"/>
      <c r="J14" s="736"/>
      <c r="K14" s="736"/>
      <c r="L14" s="736"/>
      <c r="M14" s="736"/>
      <c r="N14" s="736"/>
      <c r="O14" s="736"/>
      <c r="P14" s="392" t="s">
        <v>17</v>
      </c>
      <c r="Q14" s="136"/>
      <c r="R14" s="333"/>
      <c r="S14" s="227"/>
      <c r="T14" s="228"/>
      <c r="U14" s="228"/>
      <c r="V14" s="229"/>
      <c r="W14" s="229"/>
      <c r="Y14" s="229"/>
      <c r="Z14" s="229"/>
      <c r="AA14" s="229"/>
      <c r="AB14" s="229"/>
      <c r="AC14" s="229"/>
      <c r="AD14" s="126"/>
      <c r="AE14" s="126"/>
      <c r="AF14" s="126"/>
      <c r="AG14" s="126"/>
    </row>
    <row r="15" spans="1:33" s="27" customFormat="1" ht="15.75" customHeight="1" x14ac:dyDescent="0.2">
      <c r="A15" s="116"/>
      <c r="B15" s="333"/>
      <c r="C15" s="137"/>
      <c r="D15" s="35"/>
      <c r="E15" s="29" t="s">
        <v>217</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4" t="s">
        <v>542</v>
      </c>
      <c r="W15" s="63"/>
      <c r="Y15" s="63"/>
      <c r="Z15" s="63"/>
      <c r="AA15" s="63"/>
      <c r="AB15" s="63"/>
      <c r="AC15" s="63"/>
      <c r="AD15" s="129"/>
      <c r="AE15" s="129"/>
      <c r="AF15" s="129"/>
      <c r="AG15" s="129"/>
    </row>
    <row r="16" spans="1:33" s="27" customFormat="1" ht="15.75" hidden="1" customHeight="1" outlineLevel="1" x14ac:dyDescent="0.2">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Y16" s="63"/>
      <c r="Z16" s="63"/>
      <c r="AA16" s="63"/>
      <c r="AB16" s="63"/>
      <c r="AC16" s="63"/>
      <c r="AD16" s="129"/>
      <c r="AE16" s="129"/>
      <c r="AF16" s="129"/>
      <c r="AG16" s="129"/>
    </row>
    <row r="17" spans="1:33" s="27" customFormat="1" ht="15.75" hidden="1" customHeight="1" outlineLevel="1" x14ac:dyDescent="0.2">
      <c r="A17" s="1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Y17" s="63"/>
      <c r="Z17" s="63"/>
      <c r="AA17" s="63"/>
      <c r="AB17" s="63"/>
      <c r="AC17" s="63"/>
      <c r="AD17" s="129"/>
      <c r="AE17" s="129"/>
      <c r="AF17" s="129"/>
      <c r="AG17" s="129"/>
    </row>
    <row r="18" spans="1:33" s="27" customFormat="1" ht="15.75" hidden="1" customHeight="1" outlineLevel="1" x14ac:dyDescent="0.2">
      <c r="A18" s="1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5.75" customHeight="1" collapsed="1" x14ac:dyDescent="0.2">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c r="AG19" s="129"/>
    </row>
    <row r="20" spans="1:33" s="27" customFormat="1" ht="15.75" customHeight="1" x14ac:dyDescent="0.2">
      <c r="A20" s="116"/>
      <c r="B20" s="333"/>
      <c r="C20" s="137"/>
      <c r="D20" s="737"/>
      <c r="E20" s="738"/>
      <c r="F20" s="738"/>
      <c r="G20" s="738"/>
      <c r="H20" s="738"/>
      <c r="I20" s="738"/>
      <c r="J20" s="738"/>
      <c r="K20" s="738"/>
      <c r="L20" s="738"/>
      <c r="M20" s="738"/>
      <c r="N20" s="738"/>
      <c r="O20" s="738"/>
      <c r="P20" s="739"/>
      <c r="Q20" s="138"/>
      <c r="R20" s="333"/>
      <c r="S20" s="131" t="s">
        <v>0</v>
      </c>
      <c r="T20" s="130"/>
      <c r="U20" s="130"/>
      <c r="V20" s="63"/>
      <c r="W20" s="63"/>
      <c r="X20" s="63"/>
      <c r="Y20" s="63"/>
      <c r="Z20" s="63"/>
      <c r="AA20" s="63"/>
      <c r="AB20" s="63"/>
      <c r="AC20" s="63"/>
      <c r="AD20" s="129"/>
      <c r="AE20" s="129"/>
      <c r="AF20" s="129"/>
      <c r="AG20" s="129"/>
    </row>
    <row r="21" spans="1:33" s="32" customFormat="1" ht="15.75" customHeight="1" x14ac:dyDescent="0.2">
      <c r="A21" s="115"/>
      <c r="B21" s="333"/>
      <c r="C21" s="231"/>
      <c r="D21" s="441" t="s">
        <v>57</v>
      </c>
      <c r="E21" s="291" t="s">
        <v>15</v>
      </c>
      <c r="F21" s="752" t="s">
        <v>16</v>
      </c>
      <c r="G21" s="752"/>
      <c r="H21" s="752"/>
      <c r="I21" s="752"/>
      <c r="J21" s="752"/>
      <c r="K21" s="752"/>
      <c r="L21" s="752"/>
      <c r="M21" s="752"/>
      <c r="N21" s="752"/>
      <c r="O21" s="752"/>
      <c r="P21" s="291" t="s">
        <v>17</v>
      </c>
      <c r="Q21" s="136"/>
      <c r="R21" s="333"/>
      <c r="S21" s="227"/>
      <c r="T21" s="228"/>
      <c r="U21" s="228"/>
      <c r="V21" s="229"/>
      <c r="W21" s="229"/>
      <c r="X21" s="229"/>
      <c r="Y21" s="229"/>
      <c r="Z21" s="229"/>
      <c r="AA21" s="229"/>
      <c r="AB21" s="229"/>
      <c r="AC21" s="229"/>
      <c r="AD21" s="126"/>
      <c r="AE21" s="126"/>
      <c r="AF21" s="126"/>
      <c r="AG21" s="126"/>
    </row>
    <row r="22" spans="1:33" s="27" customFormat="1" ht="15.75" customHeight="1" x14ac:dyDescent="0.2">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c r="AG22" s="129"/>
    </row>
    <row r="23" spans="1:33" s="27" customFormat="1" ht="15.75" hidden="1" customHeight="1" outlineLevel="1" x14ac:dyDescent="0.2">
      <c r="A23" s="1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15.75" hidden="1" customHeight="1" outlineLevel="1" x14ac:dyDescent="0.2">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15.75" hidden="1" customHeight="1" outlineLevel="1" x14ac:dyDescent="0.2">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x14ac:dyDescent="0.2">
      <c r="A26" s="116"/>
      <c r="B26" s="333"/>
      <c r="C26" s="143"/>
      <c r="D26" s="100"/>
      <c r="E26" s="741"/>
      <c r="F26" s="741"/>
      <c r="G26" s="741"/>
      <c r="H26" s="741"/>
      <c r="I26" s="741"/>
      <c r="J26" s="741"/>
      <c r="K26" s="741"/>
      <c r="L26" s="741"/>
      <c r="M26" s="741"/>
      <c r="N26" s="741"/>
      <c r="O26" s="741"/>
      <c r="P26" s="741"/>
      <c r="Q26" s="144"/>
      <c r="R26" s="333"/>
      <c r="S26" s="131"/>
      <c r="T26" s="130"/>
      <c r="U26" s="130"/>
      <c r="V26" s="63"/>
      <c r="W26" s="63"/>
      <c r="X26" s="63"/>
      <c r="Y26" s="63"/>
      <c r="Z26" s="63"/>
      <c r="AA26" s="63"/>
      <c r="AB26" s="63"/>
      <c r="AC26" s="63"/>
      <c r="AD26" s="129"/>
      <c r="AE26" s="129"/>
      <c r="AF26" s="129"/>
      <c r="AG26" s="129"/>
    </row>
    <row r="27" spans="1:33" s="32" customFormat="1" ht="30" customHeight="1" x14ac:dyDescent="0.3">
      <c r="A27" s="349" t="s">
        <v>110</v>
      </c>
      <c r="B27" s="333"/>
      <c r="C27" s="135"/>
      <c r="D27" s="305" t="s">
        <v>127</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c r="AG27" s="126"/>
    </row>
    <row r="28" spans="1:33" s="32" customFormat="1" ht="14.25" customHeight="1" x14ac:dyDescent="0.3">
      <c r="A28" s="115"/>
      <c r="B28" s="333"/>
      <c r="C28" s="135"/>
      <c r="D28" s="442" t="s">
        <v>50</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c r="AG28" s="126"/>
    </row>
    <row r="29" spans="1:33" s="27" customFormat="1" ht="15.75" customHeight="1" x14ac:dyDescent="0.2">
      <c r="A29" s="116"/>
      <c r="B29" s="333"/>
      <c r="C29" s="137"/>
      <c r="D29" s="722" t="s">
        <v>603</v>
      </c>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c r="AG29" s="129"/>
    </row>
    <row r="30" spans="1:33" s="32" customFormat="1" ht="14.25" customHeight="1" x14ac:dyDescent="0.2">
      <c r="A30" s="115"/>
      <c r="B30" s="333"/>
      <c r="C30" s="231"/>
      <c r="D30" s="441" t="s">
        <v>57</v>
      </c>
      <c r="E30" s="291" t="s">
        <v>15</v>
      </c>
      <c r="F30" s="752" t="s">
        <v>16</v>
      </c>
      <c r="G30" s="752"/>
      <c r="H30" s="752"/>
      <c r="I30" s="752"/>
      <c r="J30" s="752"/>
      <c r="K30" s="752"/>
      <c r="L30" s="752"/>
      <c r="M30" s="752"/>
      <c r="N30" s="752"/>
      <c r="O30" s="752"/>
      <c r="P30" s="291" t="s">
        <v>17</v>
      </c>
      <c r="Q30" s="136"/>
      <c r="R30" s="333"/>
      <c r="S30" s="227"/>
      <c r="T30" s="228"/>
      <c r="U30" s="228"/>
      <c r="V30" s="229"/>
      <c r="W30" s="229"/>
      <c r="X30" s="229"/>
      <c r="Y30" s="229"/>
      <c r="Z30" s="229"/>
      <c r="AA30" s="229"/>
      <c r="AB30" s="229"/>
      <c r="AC30" s="229"/>
      <c r="AD30" s="126"/>
      <c r="AE30" s="126"/>
      <c r="AF30" s="126"/>
      <c r="AG30" s="126"/>
    </row>
    <row r="31" spans="1:33" s="27" customFormat="1" ht="15.75" customHeight="1" x14ac:dyDescent="0.2">
      <c r="A31" s="116"/>
      <c r="B31" s="333"/>
      <c r="C31" s="137"/>
      <c r="D31" s="35" t="s">
        <v>600</v>
      </c>
      <c r="E31" s="29" t="s">
        <v>221</v>
      </c>
      <c r="F31" s="70">
        <v>1</v>
      </c>
      <c r="G31" s="71">
        <v>2</v>
      </c>
      <c r="H31" s="72">
        <v>3</v>
      </c>
      <c r="I31" s="73">
        <v>4</v>
      </c>
      <c r="J31" s="74">
        <v>5</v>
      </c>
      <c r="K31" s="75">
        <v>6</v>
      </c>
      <c r="L31" s="76">
        <v>7</v>
      </c>
      <c r="M31" s="77">
        <v>8</v>
      </c>
      <c r="N31" s="78">
        <v>9</v>
      </c>
      <c r="O31" s="79">
        <v>10</v>
      </c>
      <c r="P31" s="31" t="s">
        <v>0</v>
      </c>
      <c r="Q31" s="138"/>
      <c r="R31" s="333"/>
      <c r="S31" s="132">
        <f>VLOOKUP($E31,R.VL_DEQResourcesInvolved,2,FALSE)</f>
        <v>3</v>
      </c>
      <c r="T31" s="120">
        <f>VLOOKUP($E31,R.VL_DEQResourcesInvolved,3,FALSE)</f>
        <v>40</v>
      </c>
      <c r="U31" s="120">
        <f>IF(S31=10,T31,VLOOKUP($E31,R.VL_DEQResourcesInvolved,4,FALSE))</f>
        <v>80</v>
      </c>
      <c r="V31" s="574" t="s">
        <v>542</v>
      </c>
      <c r="W31" s="63"/>
      <c r="X31" s="63"/>
      <c r="Y31" s="63"/>
      <c r="Z31" s="63"/>
      <c r="AA31" s="63"/>
      <c r="AB31" s="63"/>
      <c r="AC31" s="63"/>
      <c r="AD31" s="129"/>
      <c r="AE31" s="129"/>
      <c r="AF31" s="129"/>
      <c r="AG31" s="129"/>
    </row>
    <row r="32" spans="1:33" s="27" customFormat="1" ht="15.75" hidden="1" customHeight="1" outlineLevel="1" x14ac:dyDescent="0.2">
      <c r="A32" s="1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15.75" hidden="1" customHeight="1" outlineLevel="1" x14ac:dyDescent="0.2">
      <c r="A33" s="116"/>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15.75" hidden="1" customHeight="1" outlineLevel="1" x14ac:dyDescent="0.2">
      <c r="A34" s="116"/>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107" t="s">
        <v>0</v>
      </c>
      <c r="X34" s="63"/>
      <c r="Y34" s="63"/>
      <c r="Z34" s="63"/>
      <c r="AA34" s="63"/>
      <c r="AB34" s="63"/>
      <c r="AC34" s="63"/>
      <c r="AD34" s="129"/>
      <c r="AE34" s="129"/>
      <c r="AF34" s="129"/>
      <c r="AG34" s="129"/>
    </row>
    <row r="35" spans="1:33" s="27" customFormat="1" ht="14.25" customHeight="1" collapsed="1" x14ac:dyDescent="0.2">
      <c r="A35" s="116"/>
      <c r="B35" s="333"/>
      <c r="C35" s="244"/>
      <c r="D35" s="442" t="s">
        <v>49</v>
      </c>
      <c r="E35" s="30"/>
      <c r="F35" s="30"/>
      <c r="G35" s="30"/>
      <c r="H35" s="30"/>
      <c r="I35" s="30"/>
      <c r="J35" s="30"/>
      <c r="K35" s="30"/>
      <c r="L35" s="30"/>
      <c r="M35" s="30"/>
      <c r="N35" s="30"/>
      <c r="O35" s="30"/>
      <c r="P35" s="30"/>
      <c r="Q35" s="142"/>
      <c r="R35" s="333"/>
      <c r="S35" s="227"/>
      <c r="T35" s="228"/>
      <c r="U35" s="228"/>
      <c r="V35" s="235"/>
      <c r="W35" s="107" t="s">
        <v>0</v>
      </c>
      <c r="X35" s="235"/>
      <c r="Y35" s="235"/>
      <c r="Z35" s="235"/>
      <c r="AA35" s="235"/>
      <c r="AB35" s="235"/>
      <c r="AC35" s="235"/>
      <c r="AD35" s="129"/>
      <c r="AE35" s="129"/>
      <c r="AF35" s="129"/>
      <c r="AG35" s="129"/>
    </row>
    <row r="36" spans="1:33" s="27" customFormat="1" ht="15.75" customHeight="1" x14ac:dyDescent="0.2">
      <c r="A36" s="116"/>
      <c r="B36" s="333"/>
      <c r="C36" s="137"/>
      <c r="D36" s="727"/>
      <c r="E36" s="728"/>
      <c r="F36" s="728"/>
      <c r="G36" s="728"/>
      <c r="H36" s="728"/>
      <c r="I36" s="728"/>
      <c r="J36" s="728"/>
      <c r="K36" s="728"/>
      <c r="L36" s="728"/>
      <c r="M36" s="728"/>
      <c r="N36" s="728"/>
      <c r="O36" s="728"/>
      <c r="P36" s="729"/>
      <c r="Q36" s="138"/>
      <c r="R36" s="333"/>
      <c r="S36" s="131" t="s">
        <v>0</v>
      </c>
      <c r="T36" s="130"/>
      <c r="U36" s="130"/>
      <c r="V36" s="63"/>
      <c r="W36" s="107" t="s">
        <v>0</v>
      </c>
      <c r="X36" s="63"/>
      <c r="Y36" s="63"/>
      <c r="Z36" s="63"/>
      <c r="AA36" s="63"/>
      <c r="AB36" s="63"/>
      <c r="AC36" s="63"/>
      <c r="AD36" s="129"/>
      <c r="AE36" s="129"/>
      <c r="AF36" s="129"/>
      <c r="AG36" s="129"/>
    </row>
    <row r="37" spans="1:33" s="202" customFormat="1" ht="15.75" customHeight="1" x14ac:dyDescent="0.25">
      <c r="A37" s="199"/>
      <c r="B37" s="333"/>
      <c r="C37" s="231"/>
      <c r="D37" s="196" t="s">
        <v>0</v>
      </c>
      <c r="E37" s="291" t="s">
        <v>15</v>
      </c>
      <c r="F37" s="752" t="s">
        <v>16</v>
      </c>
      <c r="G37" s="752"/>
      <c r="H37" s="752"/>
      <c r="I37" s="752"/>
      <c r="J37" s="752"/>
      <c r="K37" s="752"/>
      <c r="L37" s="752"/>
      <c r="M37" s="752"/>
      <c r="N37" s="752"/>
      <c r="O37" s="752"/>
      <c r="P37" s="291" t="s">
        <v>17</v>
      </c>
      <c r="Q37" s="136"/>
      <c r="R37" s="333"/>
      <c r="S37" s="203"/>
      <c r="T37" s="204"/>
      <c r="U37" s="204"/>
      <c r="V37" s="201"/>
      <c r="W37" s="225" t="s">
        <v>0</v>
      </c>
      <c r="X37" s="201"/>
      <c r="Y37" s="201"/>
      <c r="Z37" s="201"/>
      <c r="AA37" s="201"/>
      <c r="AB37" s="201"/>
      <c r="AC37" s="201"/>
      <c r="AD37" s="187"/>
      <c r="AE37" s="187"/>
      <c r="AF37" s="187"/>
      <c r="AG37" s="187"/>
    </row>
    <row r="38" spans="1:33" s="27" customFormat="1" ht="15.75" customHeight="1" x14ac:dyDescent="0.2">
      <c r="A38" s="116"/>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c r="AG38" s="129"/>
    </row>
    <row r="39" spans="1:33" s="27" customFormat="1" ht="15.75" hidden="1" customHeight="1" outlineLevel="1" x14ac:dyDescent="0.2">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15.75" hidden="1" customHeight="1" outlineLevel="1" x14ac:dyDescent="0.2">
      <c r="A40" s="1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15.75" hidden="1" customHeight="1" outlineLevel="1" x14ac:dyDescent="0.2">
      <c r="A41" s="1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x14ac:dyDescent="0.2">
      <c r="A42" s="116"/>
      <c r="B42" s="333"/>
      <c r="C42" s="375"/>
      <c r="D42" s="480"/>
      <c r="E42" s="742"/>
      <c r="F42" s="742"/>
      <c r="G42" s="742"/>
      <c r="H42" s="742"/>
      <c r="I42" s="742"/>
      <c r="J42" s="742"/>
      <c r="K42" s="742"/>
      <c r="L42" s="742"/>
      <c r="M42" s="742"/>
      <c r="N42" s="742"/>
      <c r="O42" s="742"/>
      <c r="P42" s="742"/>
      <c r="Q42" s="378"/>
      <c r="R42" s="333"/>
      <c r="S42" s="131"/>
      <c r="T42" s="130"/>
      <c r="U42" s="130"/>
      <c r="V42" s="63"/>
      <c r="W42" s="63"/>
      <c r="X42" s="63"/>
      <c r="Y42" s="63"/>
      <c r="Z42" s="63"/>
      <c r="AA42" s="63"/>
      <c r="AB42" s="63"/>
      <c r="AC42" s="63"/>
      <c r="AD42" s="129"/>
      <c r="AE42" s="129"/>
      <c r="AF42" s="129"/>
      <c r="AG42" s="129"/>
    </row>
    <row r="43" spans="1:33" s="32" customFormat="1" ht="30" customHeight="1" x14ac:dyDescent="0.25">
      <c r="A43" s="300"/>
      <c r="B43" s="333"/>
      <c r="C43" s="391" t="s">
        <v>0</v>
      </c>
      <c r="D43" s="380" t="s">
        <v>128</v>
      </c>
      <c r="E43" s="385"/>
      <c r="F43" s="385"/>
      <c r="G43" s="385"/>
      <c r="H43" s="385"/>
      <c r="I43" s="385"/>
      <c r="J43" s="385"/>
      <c r="K43" s="385"/>
      <c r="L43" s="385"/>
      <c r="M43" s="385"/>
      <c r="N43" s="385"/>
      <c r="O43" s="385"/>
      <c r="P43" s="385"/>
      <c r="Q43" s="387"/>
      <c r="R43" s="333"/>
      <c r="S43" s="133"/>
      <c r="T43" s="130" t="s">
        <v>0</v>
      </c>
      <c r="U43" s="130"/>
      <c r="V43" s="128"/>
      <c r="W43" s="128"/>
      <c r="X43" s="128"/>
      <c r="Y43" s="128"/>
      <c r="Z43" s="128"/>
      <c r="AA43" s="128"/>
      <c r="AB43" s="128"/>
      <c r="AC43" s="128"/>
      <c r="AD43" s="126"/>
      <c r="AE43" s="126"/>
      <c r="AF43" s="126"/>
      <c r="AG43" s="126"/>
    </row>
    <row r="44" spans="1:33" s="32" customFormat="1" ht="14.25" customHeight="1" x14ac:dyDescent="0.2">
      <c r="A44" s="300"/>
      <c r="B44" s="333"/>
      <c r="C44" s="231"/>
      <c r="D44" s="442" t="s">
        <v>50</v>
      </c>
      <c r="E44" s="93"/>
      <c r="F44" s="93"/>
      <c r="G44" s="93"/>
      <c r="H44" s="93"/>
      <c r="I44" s="93"/>
      <c r="J44" s="93"/>
      <c r="K44" s="93"/>
      <c r="L44" s="93"/>
      <c r="M44" s="93"/>
      <c r="N44" s="93"/>
      <c r="O44" s="93"/>
      <c r="P44" s="93"/>
      <c r="Q44" s="136"/>
      <c r="R44" s="333"/>
      <c r="S44" s="133"/>
      <c r="T44" s="130"/>
      <c r="U44" s="130"/>
      <c r="V44" s="128"/>
      <c r="W44" s="128"/>
      <c r="X44" s="128"/>
      <c r="Y44" s="128"/>
      <c r="Z44" s="128"/>
      <c r="AA44" s="128"/>
      <c r="AB44" s="128"/>
      <c r="AC44" s="128"/>
      <c r="AD44" s="126"/>
      <c r="AE44" s="126"/>
      <c r="AF44" s="126"/>
      <c r="AG44" s="126"/>
    </row>
    <row r="45" spans="1:33" s="27" customFormat="1" ht="15.75" customHeight="1" x14ac:dyDescent="0.2">
      <c r="A45" s="116"/>
      <c r="B45" s="333"/>
      <c r="C45" s="137"/>
      <c r="D45" s="722" t="s">
        <v>601</v>
      </c>
      <c r="E45" s="723"/>
      <c r="F45" s="723"/>
      <c r="G45" s="723"/>
      <c r="H45" s="723"/>
      <c r="I45" s="723"/>
      <c r="J45" s="723"/>
      <c r="K45" s="723"/>
      <c r="L45" s="723"/>
      <c r="M45" s="723"/>
      <c r="N45" s="723"/>
      <c r="O45" s="723"/>
      <c r="P45" s="724"/>
      <c r="Q45" s="138"/>
      <c r="R45" s="333"/>
      <c r="S45" s="131" t="s">
        <v>0</v>
      </c>
      <c r="T45" s="130"/>
      <c r="U45" s="130"/>
      <c r="V45" s="63"/>
      <c r="W45" s="63"/>
      <c r="X45" s="63"/>
      <c r="Y45" s="63"/>
      <c r="Z45" s="63"/>
      <c r="AA45" s="63"/>
      <c r="AB45" s="63"/>
      <c r="AC45" s="63"/>
      <c r="AD45" s="129"/>
      <c r="AE45" s="129"/>
      <c r="AF45" s="129"/>
      <c r="AG45" s="129"/>
    </row>
    <row r="46" spans="1:33" s="32" customFormat="1" ht="15.75" customHeight="1" x14ac:dyDescent="0.2">
      <c r="A46" s="115"/>
      <c r="B46" s="333"/>
      <c r="C46" s="232"/>
      <c r="D46" s="496" t="s">
        <v>57</v>
      </c>
      <c r="E46" s="392" t="s">
        <v>15</v>
      </c>
      <c r="F46" s="736" t="s">
        <v>16</v>
      </c>
      <c r="G46" s="736"/>
      <c r="H46" s="736"/>
      <c r="I46" s="736"/>
      <c r="J46" s="736"/>
      <c r="K46" s="736"/>
      <c r="L46" s="736"/>
      <c r="M46" s="736"/>
      <c r="N46" s="736"/>
      <c r="O46" s="736"/>
      <c r="P46" s="392" t="s">
        <v>17</v>
      </c>
      <c r="Q46" s="136"/>
      <c r="R46" s="333"/>
      <c r="S46" s="227"/>
      <c r="T46" s="228"/>
      <c r="U46" s="228"/>
      <c r="V46" s="229"/>
      <c r="W46" s="229"/>
      <c r="X46" s="229"/>
      <c r="Y46" s="229"/>
      <c r="Z46" s="229"/>
      <c r="AA46" s="229"/>
      <c r="AB46" s="229"/>
      <c r="AC46" s="229"/>
      <c r="AD46" s="126"/>
      <c r="AE46" s="126"/>
      <c r="AF46" s="126"/>
      <c r="AG46" s="126"/>
    </row>
    <row r="47" spans="1:33" s="27" customFormat="1" ht="15.75" customHeight="1" x14ac:dyDescent="0.2">
      <c r="A47" s="116"/>
      <c r="B47" s="333"/>
      <c r="C47" s="137"/>
      <c r="D47" s="35" t="s">
        <v>602</v>
      </c>
      <c r="E47" s="29" t="s">
        <v>222</v>
      </c>
      <c r="F47" s="70">
        <v>1</v>
      </c>
      <c r="G47" s="71">
        <v>2</v>
      </c>
      <c r="H47" s="72">
        <v>3</v>
      </c>
      <c r="I47" s="73">
        <v>4</v>
      </c>
      <c r="J47" s="74">
        <v>5</v>
      </c>
      <c r="K47" s="75">
        <v>6</v>
      </c>
      <c r="L47" s="76">
        <v>7</v>
      </c>
      <c r="M47" s="77">
        <v>8</v>
      </c>
      <c r="N47" s="78">
        <v>9</v>
      </c>
      <c r="O47" s="79">
        <v>10</v>
      </c>
      <c r="P47" s="31" t="s">
        <v>0</v>
      </c>
      <c r="Q47" s="138"/>
      <c r="R47" s="333"/>
      <c r="S47" s="132">
        <f>VLOOKUP($E47,R.VL_DEQResourcesInvolved,2,FALSE)</f>
        <v>4</v>
      </c>
      <c r="T47" s="120">
        <f>VLOOKUP($E47,R.VL_DEQResourcesInvolved,3,FALSE)</f>
        <v>80</v>
      </c>
      <c r="U47" s="120">
        <f>IF(S47=10,T47,VLOOKUP($E47,R.VL_DEQResourcesInvolved,4,FALSE))</f>
        <v>170</v>
      </c>
      <c r="V47" s="574" t="s">
        <v>542</v>
      </c>
      <c r="W47" s="63"/>
      <c r="X47" s="63"/>
      <c r="Y47" s="63"/>
      <c r="Z47" s="63"/>
      <c r="AA47" s="63"/>
      <c r="AB47" s="63"/>
      <c r="AC47" s="63"/>
      <c r="AD47" s="129"/>
      <c r="AE47" s="129"/>
      <c r="AF47" s="129"/>
      <c r="AG47" s="129"/>
    </row>
    <row r="48" spans="1:33" s="27" customFormat="1" ht="15.75" hidden="1" customHeight="1" outlineLevel="1" x14ac:dyDescent="0.2">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15.75" hidden="1" customHeight="1" outlineLevel="1" x14ac:dyDescent="0.2">
      <c r="A49" s="1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15.75" hidden="1" customHeight="1" outlineLevel="1" x14ac:dyDescent="0.2">
      <c r="A50" s="1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5.75" customHeight="1" collapsed="1" x14ac:dyDescent="0.2">
      <c r="A51" s="1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c r="AG51" s="129"/>
    </row>
    <row r="52" spans="1:33" s="27" customFormat="1" ht="15.75" customHeight="1" x14ac:dyDescent="0.2">
      <c r="A52" s="116"/>
      <c r="B52" s="333"/>
      <c r="C52" s="137"/>
      <c r="D52" s="737"/>
      <c r="E52" s="738"/>
      <c r="F52" s="738"/>
      <c r="G52" s="738"/>
      <c r="H52" s="738"/>
      <c r="I52" s="738"/>
      <c r="J52" s="738"/>
      <c r="K52" s="738"/>
      <c r="L52" s="738"/>
      <c r="M52" s="738"/>
      <c r="N52" s="738"/>
      <c r="O52" s="738"/>
      <c r="P52" s="739"/>
      <c r="Q52" s="138"/>
      <c r="R52" s="333"/>
      <c r="S52" s="131" t="s">
        <v>0</v>
      </c>
      <c r="T52" s="130"/>
      <c r="U52" s="130"/>
      <c r="V52" s="63"/>
      <c r="W52" s="63"/>
      <c r="X52" s="63"/>
      <c r="Y52" s="63"/>
      <c r="Z52" s="63"/>
      <c r="AA52" s="63"/>
      <c r="AB52" s="63"/>
      <c r="AC52" s="63"/>
      <c r="AD52" s="129"/>
      <c r="AE52" s="129"/>
      <c r="AF52" s="129"/>
      <c r="AG52" s="129"/>
    </row>
    <row r="53" spans="1:33" s="32" customFormat="1" ht="15.75" customHeight="1" x14ac:dyDescent="0.2">
      <c r="A53" s="115"/>
      <c r="B53" s="333"/>
      <c r="C53" s="231"/>
      <c r="D53" s="441" t="s">
        <v>57</v>
      </c>
      <c r="E53" s="291" t="s">
        <v>15</v>
      </c>
      <c r="F53" s="752" t="s">
        <v>16</v>
      </c>
      <c r="G53" s="752"/>
      <c r="H53" s="752"/>
      <c r="I53" s="752"/>
      <c r="J53" s="752"/>
      <c r="K53" s="752"/>
      <c r="L53" s="752"/>
      <c r="M53" s="752"/>
      <c r="N53" s="752"/>
      <c r="O53" s="752"/>
      <c r="P53" s="291" t="s">
        <v>17</v>
      </c>
      <c r="Q53" s="136"/>
      <c r="R53" s="333"/>
      <c r="S53" s="227"/>
      <c r="T53" s="228"/>
      <c r="U53" s="228"/>
      <c r="V53" s="229"/>
      <c r="W53" s="229"/>
      <c r="X53" s="229"/>
      <c r="Y53" s="229"/>
      <c r="Z53" s="229"/>
      <c r="AA53" s="229"/>
      <c r="AB53" s="229"/>
      <c r="AC53" s="229"/>
      <c r="AD53" s="126"/>
      <c r="AE53" s="126"/>
      <c r="AF53" s="126"/>
      <c r="AG53" s="126"/>
    </row>
    <row r="54" spans="1:33" s="27" customFormat="1" ht="15.75" customHeight="1" x14ac:dyDescent="0.2">
      <c r="A54" s="116"/>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c r="AG54" s="129"/>
    </row>
    <row r="55" spans="1:33" s="27" customFormat="1" ht="15.75" hidden="1" customHeight="1" outlineLevel="1" x14ac:dyDescent="0.2">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15.75" hidden="1" customHeight="1" outlineLevel="1" x14ac:dyDescent="0.2">
      <c r="A56" s="1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15.75" hidden="1" customHeight="1" outlineLevel="1" x14ac:dyDescent="0.2">
      <c r="A57" s="1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x14ac:dyDescent="0.2">
      <c r="A58" s="116"/>
      <c r="B58" s="333"/>
      <c r="C58" s="375"/>
      <c r="D58" s="480"/>
      <c r="E58" s="742"/>
      <c r="F58" s="742"/>
      <c r="G58" s="742"/>
      <c r="H58" s="742"/>
      <c r="I58" s="742"/>
      <c r="J58" s="742"/>
      <c r="K58" s="742"/>
      <c r="L58" s="742"/>
      <c r="M58" s="742"/>
      <c r="N58" s="742"/>
      <c r="O58" s="742"/>
      <c r="P58" s="742"/>
      <c r="Q58" s="378"/>
      <c r="R58" s="333"/>
      <c r="S58" s="131"/>
      <c r="T58" s="130"/>
      <c r="U58" s="130"/>
      <c r="V58" s="63"/>
      <c r="W58" s="63"/>
      <c r="X58" s="63"/>
      <c r="Y58" s="63"/>
      <c r="Z58" s="63"/>
      <c r="AA58" s="63"/>
      <c r="AB58" s="63"/>
      <c r="AC58" s="63"/>
      <c r="AD58" s="129"/>
      <c r="AE58" s="129"/>
      <c r="AF58" s="129"/>
      <c r="AG58" s="129"/>
    </row>
    <row r="59" spans="1:33" s="32" customFormat="1" ht="30" customHeight="1" x14ac:dyDescent="0.3">
      <c r="A59" s="349" t="s">
        <v>111</v>
      </c>
      <c r="B59" s="333"/>
      <c r="C59" s="135"/>
      <c r="D59" s="303" t="s">
        <v>129</v>
      </c>
      <c r="E59" s="301"/>
      <c r="F59" s="93"/>
      <c r="G59" s="93"/>
      <c r="H59" s="93"/>
      <c r="I59" s="93"/>
      <c r="J59" s="93"/>
      <c r="K59" s="93"/>
      <c r="L59" s="93"/>
      <c r="M59" s="93"/>
      <c r="N59" s="93"/>
      <c r="O59" s="93"/>
      <c r="P59" s="93"/>
      <c r="Q59" s="136"/>
      <c r="R59" s="333"/>
      <c r="S59" s="133"/>
      <c r="T59" s="130"/>
      <c r="U59" s="130"/>
      <c r="V59" s="128"/>
      <c r="W59" s="128"/>
      <c r="X59" s="128"/>
      <c r="Y59" s="128"/>
      <c r="Z59" s="128"/>
      <c r="AA59" s="128"/>
      <c r="AB59" s="128"/>
      <c r="AC59" s="128"/>
      <c r="AD59" s="126"/>
      <c r="AE59" s="126"/>
      <c r="AF59" s="126"/>
      <c r="AG59" s="126"/>
    </row>
    <row r="60" spans="1:33" s="32" customFormat="1" ht="14.25" customHeight="1" x14ac:dyDescent="0.3">
      <c r="A60" s="115"/>
      <c r="B60" s="333"/>
      <c r="C60" s="135"/>
      <c r="D60" s="442" t="s">
        <v>50</v>
      </c>
      <c r="E60" s="93"/>
      <c r="F60" s="93"/>
      <c r="G60" s="93"/>
      <c r="H60" s="93"/>
      <c r="I60" s="93"/>
      <c r="J60" s="93"/>
      <c r="K60" s="93"/>
      <c r="L60" s="93"/>
      <c r="M60" s="93"/>
      <c r="N60" s="93"/>
      <c r="O60" s="93"/>
      <c r="P60" s="93"/>
      <c r="Q60" s="136"/>
      <c r="R60" s="333"/>
      <c r="S60" s="133"/>
      <c r="T60" s="130"/>
      <c r="U60" s="130"/>
      <c r="V60" s="128"/>
      <c r="W60" s="128"/>
      <c r="X60" s="128"/>
      <c r="Y60" s="128"/>
      <c r="Z60" s="128"/>
      <c r="AA60" s="128"/>
      <c r="AB60" s="128"/>
      <c r="AC60" s="128"/>
      <c r="AD60" s="126"/>
      <c r="AE60" s="126"/>
      <c r="AF60" s="126"/>
      <c r="AG60" s="126"/>
    </row>
    <row r="61" spans="1:33" s="27" customFormat="1" ht="15.75" customHeight="1" x14ac:dyDescent="0.2">
      <c r="A61" s="116"/>
      <c r="B61" s="333"/>
      <c r="C61" s="137"/>
      <c r="D61" s="754"/>
      <c r="E61" s="755"/>
      <c r="F61" s="755"/>
      <c r="G61" s="755"/>
      <c r="H61" s="755"/>
      <c r="I61" s="755"/>
      <c r="J61" s="755"/>
      <c r="K61" s="755"/>
      <c r="L61" s="755"/>
      <c r="M61" s="755"/>
      <c r="N61" s="755"/>
      <c r="O61" s="755"/>
      <c r="P61" s="756"/>
      <c r="Q61" s="138"/>
      <c r="R61" s="333"/>
      <c r="S61" s="131" t="s">
        <v>0</v>
      </c>
      <c r="T61" s="130"/>
      <c r="U61" s="130"/>
      <c r="V61" s="63"/>
      <c r="W61" s="63"/>
      <c r="X61" s="63"/>
      <c r="Y61" s="63"/>
      <c r="Z61" s="63"/>
      <c r="AA61" s="63"/>
      <c r="AB61" s="63"/>
      <c r="AC61" s="63"/>
      <c r="AD61" s="129"/>
      <c r="AE61" s="129"/>
      <c r="AF61" s="129"/>
      <c r="AG61" s="129"/>
    </row>
    <row r="62" spans="1:33" s="32" customFormat="1" ht="15.75" customHeight="1" x14ac:dyDescent="0.2">
      <c r="A62" s="115"/>
      <c r="B62" s="333"/>
      <c r="C62" s="231"/>
      <c r="D62" s="441" t="s">
        <v>57</v>
      </c>
      <c r="E62" s="291" t="s">
        <v>15</v>
      </c>
      <c r="F62" s="752" t="s">
        <v>16</v>
      </c>
      <c r="G62" s="752"/>
      <c r="H62" s="752"/>
      <c r="I62" s="752"/>
      <c r="J62" s="752"/>
      <c r="K62" s="752"/>
      <c r="L62" s="752"/>
      <c r="M62" s="752"/>
      <c r="N62" s="752"/>
      <c r="O62" s="752"/>
      <c r="P62" s="291" t="s">
        <v>17</v>
      </c>
      <c r="Q62" s="136"/>
      <c r="R62" s="333"/>
      <c r="S62" s="227"/>
      <c r="T62" s="228"/>
      <c r="U62" s="228"/>
      <c r="V62" s="229"/>
      <c r="W62" s="229"/>
      <c r="X62" s="229"/>
      <c r="Y62" s="229"/>
      <c r="Z62" s="229"/>
      <c r="AA62" s="229"/>
      <c r="AB62" s="229"/>
      <c r="AC62" s="229"/>
      <c r="AD62" s="126"/>
      <c r="AE62" s="126"/>
      <c r="AF62" s="126"/>
      <c r="AG62" s="126"/>
    </row>
    <row r="63" spans="1:33" s="27" customFormat="1" ht="15.75" customHeight="1" x14ac:dyDescent="0.2">
      <c r="A63" s="116"/>
      <c r="B63" s="333"/>
      <c r="C63" s="137"/>
      <c r="D63" s="35"/>
      <c r="E63" s="29" t="s">
        <v>217</v>
      </c>
      <c r="F63" s="70">
        <v>1</v>
      </c>
      <c r="G63" s="71">
        <v>2</v>
      </c>
      <c r="H63" s="72">
        <v>3</v>
      </c>
      <c r="I63" s="73">
        <v>4</v>
      </c>
      <c r="J63" s="74">
        <v>5</v>
      </c>
      <c r="K63" s="75">
        <v>6</v>
      </c>
      <c r="L63" s="76">
        <v>7</v>
      </c>
      <c r="M63" s="77">
        <v>8</v>
      </c>
      <c r="N63" s="78">
        <v>9</v>
      </c>
      <c r="O63" s="79">
        <v>10</v>
      </c>
      <c r="P63" s="31"/>
      <c r="Q63" s="138"/>
      <c r="R63" s="333"/>
      <c r="S63" s="132">
        <f>VLOOKUP($E63,R.VL_DEQResourcesInvolved,2,FALSE)</f>
        <v>0</v>
      </c>
      <c r="T63" s="120">
        <f>VLOOKUP($E63,R.VL_DEQResourcesInvolved,3,FALSE)</f>
        <v>0</v>
      </c>
      <c r="U63" s="120">
        <f>IF(S63=10,T63,VLOOKUP($E63,R.VL_DEQResourcesInvolved,4,FALSE))</f>
        <v>0</v>
      </c>
      <c r="V63" s="574" t="s">
        <v>542</v>
      </c>
      <c r="W63" s="63"/>
      <c r="X63" s="63"/>
      <c r="Y63" s="63"/>
      <c r="Z63" s="63"/>
      <c r="AA63" s="63"/>
      <c r="AB63" s="63"/>
      <c r="AC63" s="63"/>
      <c r="AD63" s="129"/>
      <c r="AE63" s="129"/>
      <c r="AF63" s="129"/>
      <c r="AG63" s="129"/>
    </row>
    <row r="64" spans="1:33" s="27" customFormat="1" ht="15.75" hidden="1" customHeight="1" outlineLevel="1" x14ac:dyDescent="0.2">
      <c r="A64" s="116"/>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15.75" hidden="1" customHeight="1" outlineLevel="1" x14ac:dyDescent="0.2">
      <c r="A65" s="116"/>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15.75" hidden="1" customHeight="1" outlineLevel="1" x14ac:dyDescent="0.2">
      <c r="A66" s="116"/>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5.75" customHeight="1" collapsed="1" x14ac:dyDescent="0.2">
      <c r="A67" s="116"/>
      <c r="B67" s="333"/>
      <c r="C67" s="244"/>
      <c r="D67" s="442" t="s">
        <v>49</v>
      </c>
      <c r="E67" s="30"/>
      <c r="F67" s="30"/>
      <c r="G67" s="30"/>
      <c r="H67" s="30"/>
      <c r="I67" s="30"/>
      <c r="J67" s="30"/>
      <c r="K67" s="30"/>
      <c r="L67" s="30"/>
      <c r="M67" s="30"/>
      <c r="N67" s="30"/>
      <c r="O67" s="30"/>
      <c r="P67" s="30"/>
      <c r="Q67" s="142"/>
      <c r="R67" s="333"/>
      <c r="S67" s="227"/>
      <c r="T67" s="228"/>
      <c r="U67" s="228"/>
      <c r="V67" s="235"/>
      <c r="W67" s="235"/>
      <c r="X67" s="235"/>
      <c r="Y67" s="235"/>
      <c r="Z67" s="235"/>
      <c r="AA67" s="235"/>
      <c r="AB67" s="235"/>
      <c r="AC67" s="235"/>
      <c r="AD67" s="129"/>
      <c r="AE67" s="129"/>
      <c r="AF67" s="129"/>
      <c r="AG67" s="129"/>
    </row>
    <row r="68" spans="1:33" s="27" customFormat="1" ht="15.75" customHeight="1" x14ac:dyDescent="0.2">
      <c r="A68" s="116"/>
      <c r="B68" s="333"/>
      <c r="C68" s="137"/>
      <c r="D68" s="727"/>
      <c r="E68" s="728"/>
      <c r="F68" s="728"/>
      <c r="G68" s="728"/>
      <c r="H68" s="728"/>
      <c r="I68" s="728"/>
      <c r="J68" s="728"/>
      <c r="K68" s="728"/>
      <c r="L68" s="728"/>
      <c r="M68" s="728"/>
      <c r="N68" s="728"/>
      <c r="O68" s="728"/>
      <c r="P68" s="729"/>
      <c r="Q68" s="138"/>
      <c r="R68" s="333"/>
      <c r="S68" s="131" t="s">
        <v>0</v>
      </c>
      <c r="T68" s="130"/>
      <c r="U68" s="130"/>
      <c r="V68" s="63"/>
      <c r="W68" s="63"/>
      <c r="X68" s="63"/>
      <c r="Y68" s="63"/>
      <c r="Z68" s="63"/>
      <c r="AA68" s="63"/>
      <c r="AB68" s="63"/>
      <c r="AC68" s="63"/>
      <c r="AD68" s="129"/>
      <c r="AE68" s="129"/>
      <c r="AF68" s="129"/>
      <c r="AG68" s="129"/>
    </row>
    <row r="69" spans="1:33" s="32" customFormat="1" ht="15.75" customHeight="1" x14ac:dyDescent="0.2">
      <c r="A69" s="115"/>
      <c r="B69" s="333"/>
      <c r="C69" s="231"/>
      <c r="D69" s="441" t="s">
        <v>57</v>
      </c>
      <c r="E69" s="291" t="s">
        <v>15</v>
      </c>
      <c r="F69" s="752" t="s">
        <v>16</v>
      </c>
      <c r="G69" s="752"/>
      <c r="H69" s="752"/>
      <c r="I69" s="752"/>
      <c r="J69" s="752"/>
      <c r="K69" s="752"/>
      <c r="L69" s="752"/>
      <c r="M69" s="752"/>
      <c r="N69" s="752"/>
      <c r="O69" s="752"/>
      <c r="P69" s="291" t="s">
        <v>17</v>
      </c>
      <c r="Q69" s="136"/>
      <c r="R69" s="333"/>
      <c r="S69" s="227"/>
      <c r="T69" s="228"/>
      <c r="U69" s="228"/>
      <c r="V69" s="229"/>
      <c r="W69" s="229"/>
      <c r="X69" s="229"/>
      <c r="Y69" s="229"/>
      <c r="Z69" s="229"/>
      <c r="AA69" s="229"/>
      <c r="AB69" s="229"/>
      <c r="AC69" s="229"/>
      <c r="AD69" s="126"/>
      <c r="AE69" s="126"/>
      <c r="AF69" s="126"/>
      <c r="AG69" s="126"/>
    </row>
    <row r="70" spans="1:33" s="27" customFormat="1" ht="15.75" customHeight="1" x14ac:dyDescent="0.2">
      <c r="A70" s="116"/>
      <c r="B70" s="333"/>
      <c r="C70" s="137"/>
      <c r="D70" s="35"/>
      <c r="E70" s="29" t="s">
        <v>217</v>
      </c>
      <c r="F70" s="70">
        <v>1</v>
      </c>
      <c r="G70" s="71">
        <v>2</v>
      </c>
      <c r="H70" s="72">
        <v>3</v>
      </c>
      <c r="I70" s="73">
        <v>4</v>
      </c>
      <c r="J70" s="74">
        <v>5</v>
      </c>
      <c r="K70" s="75">
        <v>6</v>
      </c>
      <c r="L70" s="76">
        <v>7</v>
      </c>
      <c r="M70" s="77">
        <v>8</v>
      </c>
      <c r="N70" s="78">
        <v>9</v>
      </c>
      <c r="O70" s="79">
        <v>10</v>
      </c>
      <c r="P70" s="31"/>
      <c r="Q70" s="138"/>
      <c r="R70" s="333"/>
      <c r="S70" s="132">
        <f>VLOOKUP($E70,R.VL_DEQResourcesInvolved,2,FALSE)</f>
        <v>0</v>
      </c>
      <c r="T70" s="120">
        <f>VLOOKUP($E70,R.VL_DEQResourcesInvolved,3,FALSE)</f>
        <v>0</v>
      </c>
      <c r="U70" s="120">
        <f>IF(S70=10,T70,VLOOKUP($E70,R.VL_DEQResourcesInvolved,4,FALSE))</f>
        <v>0</v>
      </c>
      <c r="V70" s="574" t="s">
        <v>542</v>
      </c>
      <c r="W70" s="63"/>
      <c r="X70" s="63"/>
      <c r="Y70" s="63"/>
      <c r="Z70" s="63"/>
      <c r="AA70" s="63"/>
      <c r="AB70" s="63"/>
      <c r="AC70" s="63"/>
      <c r="AD70" s="129"/>
      <c r="AE70" s="129"/>
      <c r="AF70" s="129"/>
      <c r="AG70" s="129"/>
    </row>
    <row r="71" spans="1:33" s="27" customFormat="1" ht="15.75" hidden="1" customHeight="1" outlineLevel="1" x14ac:dyDescent="0.2">
      <c r="A71" s="116"/>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15.75" hidden="1" customHeight="1" outlineLevel="1" x14ac:dyDescent="0.2">
      <c r="A72" s="116"/>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15.75" hidden="1" customHeight="1" outlineLevel="1" x14ac:dyDescent="0.2">
      <c r="A73" s="116"/>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collapsed="1" x14ac:dyDescent="0.2">
      <c r="A74" s="116"/>
      <c r="B74" s="333"/>
      <c r="C74" s="375"/>
      <c r="D74" s="480"/>
      <c r="E74" s="742"/>
      <c r="F74" s="742"/>
      <c r="G74" s="742"/>
      <c r="H74" s="742"/>
      <c r="I74" s="742"/>
      <c r="J74" s="742"/>
      <c r="K74" s="742"/>
      <c r="L74" s="742"/>
      <c r="M74" s="742"/>
      <c r="N74" s="742"/>
      <c r="O74" s="742"/>
      <c r="P74" s="742"/>
      <c r="Q74" s="378"/>
      <c r="R74" s="333"/>
      <c r="S74" s="131"/>
      <c r="T74" s="130"/>
      <c r="U74" s="130"/>
      <c r="V74" s="63"/>
      <c r="W74" s="63"/>
      <c r="X74" s="63"/>
      <c r="Y74" s="63"/>
      <c r="Z74" s="63"/>
      <c r="AA74" s="63"/>
      <c r="AB74" s="63"/>
      <c r="AC74" s="63"/>
      <c r="AD74" s="129"/>
      <c r="AE74" s="129"/>
      <c r="AF74" s="129"/>
      <c r="AG74" s="129"/>
    </row>
    <row r="75" spans="1:33" s="32" customFormat="1" ht="30" customHeight="1" x14ac:dyDescent="0.25">
      <c r="A75" s="349" t="s">
        <v>112</v>
      </c>
      <c r="B75" s="333"/>
      <c r="C75" s="391" t="s">
        <v>0</v>
      </c>
      <c r="D75" s="380" t="s">
        <v>130</v>
      </c>
      <c r="E75" s="385"/>
      <c r="F75" s="385"/>
      <c r="G75" s="385"/>
      <c r="H75" s="385"/>
      <c r="I75" s="385"/>
      <c r="J75" s="385"/>
      <c r="K75" s="385"/>
      <c r="L75" s="385"/>
      <c r="M75" s="385"/>
      <c r="N75" s="385"/>
      <c r="O75" s="385"/>
      <c r="P75" s="385"/>
      <c r="Q75" s="387"/>
      <c r="R75" s="333"/>
      <c r="S75" s="133"/>
      <c r="T75" s="130" t="s">
        <v>0</v>
      </c>
      <c r="U75" s="130"/>
      <c r="V75" s="128"/>
      <c r="W75" s="128"/>
      <c r="X75" s="128"/>
      <c r="Y75" s="128"/>
      <c r="Z75" s="128"/>
      <c r="AA75" s="128"/>
      <c r="AB75" s="128"/>
      <c r="AC75" s="128"/>
      <c r="AD75" s="126"/>
      <c r="AE75" s="126"/>
      <c r="AF75" s="126"/>
      <c r="AG75" s="126"/>
    </row>
    <row r="76" spans="1:33" s="32" customFormat="1" ht="14.25" customHeight="1" x14ac:dyDescent="0.2">
      <c r="A76" s="115"/>
      <c r="B76" s="333"/>
      <c r="C76" s="231"/>
      <c r="D76" s="442" t="s">
        <v>50</v>
      </c>
      <c r="E76" s="93"/>
      <c r="F76" s="93"/>
      <c r="G76" s="93"/>
      <c r="H76" s="93"/>
      <c r="I76" s="93"/>
      <c r="J76" s="93"/>
      <c r="K76" s="93"/>
      <c r="L76" s="93"/>
      <c r="M76" s="93"/>
      <c r="N76" s="93"/>
      <c r="O76" s="93"/>
      <c r="P76" s="93"/>
      <c r="Q76" s="136"/>
      <c r="R76" s="333"/>
      <c r="S76" s="234"/>
      <c r="T76" s="228"/>
      <c r="U76" s="228"/>
      <c r="V76" s="229"/>
      <c r="W76" s="229"/>
      <c r="X76" s="229"/>
      <c r="Y76" s="229"/>
      <c r="Z76" s="229"/>
      <c r="AA76" s="229"/>
      <c r="AB76" s="229"/>
      <c r="AC76" s="229"/>
      <c r="AD76" s="126"/>
      <c r="AE76" s="126"/>
      <c r="AF76" s="126"/>
      <c r="AG76" s="126"/>
    </row>
    <row r="77" spans="1:33" s="27" customFormat="1" ht="15.75" customHeight="1" x14ac:dyDescent="0.2">
      <c r="A77" s="116"/>
      <c r="B77" s="333"/>
      <c r="C77" s="137"/>
      <c r="D77" s="722"/>
      <c r="E77" s="723"/>
      <c r="F77" s="723"/>
      <c r="G77" s="723"/>
      <c r="H77" s="723"/>
      <c r="I77" s="723"/>
      <c r="J77" s="723"/>
      <c r="K77" s="723"/>
      <c r="L77" s="723"/>
      <c r="M77" s="723"/>
      <c r="N77" s="723"/>
      <c r="O77" s="723"/>
      <c r="P77" s="724"/>
      <c r="Q77" s="138"/>
      <c r="R77" s="333"/>
      <c r="S77" s="131" t="s">
        <v>0</v>
      </c>
      <c r="T77" s="130"/>
      <c r="U77" s="130"/>
      <c r="V77" s="63"/>
      <c r="W77" s="63"/>
      <c r="X77" s="63"/>
      <c r="Y77" s="63"/>
      <c r="Z77" s="63"/>
      <c r="AA77" s="63"/>
      <c r="AB77" s="63"/>
      <c r="AC77" s="63"/>
      <c r="AD77" s="129"/>
      <c r="AE77" s="129"/>
      <c r="AF77" s="129"/>
      <c r="AG77" s="129"/>
    </row>
    <row r="78" spans="1:33" s="32" customFormat="1" ht="15.75" customHeight="1" x14ac:dyDescent="0.2">
      <c r="A78" s="115"/>
      <c r="B78" s="333"/>
      <c r="C78" s="232"/>
      <c r="D78" s="496" t="s">
        <v>57</v>
      </c>
      <c r="E78" s="392" t="s">
        <v>15</v>
      </c>
      <c r="F78" s="736" t="s">
        <v>16</v>
      </c>
      <c r="G78" s="736"/>
      <c r="H78" s="736"/>
      <c r="I78" s="736"/>
      <c r="J78" s="736"/>
      <c r="K78" s="736"/>
      <c r="L78" s="736"/>
      <c r="M78" s="736"/>
      <c r="N78" s="736"/>
      <c r="O78" s="736"/>
      <c r="P78" s="392" t="s">
        <v>17</v>
      </c>
      <c r="Q78" s="136"/>
      <c r="R78" s="333"/>
      <c r="S78" s="227"/>
      <c r="T78" s="228"/>
      <c r="U78" s="228"/>
      <c r="V78" s="229"/>
      <c r="W78" s="229"/>
      <c r="X78" s="229"/>
      <c r="Y78" s="229"/>
      <c r="Z78" s="229"/>
      <c r="AA78" s="229"/>
      <c r="AB78" s="229"/>
      <c r="AC78" s="229"/>
      <c r="AD78" s="126"/>
      <c r="AE78" s="126"/>
      <c r="AF78" s="126"/>
      <c r="AG78" s="126"/>
    </row>
    <row r="79" spans="1:33" s="27" customFormat="1" ht="15.75" customHeight="1" x14ac:dyDescent="0.2">
      <c r="A79" s="116"/>
      <c r="B79" s="333"/>
      <c r="C79" s="137"/>
      <c r="D79" s="35"/>
      <c r="E79" s="29" t="s">
        <v>217</v>
      </c>
      <c r="F79" s="70">
        <v>1</v>
      </c>
      <c r="G79" s="71">
        <v>2</v>
      </c>
      <c r="H79" s="72">
        <v>3</v>
      </c>
      <c r="I79" s="73">
        <v>4</v>
      </c>
      <c r="J79" s="74">
        <v>5</v>
      </c>
      <c r="K79" s="75">
        <v>6</v>
      </c>
      <c r="L79" s="76">
        <v>7</v>
      </c>
      <c r="M79" s="77">
        <v>8</v>
      </c>
      <c r="N79" s="78">
        <v>9</v>
      </c>
      <c r="O79" s="79">
        <v>10</v>
      </c>
      <c r="P79" s="31"/>
      <c r="Q79" s="138"/>
      <c r="R79" s="333"/>
      <c r="S79" s="132">
        <f>VLOOKUP($E79,R.VL_DEQResourcesInvolved,2,FALSE)</f>
        <v>0</v>
      </c>
      <c r="T79" s="120">
        <f>VLOOKUP($E79,R.VL_DEQResourcesInvolved,3,FALSE)</f>
        <v>0</v>
      </c>
      <c r="U79" s="120">
        <f>IF(S79=10,T79,VLOOKUP($E79,R.VL_DEQResourcesInvolved,4,FALSE))</f>
        <v>0</v>
      </c>
      <c r="V79" s="574" t="s">
        <v>542</v>
      </c>
      <c r="W79" s="63"/>
      <c r="X79" s="63"/>
      <c r="Y79" s="63"/>
      <c r="Z79" s="63"/>
      <c r="AA79" s="63"/>
      <c r="AB79" s="63"/>
      <c r="AC79" s="63"/>
      <c r="AD79" s="129"/>
      <c r="AE79" s="129"/>
      <c r="AF79" s="129"/>
      <c r="AG79" s="129"/>
    </row>
    <row r="80" spans="1:33" s="27" customFormat="1" ht="15.75" hidden="1" customHeight="1" outlineLevel="1" x14ac:dyDescent="0.2">
      <c r="A80" s="116"/>
      <c r="B80" s="333"/>
      <c r="C80" s="137"/>
      <c r="D80" s="35" t="s">
        <v>0</v>
      </c>
      <c r="E80" s="29" t="s">
        <v>217</v>
      </c>
      <c r="F80" s="70">
        <v>1</v>
      </c>
      <c r="G80" s="71">
        <v>2</v>
      </c>
      <c r="H80" s="72">
        <v>3</v>
      </c>
      <c r="I80" s="73">
        <v>4</v>
      </c>
      <c r="J80" s="74">
        <v>5</v>
      </c>
      <c r="K80" s="75">
        <v>6</v>
      </c>
      <c r="L80" s="76">
        <v>7</v>
      </c>
      <c r="M80" s="77">
        <v>8</v>
      </c>
      <c r="N80" s="78">
        <v>9</v>
      </c>
      <c r="O80" s="79">
        <v>10</v>
      </c>
      <c r="P80" s="31" t="s">
        <v>0</v>
      </c>
      <c r="Q80" s="138"/>
      <c r="R80" s="333"/>
      <c r="S80" s="132">
        <f>VLOOKUP($E80,R.VL_DEQResourcesInvolved,2,FALSE)</f>
        <v>0</v>
      </c>
      <c r="T80" s="120">
        <f>VLOOKUP($E80,R.VL_DEQResourcesInvolved,3,FALSE)</f>
        <v>0</v>
      </c>
      <c r="U80" s="120">
        <f>IF(S80=10,T80,VLOOKUP($E80,R.VL_DEQResourcesInvolved,4,FALSE))</f>
        <v>0</v>
      </c>
      <c r="V80" s="63"/>
      <c r="W80" s="63"/>
      <c r="X80" s="63"/>
      <c r="Y80" s="63"/>
      <c r="Z80" s="63"/>
      <c r="AA80" s="63"/>
      <c r="AB80" s="63"/>
      <c r="AC80" s="63"/>
      <c r="AD80" s="129"/>
      <c r="AE80" s="129"/>
      <c r="AF80" s="129"/>
      <c r="AG80" s="129"/>
    </row>
    <row r="81" spans="1:33" s="27" customFormat="1" ht="15.75" hidden="1" customHeight="1" outlineLevel="1" x14ac:dyDescent="0.2">
      <c r="A81" s="116"/>
      <c r="B81" s="333"/>
      <c r="C81" s="137"/>
      <c r="D81" s="35" t="s">
        <v>0</v>
      </c>
      <c r="E81" s="29" t="s">
        <v>217</v>
      </c>
      <c r="F81" s="70">
        <v>1</v>
      </c>
      <c r="G81" s="71">
        <v>2</v>
      </c>
      <c r="H81" s="72">
        <v>3</v>
      </c>
      <c r="I81" s="73">
        <v>4</v>
      </c>
      <c r="J81" s="74">
        <v>5</v>
      </c>
      <c r="K81" s="75">
        <v>6</v>
      </c>
      <c r="L81" s="76">
        <v>7</v>
      </c>
      <c r="M81" s="77">
        <v>8</v>
      </c>
      <c r="N81" s="78">
        <v>9</v>
      </c>
      <c r="O81" s="79">
        <v>10</v>
      </c>
      <c r="P81" s="31" t="s">
        <v>0</v>
      </c>
      <c r="Q81" s="138"/>
      <c r="R81" s="333"/>
      <c r="S81" s="132">
        <f>VLOOKUP($E81,R.VL_DEQResourcesInvolved,2,FALSE)</f>
        <v>0</v>
      </c>
      <c r="T81" s="120">
        <f>VLOOKUP($E81,R.VL_DEQResourcesInvolved,3,FALSE)</f>
        <v>0</v>
      </c>
      <c r="U81" s="120">
        <f>IF(S81=10,T81,VLOOKUP($E81,R.VL_DEQResourcesInvolved,4,FALSE))</f>
        <v>0</v>
      </c>
      <c r="V81" s="63"/>
      <c r="W81" s="63"/>
      <c r="X81" s="63"/>
      <c r="Y81" s="63"/>
      <c r="Z81" s="63"/>
      <c r="AA81" s="63"/>
      <c r="AB81" s="63"/>
      <c r="AC81" s="63"/>
      <c r="AD81" s="129"/>
      <c r="AE81" s="129"/>
      <c r="AF81" s="129"/>
      <c r="AG81" s="129"/>
    </row>
    <row r="82" spans="1:33" s="27" customFormat="1" ht="15.75" hidden="1" customHeight="1" outlineLevel="1" x14ac:dyDescent="0.2">
      <c r="A82" s="116"/>
      <c r="B82" s="333"/>
      <c r="C82" s="137"/>
      <c r="D82" s="35" t="s">
        <v>0</v>
      </c>
      <c r="E82" s="29" t="s">
        <v>217</v>
      </c>
      <c r="F82" s="70">
        <v>1</v>
      </c>
      <c r="G82" s="71">
        <v>2</v>
      </c>
      <c r="H82" s="72">
        <v>3</v>
      </c>
      <c r="I82" s="73">
        <v>4</v>
      </c>
      <c r="J82" s="74">
        <v>5</v>
      </c>
      <c r="K82" s="75">
        <v>6</v>
      </c>
      <c r="L82" s="76">
        <v>7</v>
      </c>
      <c r="M82" s="77">
        <v>8</v>
      </c>
      <c r="N82" s="78">
        <v>9</v>
      </c>
      <c r="O82" s="79">
        <v>10</v>
      </c>
      <c r="P82" s="31" t="s">
        <v>0</v>
      </c>
      <c r="Q82" s="138"/>
      <c r="R82" s="333"/>
      <c r="S82" s="132">
        <f>VLOOKUP($E82,R.VL_DEQResourcesInvolved,2,FALSE)</f>
        <v>0</v>
      </c>
      <c r="T82" s="120">
        <f>VLOOKUP($E82,R.VL_DEQResourcesInvolved,3,FALSE)</f>
        <v>0</v>
      </c>
      <c r="U82" s="120">
        <f>IF(S82=10,T82,VLOOKUP($E82,R.VL_DEQResourcesInvolved,4,FALSE))</f>
        <v>0</v>
      </c>
      <c r="V82" s="63"/>
      <c r="W82" s="63"/>
      <c r="X82" s="63"/>
      <c r="Y82" s="63"/>
      <c r="Z82" s="63"/>
      <c r="AA82" s="63"/>
      <c r="AB82" s="63"/>
      <c r="AC82" s="63"/>
      <c r="AD82" s="129"/>
      <c r="AE82" s="129"/>
      <c r="AF82" s="129"/>
      <c r="AG82" s="129"/>
    </row>
    <row r="83" spans="1:33" s="27" customFormat="1" ht="15.75" customHeight="1" collapsed="1" x14ac:dyDescent="0.2">
      <c r="A83" s="116"/>
      <c r="B83" s="333"/>
      <c r="C83" s="244"/>
      <c r="D83" s="441" t="s">
        <v>49</v>
      </c>
      <c r="E83" s="30"/>
      <c r="F83" s="30"/>
      <c r="G83" s="30"/>
      <c r="H83" s="30"/>
      <c r="I83" s="30"/>
      <c r="J83" s="30"/>
      <c r="K83" s="30"/>
      <c r="L83" s="30"/>
      <c r="M83" s="30"/>
      <c r="N83" s="30"/>
      <c r="O83" s="30"/>
      <c r="P83" s="30"/>
      <c r="Q83" s="142"/>
      <c r="R83" s="333"/>
      <c r="S83" s="227"/>
      <c r="T83" s="228"/>
      <c r="U83" s="228"/>
      <c r="V83" s="235"/>
      <c r="W83" s="235"/>
      <c r="X83" s="235"/>
      <c r="Y83" s="235"/>
      <c r="Z83" s="235"/>
      <c r="AA83" s="235"/>
      <c r="AB83" s="235"/>
      <c r="AC83" s="235"/>
      <c r="AD83" s="129"/>
      <c r="AE83" s="129"/>
      <c r="AF83" s="129"/>
      <c r="AG83" s="129"/>
    </row>
    <row r="84" spans="1:33" s="27" customFormat="1" ht="15.75" customHeight="1" x14ac:dyDescent="0.2">
      <c r="A84" s="116"/>
      <c r="B84" s="333"/>
      <c r="C84" s="137"/>
      <c r="D84" s="737"/>
      <c r="E84" s="738"/>
      <c r="F84" s="738"/>
      <c r="G84" s="738"/>
      <c r="H84" s="738"/>
      <c r="I84" s="738"/>
      <c r="J84" s="738"/>
      <c r="K84" s="738"/>
      <c r="L84" s="738"/>
      <c r="M84" s="738"/>
      <c r="N84" s="738"/>
      <c r="O84" s="738"/>
      <c r="P84" s="739"/>
      <c r="Q84" s="138"/>
      <c r="R84" s="333"/>
      <c r="S84" s="131" t="s">
        <v>0</v>
      </c>
      <c r="T84" s="130"/>
      <c r="U84" s="130"/>
      <c r="V84" s="63"/>
      <c r="W84" s="63"/>
      <c r="X84" s="63"/>
      <c r="Y84" s="63"/>
      <c r="Z84" s="63"/>
      <c r="AA84" s="63"/>
      <c r="AB84" s="63"/>
      <c r="AC84" s="63"/>
      <c r="AD84" s="129"/>
      <c r="AE84" s="129"/>
      <c r="AF84" s="129"/>
      <c r="AG84" s="129"/>
    </row>
    <row r="85" spans="1:33" s="32" customFormat="1" ht="15.75" customHeight="1" x14ac:dyDescent="0.2">
      <c r="A85" s="115"/>
      <c r="B85" s="333"/>
      <c r="C85" s="231"/>
      <c r="D85" s="441" t="s">
        <v>57</v>
      </c>
      <c r="E85" s="291" t="s">
        <v>15</v>
      </c>
      <c r="F85" s="752" t="s">
        <v>16</v>
      </c>
      <c r="G85" s="752"/>
      <c r="H85" s="752"/>
      <c r="I85" s="752"/>
      <c r="J85" s="752"/>
      <c r="K85" s="752"/>
      <c r="L85" s="752"/>
      <c r="M85" s="752"/>
      <c r="N85" s="752"/>
      <c r="O85" s="752"/>
      <c r="P85" s="291" t="s">
        <v>17</v>
      </c>
      <c r="Q85" s="136"/>
      <c r="R85" s="333"/>
      <c r="S85" s="227"/>
      <c r="T85" s="228"/>
      <c r="U85" s="228"/>
      <c r="V85" s="229"/>
      <c r="W85" s="229"/>
      <c r="X85" s="229"/>
      <c r="Y85" s="229"/>
      <c r="Z85" s="229"/>
      <c r="AA85" s="229"/>
      <c r="AB85" s="229"/>
      <c r="AC85" s="229"/>
      <c r="AD85" s="126"/>
      <c r="AE85" s="126"/>
      <c r="AF85" s="126"/>
      <c r="AG85" s="126"/>
    </row>
    <row r="86" spans="1:33" s="27" customFormat="1" ht="15.75" customHeight="1" x14ac:dyDescent="0.2">
      <c r="A86" s="116"/>
      <c r="B86" s="333"/>
      <c r="C86" s="137"/>
      <c r="D86" s="35"/>
      <c r="E86" s="29" t="s">
        <v>217</v>
      </c>
      <c r="F86" s="70">
        <v>1</v>
      </c>
      <c r="G86" s="71">
        <v>2</v>
      </c>
      <c r="H86" s="72">
        <v>3</v>
      </c>
      <c r="I86" s="73">
        <v>4</v>
      </c>
      <c r="J86" s="74">
        <v>5</v>
      </c>
      <c r="K86" s="75">
        <v>6</v>
      </c>
      <c r="L86" s="76">
        <v>7</v>
      </c>
      <c r="M86" s="77">
        <v>8</v>
      </c>
      <c r="N86" s="78">
        <v>9</v>
      </c>
      <c r="O86" s="79">
        <v>10</v>
      </c>
      <c r="P86" s="31"/>
      <c r="Q86" s="138"/>
      <c r="R86" s="333"/>
      <c r="S86" s="132">
        <f>VLOOKUP($E86,R.VL_DEQResourcesInvolved,2,FALSE)</f>
        <v>0</v>
      </c>
      <c r="T86" s="120">
        <f>VLOOKUP($E86,R.VL_DEQResourcesInvolved,3,FALSE)</f>
        <v>0</v>
      </c>
      <c r="U86" s="120">
        <f>IF(S86=10,T86,VLOOKUP($E86,R.VL_DEQResourcesInvolved,4,FALSE))</f>
        <v>0</v>
      </c>
      <c r="V86" s="574" t="s">
        <v>542</v>
      </c>
      <c r="W86" s="63"/>
      <c r="X86" s="63"/>
      <c r="Y86" s="63"/>
      <c r="Z86" s="63"/>
      <c r="AA86" s="63"/>
      <c r="AB86" s="63"/>
      <c r="AC86" s="63"/>
      <c r="AD86" s="129"/>
      <c r="AE86" s="129"/>
      <c r="AF86" s="129"/>
      <c r="AG86" s="129"/>
    </row>
    <row r="87" spans="1:33" s="27" customFormat="1" ht="15.75" hidden="1" customHeight="1" outlineLevel="1" x14ac:dyDescent="0.2">
      <c r="A87" s="116"/>
      <c r="B87" s="333"/>
      <c r="C87" s="137"/>
      <c r="D87" s="35" t="s">
        <v>0</v>
      </c>
      <c r="E87" s="29" t="s">
        <v>217</v>
      </c>
      <c r="F87" s="70">
        <v>1</v>
      </c>
      <c r="G87" s="71">
        <v>2</v>
      </c>
      <c r="H87" s="72">
        <v>3</v>
      </c>
      <c r="I87" s="73">
        <v>4</v>
      </c>
      <c r="J87" s="74">
        <v>5</v>
      </c>
      <c r="K87" s="75">
        <v>6</v>
      </c>
      <c r="L87" s="76">
        <v>7</v>
      </c>
      <c r="M87" s="77">
        <v>8</v>
      </c>
      <c r="N87" s="78">
        <v>9</v>
      </c>
      <c r="O87" s="79">
        <v>10</v>
      </c>
      <c r="P87" s="31" t="s">
        <v>0</v>
      </c>
      <c r="Q87" s="138"/>
      <c r="R87" s="333"/>
      <c r="S87" s="132">
        <f>VLOOKUP($E87,R.VL_DEQResourcesInvolved,2,FALSE)</f>
        <v>0</v>
      </c>
      <c r="T87" s="120">
        <f>VLOOKUP($E87,R.VL_DEQResourcesInvolved,3,FALSE)</f>
        <v>0</v>
      </c>
      <c r="U87" s="120">
        <f>IF(S87=10,T87,VLOOKUP($E87,R.VL_DEQResourcesInvolved,4,FALSE))</f>
        <v>0</v>
      </c>
      <c r="V87" s="63"/>
      <c r="W87" s="63"/>
      <c r="X87" s="63"/>
      <c r="Y87" s="63"/>
      <c r="Z87" s="63"/>
      <c r="AA87" s="63"/>
      <c r="AB87" s="63"/>
      <c r="AC87" s="63"/>
      <c r="AD87" s="129"/>
      <c r="AE87" s="129"/>
      <c r="AF87" s="129"/>
      <c r="AG87" s="129"/>
    </row>
    <row r="88" spans="1:33" s="27" customFormat="1" ht="15.75" hidden="1" customHeight="1" outlineLevel="1" x14ac:dyDescent="0.2">
      <c r="A88" s="116"/>
      <c r="B88" s="333"/>
      <c r="C88" s="137"/>
      <c r="D88" s="35" t="s">
        <v>0</v>
      </c>
      <c r="E88" s="29" t="s">
        <v>217</v>
      </c>
      <c r="F88" s="70">
        <v>1</v>
      </c>
      <c r="G88" s="71">
        <v>2</v>
      </c>
      <c r="H88" s="72">
        <v>3</v>
      </c>
      <c r="I88" s="73">
        <v>4</v>
      </c>
      <c r="J88" s="74">
        <v>5</v>
      </c>
      <c r="K88" s="75">
        <v>6</v>
      </c>
      <c r="L88" s="76">
        <v>7</v>
      </c>
      <c r="M88" s="77">
        <v>8</v>
      </c>
      <c r="N88" s="78">
        <v>9</v>
      </c>
      <c r="O88" s="79">
        <v>10</v>
      </c>
      <c r="P88" s="31" t="s">
        <v>0</v>
      </c>
      <c r="Q88" s="138"/>
      <c r="R88" s="333"/>
      <c r="S88" s="132">
        <f>VLOOKUP($E88,R.VL_DEQResourcesInvolved,2,FALSE)</f>
        <v>0</v>
      </c>
      <c r="T88" s="120">
        <f>VLOOKUP($E88,R.VL_DEQResourcesInvolved,3,FALSE)</f>
        <v>0</v>
      </c>
      <c r="U88" s="120">
        <f>IF(S88=10,T88,VLOOKUP($E88,R.VL_DEQResourcesInvolved,4,FALSE))</f>
        <v>0</v>
      </c>
      <c r="V88" s="63"/>
      <c r="W88" s="63"/>
      <c r="X88" s="63"/>
      <c r="Y88" s="63"/>
      <c r="Z88" s="63"/>
      <c r="AA88" s="63"/>
      <c r="AB88" s="63"/>
      <c r="AC88" s="63"/>
      <c r="AD88" s="129"/>
      <c r="AE88" s="129"/>
      <c r="AF88" s="129"/>
      <c r="AG88" s="129"/>
    </row>
    <row r="89" spans="1:33" s="27" customFormat="1" ht="15.75" hidden="1" customHeight="1" outlineLevel="1" x14ac:dyDescent="0.2">
      <c r="A89" s="116"/>
      <c r="B89" s="333"/>
      <c r="C89" s="137"/>
      <c r="D89" s="35" t="s">
        <v>0</v>
      </c>
      <c r="E89" s="29" t="s">
        <v>217</v>
      </c>
      <c r="F89" s="70">
        <v>1</v>
      </c>
      <c r="G89" s="71">
        <v>2</v>
      </c>
      <c r="H89" s="72">
        <v>3</v>
      </c>
      <c r="I89" s="73">
        <v>4</v>
      </c>
      <c r="J89" s="74">
        <v>5</v>
      </c>
      <c r="K89" s="75">
        <v>6</v>
      </c>
      <c r="L89" s="76">
        <v>7</v>
      </c>
      <c r="M89" s="77">
        <v>8</v>
      </c>
      <c r="N89" s="78">
        <v>9</v>
      </c>
      <c r="O89" s="79">
        <v>10</v>
      </c>
      <c r="P89" s="31" t="s">
        <v>0</v>
      </c>
      <c r="Q89" s="138"/>
      <c r="R89" s="333"/>
      <c r="S89" s="132">
        <f>VLOOKUP($E89,R.VL_DEQResourcesInvolved,2,FALSE)</f>
        <v>0</v>
      </c>
      <c r="T89" s="120">
        <f>VLOOKUP($E89,R.VL_DEQResourcesInvolved,3,FALSE)</f>
        <v>0</v>
      </c>
      <c r="U89" s="120">
        <f>IF(S89=10,T89,VLOOKUP($E89,R.VL_DEQResourcesInvolved,4,FALSE))</f>
        <v>0</v>
      </c>
      <c r="V89" s="63"/>
      <c r="W89" s="63"/>
      <c r="X89" s="63"/>
      <c r="Y89" s="63"/>
      <c r="Z89" s="63"/>
      <c r="AA89" s="63"/>
      <c r="AB89" s="63"/>
      <c r="AC89" s="63"/>
      <c r="AD89" s="129"/>
      <c r="AE89" s="129"/>
      <c r="AF89" s="129"/>
      <c r="AG89" s="129"/>
    </row>
    <row r="90" spans="1:33" s="27" customFormat="1" ht="14.25" customHeight="1" collapsed="1" x14ac:dyDescent="0.2">
      <c r="A90" s="116"/>
      <c r="B90" s="333"/>
      <c r="C90" s="375"/>
      <c r="D90" s="480"/>
      <c r="E90" s="742"/>
      <c r="F90" s="742"/>
      <c r="G90" s="742"/>
      <c r="H90" s="742"/>
      <c r="I90" s="742"/>
      <c r="J90" s="742"/>
      <c r="K90" s="742"/>
      <c r="L90" s="742"/>
      <c r="M90" s="742"/>
      <c r="N90" s="742"/>
      <c r="O90" s="742"/>
      <c r="P90" s="742"/>
      <c r="Q90" s="378"/>
      <c r="R90" s="333"/>
      <c r="S90" s="131"/>
      <c r="T90" s="130"/>
      <c r="U90" s="130"/>
      <c r="V90" s="63"/>
      <c r="W90" s="63"/>
      <c r="X90" s="63"/>
      <c r="Y90" s="63"/>
      <c r="Z90" s="63"/>
      <c r="AA90" s="63"/>
      <c r="AB90" s="63"/>
      <c r="AC90" s="63"/>
      <c r="AD90" s="129"/>
      <c r="AE90" s="129"/>
      <c r="AF90" s="129"/>
      <c r="AG90" s="129"/>
    </row>
    <row r="91" spans="1:33" s="32" customFormat="1" ht="30" customHeight="1" x14ac:dyDescent="0.3">
      <c r="A91" s="349" t="s">
        <v>103</v>
      </c>
      <c r="B91" s="333"/>
      <c r="C91" s="135"/>
      <c r="D91" s="303" t="s">
        <v>149</v>
      </c>
      <c r="E91" s="301"/>
      <c r="F91" s="93"/>
      <c r="G91" s="93"/>
      <c r="H91" s="93"/>
      <c r="I91" s="93"/>
      <c r="J91" s="93"/>
      <c r="K91" s="93"/>
      <c r="L91" s="93"/>
      <c r="M91" s="93"/>
      <c r="N91" s="93"/>
      <c r="O91" s="93"/>
      <c r="P91" s="93"/>
      <c r="Q91" s="136"/>
      <c r="R91" s="333"/>
      <c r="S91" s="133"/>
      <c r="T91" s="130"/>
      <c r="U91" s="130"/>
      <c r="V91" s="128"/>
      <c r="W91" s="128"/>
      <c r="X91" s="128"/>
      <c r="Y91" s="128"/>
      <c r="Z91" s="128"/>
      <c r="AA91" s="128"/>
      <c r="AB91" s="128"/>
      <c r="AC91" s="128"/>
      <c r="AD91" s="126"/>
      <c r="AE91" s="126"/>
      <c r="AF91" s="126"/>
      <c r="AG91" s="126"/>
    </row>
    <row r="92" spans="1:33" s="32" customFormat="1" ht="14.25" customHeight="1" x14ac:dyDescent="0.3">
      <c r="A92" s="115"/>
      <c r="B92" s="333"/>
      <c r="C92" s="135"/>
      <c r="D92" s="442" t="s">
        <v>50</v>
      </c>
      <c r="E92" s="93"/>
      <c r="F92" s="93"/>
      <c r="G92" s="93"/>
      <c r="H92" s="93"/>
      <c r="I92" s="93"/>
      <c r="J92" s="93"/>
      <c r="K92" s="93"/>
      <c r="L92" s="93"/>
      <c r="M92" s="93"/>
      <c r="N92" s="93"/>
      <c r="O92" s="93"/>
      <c r="P92" s="93"/>
      <c r="Q92" s="136"/>
      <c r="R92" s="333"/>
      <c r="S92" s="133"/>
      <c r="T92" s="130"/>
      <c r="U92" s="130"/>
      <c r="V92" s="128"/>
      <c r="W92" s="128"/>
      <c r="X92" s="128"/>
      <c r="Y92" s="128"/>
      <c r="Z92" s="128"/>
      <c r="AA92" s="128"/>
      <c r="AB92" s="128"/>
      <c r="AC92" s="128"/>
      <c r="AD92" s="126"/>
      <c r="AE92" s="126"/>
      <c r="AF92" s="126"/>
      <c r="AG92" s="126"/>
    </row>
    <row r="93" spans="1:33" s="27" customFormat="1" ht="15.75" customHeight="1" x14ac:dyDescent="0.2">
      <c r="A93" s="116"/>
      <c r="B93" s="333"/>
      <c r="C93" s="137"/>
      <c r="D93" s="722"/>
      <c r="E93" s="723"/>
      <c r="F93" s="723"/>
      <c r="G93" s="723"/>
      <c r="H93" s="723"/>
      <c r="I93" s="723"/>
      <c r="J93" s="723"/>
      <c r="K93" s="723"/>
      <c r="L93" s="723"/>
      <c r="M93" s="723"/>
      <c r="N93" s="723"/>
      <c r="O93" s="723"/>
      <c r="P93" s="724"/>
      <c r="Q93" s="138"/>
      <c r="R93" s="333"/>
      <c r="S93" s="131" t="s">
        <v>0</v>
      </c>
      <c r="T93" s="130"/>
      <c r="U93" s="130"/>
      <c r="V93" s="63"/>
      <c r="W93" s="63"/>
      <c r="X93" s="63"/>
      <c r="Y93" s="63"/>
      <c r="Z93" s="63"/>
      <c r="AA93" s="63"/>
      <c r="AB93" s="63"/>
      <c r="AC93" s="63"/>
      <c r="AD93" s="129"/>
      <c r="AE93" s="129"/>
      <c r="AF93" s="129"/>
      <c r="AG93" s="129"/>
    </row>
    <row r="94" spans="1:33" s="32" customFormat="1" ht="15.75" customHeight="1" x14ac:dyDescent="0.2">
      <c r="A94" s="115"/>
      <c r="B94" s="333"/>
      <c r="C94" s="231"/>
      <c r="D94" s="441" t="s">
        <v>57</v>
      </c>
      <c r="E94" s="291" t="s">
        <v>15</v>
      </c>
      <c r="F94" s="752" t="s">
        <v>16</v>
      </c>
      <c r="G94" s="752"/>
      <c r="H94" s="752"/>
      <c r="I94" s="752"/>
      <c r="J94" s="752"/>
      <c r="K94" s="752"/>
      <c r="L94" s="752"/>
      <c r="M94" s="752"/>
      <c r="N94" s="752"/>
      <c r="O94" s="752"/>
      <c r="P94" s="291" t="s">
        <v>17</v>
      </c>
      <c r="Q94" s="136"/>
      <c r="R94" s="333"/>
      <c r="S94" s="227"/>
      <c r="T94" s="228"/>
      <c r="U94" s="228"/>
      <c r="V94" s="229"/>
      <c r="W94" s="229"/>
      <c r="X94" s="229"/>
      <c r="Y94" s="229"/>
      <c r="Z94" s="229"/>
      <c r="AA94" s="229"/>
      <c r="AB94" s="229"/>
      <c r="AC94" s="229"/>
      <c r="AD94" s="126"/>
      <c r="AE94" s="126"/>
      <c r="AF94" s="126"/>
      <c r="AG94" s="126"/>
    </row>
    <row r="95" spans="1:33" s="27" customFormat="1" ht="15.75" customHeight="1" x14ac:dyDescent="0.2">
      <c r="A95" s="116"/>
      <c r="B95" s="333"/>
      <c r="C95" s="137"/>
      <c r="D95" s="35" t="s">
        <v>581</v>
      </c>
      <c r="E95" s="29" t="s">
        <v>217</v>
      </c>
      <c r="F95" s="70">
        <v>1</v>
      </c>
      <c r="G95" s="71">
        <v>2</v>
      </c>
      <c r="H95" s="72">
        <v>3</v>
      </c>
      <c r="I95" s="73">
        <v>4</v>
      </c>
      <c r="J95" s="74">
        <v>5</v>
      </c>
      <c r="K95" s="75">
        <v>6</v>
      </c>
      <c r="L95" s="76">
        <v>7</v>
      </c>
      <c r="M95" s="77">
        <v>8</v>
      </c>
      <c r="N95" s="78">
        <v>9</v>
      </c>
      <c r="O95" s="79">
        <v>10</v>
      </c>
      <c r="P95" s="31"/>
      <c r="Q95" s="138"/>
      <c r="R95" s="333"/>
      <c r="S95" s="132">
        <f>VLOOKUP($E95,R.VL_DEQResourcesInvolved,2,FALSE)</f>
        <v>0</v>
      </c>
      <c r="T95" s="120">
        <f>VLOOKUP($E95,R.VL_DEQResourcesInvolved,3,FALSE)</f>
        <v>0</v>
      </c>
      <c r="U95" s="120">
        <f>IF(S95=10,T95,VLOOKUP($E95,R.VL_DEQResourcesInvolved,4,FALSE))</f>
        <v>0</v>
      </c>
      <c r="V95" s="574" t="s">
        <v>542</v>
      </c>
      <c r="W95" s="63"/>
      <c r="X95" s="63"/>
      <c r="Y95" s="63"/>
      <c r="Z95" s="63"/>
      <c r="AA95" s="63"/>
      <c r="AB95" s="63"/>
      <c r="AC95" s="63"/>
      <c r="AD95" s="129"/>
      <c r="AE95" s="129"/>
      <c r="AF95" s="129"/>
      <c r="AG95" s="129"/>
    </row>
    <row r="96" spans="1:33" s="27" customFormat="1" ht="15.75" hidden="1" customHeight="1" outlineLevel="1" x14ac:dyDescent="0.2">
      <c r="A96" s="116"/>
      <c r="B96" s="333"/>
      <c r="C96" s="137"/>
      <c r="D96" s="35" t="s">
        <v>0</v>
      </c>
      <c r="E96" s="29" t="s">
        <v>217</v>
      </c>
      <c r="F96" s="70">
        <v>1</v>
      </c>
      <c r="G96" s="71">
        <v>2</v>
      </c>
      <c r="H96" s="72">
        <v>3</v>
      </c>
      <c r="I96" s="73">
        <v>4</v>
      </c>
      <c r="J96" s="74">
        <v>5</v>
      </c>
      <c r="K96" s="75">
        <v>6</v>
      </c>
      <c r="L96" s="76">
        <v>7</v>
      </c>
      <c r="M96" s="77">
        <v>8</v>
      </c>
      <c r="N96" s="78">
        <v>9</v>
      </c>
      <c r="O96" s="79">
        <v>10</v>
      </c>
      <c r="P96" s="31" t="s">
        <v>0</v>
      </c>
      <c r="Q96" s="138"/>
      <c r="R96" s="333"/>
      <c r="S96" s="132">
        <f>VLOOKUP($E96,R.VL_DEQResourcesInvolved,2,FALSE)</f>
        <v>0</v>
      </c>
      <c r="T96" s="120">
        <f>VLOOKUP($E96,R.VL_DEQResourcesInvolved,3,FALSE)</f>
        <v>0</v>
      </c>
      <c r="U96" s="120">
        <f>IF(S96=10,T96,VLOOKUP($E96,R.VL_DEQResourcesInvolved,4,FALSE))</f>
        <v>0</v>
      </c>
      <c r="V96" s="63"/>
      <c r="W96" s="63"/>
      <c r="X96" s="63"/>
      <c r="Y96" s="63"/>
      <c r="Z96" s="63"/>
      <c r="AA96" s="63"/>
      <c r="AB96" s="63"/>
      <c r="AC96" s="63"/>
      <c r="AD96" s="129"/>
      <c r="AE96" s="129"/>
      <c r="AF96" s="129"/>
      <c r="AG96" s="129"/>
    </row>
    <row r="97" spans="1:33" s="27" customFormat="1" ht="15.75" hidden="1" customHeight="1" outlineLevel="1" x14ac:dyDescent="0.2">
      <c r="A97" s="116"/>
      <c r="B97" s="333"/>
      <c r="C97" s="137"/>
      <c r="D97" s="35" t="s">
        <v>0</v>
      </c>
      <c r="E97" s="29" t="s">
        <v>217</v>
      </c>
      <c r="F97" s="70">
        <v>1</v>
      </c>
      <c r="G97" s="71">
        <v>2</v>
      </c>
      <c r="H97" s="72">
        <v>3</v>
      </c>
      <c r="I97" s="73">
        <v>4</v>
      </c>
      <c r="J97" s="74">
        <v>5</v>
      </c>
      <c r="K97" s="75">
        <v>6</v>
      </c>
      <c r="L97" s="76">
        <v>7</v>
      </c>
      <c r="M97" s="77">
        <v>8</v>
      </c>
      <c r="N97" s="78">
        <v>9</v>
      </c>
      <c r="O97" s="79">
        <v>10</v>
      </c>
      <c r="P97" s="31" t="s">
        <v>0</v>
      </c>
      <c r="Q97" s="138"/>
      <c r="R97" s="333"/>
      <c r="S97" s="132">
        <f>VLOOKUP($E97,R.VL_DEQResourcesInvolved,2,FALSE)</f>
        <v>0</v>
      </c>
      <c r="T97" s="120">
        <f>VLOOKUP($E97,R.VL_DEQResourcesInvolved,3,FALSE)</f>
        <v>0</v>
      </c>
      <c r="U97" s="120">
        <f>IF(S97=10,T97,VLOOKUP($E97,R.VL_DEQResourcesInvolved,4,FALSE))</f>
        <v>0</v>
      </c>
      <c r="V97" s="63"/>
      <c r="W97" s="63"/>
      <c r="X97" s="63"/>
      <c r="Y97" s="63"/>
      <c r="Z97" s="63"/>
      <c r="AA97" s="63"/>
      <c r="AB97" s="63"/>
      <c r="AC97" s="63"/>
      <c r="AD97" s="129"/>
      <c r="AE97" s="129"/>
      <c r="AF97" s="129"/>
      <c r="AG97" s="129"/>
    </row>
    <row r="98" spans="1:33" s="27" customFormat="1" ht="15.75" hidden="1" customHeight="1" outlineLevel="1" x14ac:dyDescent="0.2">
      <c r="A98" s="116"/>
      <c r="B98" s="333"/>
      <c r="C98" s="137"/>
      <c r="D98" s="35" t="s">
        <v>0</v>
      </c>
      <c r="E98" s="29" t="s">
        <v>217</v>
      </c>
      <c r="F98" s="70">
        <v>1</v>
      </c>
      <c r="G98" s="71">
        <v>2</v>
      </c>
      <c r="H98" s="72">
        <v>3</v>
      </c>
      <c r="I98" s="73">
        <v>4</v>
      </c>
      <c r="J98" s="74">
        <v>5</v>
      </c>
      <c r="K98" s="75">
        <v>6</v>
      </c>
      <c r="L98" s="76">
        <v>7</v>
      </c>
      <c r="M98" s="77">
        <v>8</v>
      </c>
      <c r="N98" s="78">
        <v>9</v>
      </c>
      <c r="O98" s="79">
        <v>10</v>
      </c>
      <c r="P98" s="31" t="s">
        <v>0</v>
      </c>
      <c r="Q98" s="138"/>
      <c r="R98" s="333"/>
      <c r="S98" s="132">
        <f>VLOOKUP($E98,R.VL_DEQResourcesInvolved,2,FALSE)</f>
        <v>0</v>
      </c>
      <c r="T98" s="120">
        <f>VLOOKUP($E98,R.VL_DEQResourcesInvolved,3,FALSE)</f>
        <v>0</v>
      </c>
      <c r="U98" s="120">
        <f>IF(S98=10,T98,VLOOKUP($E98,R.VL_DEQResourcesInvolved,4,FALSE))</f>
        <v>0</v>
      </c>
      <c r="V98" s="63"/>
      <c r="W98" s="63"/>
      <c r="X98" s="63"/>
      <c r="Y98" s="63"/>
      <c r="Z98" s="63"/>
      <c r="AA98" s="63"/>
      <c r="AB98" s="63"/>
      <c r="AC98" s="63"/>
      <c r="AD98" s="129"/>
      <c r="AE98" s="129"/>
      <c r="AF98" s="129"/>
      <c r="AG98" s="129"/>
    </row>
    <row r="99" spans="1:33" s="27" customFormat="1" ht="15.75" customHeight="1" collapsed="1" x14ac:dyDescent="0.2">
      <c r="A99" s="116"/>
      <c r="B99" s="333"/>
      <c r="C99" s="244"/>
      <c r="D99" s="442" t="s">
        <v>49</v>
      </c>
      <c r="E99" s="30"/>
      <c r="F99" s="30"/>
      <c r="G99" s="30"/>
      <c r="H99" s="30"/>
      <c r="I99" s="30"/>
      <c r="J99" s="30"/>
      <c r="K99" s="30"/>
      <c r="L99" s="30"/>
      <c r="M99" s="30"/>
      <c r="N99" s="30"/>
      <c r="O99" s="30"/>
      <c r="P99" s="30"/>
      <c r="Q99" s="142"/>
      <c r="R99" s="333"/>
      <c r="S99" s="227"/>
      <c r="T99" s="228"/>
      <c r="U99" s="228"/>
      <c r="V99" s="235"/>
      <c r="W99" s="235"/>
      <c r="X99" s="235"/>
      <c r="Y99" s="235"/>
      <c r="Z99" s="235"/>
      <c r="AA99" s="235"/>
      <c r="AB99" s="235"/>
      <c r="AC99" s="235"/>
      <c r="AD99" s="129"/>
      <c r="AE99" s="129"/>
      <c r="AF99" s="129"/>
      <c r="AG99" s="129"/>
    </row>
    <row r="100" spans="1:33" s="27" customFormat="1" ht="15.75" customHeight="1" x14ac:dyDescent="0.2">
      <c r="A100" s="116"/>
      <c r="B100" s="333"/>
      <c r="C100" s="137"/>
      <c r="D100" s="727"/>
      <c r="E100" s="728"/>
      <c r="F100" s="728"/>
      <c r="G100" s="728"/>
      <c r="H100" s="728"/>
      <c r="I100" s="728"/>
      <c r="J100" s="728"/>
      <c r="K100" s="728"/>
      <c r="L100" s="728"/>
      <c r="M100" s="728"/>
      <c r="N100" s="728"/>
      <c r="O100" s="728"/>
      <c r="P100" s="729"/>
      <c r="Q100" s="138"/>
      <c r="R100" s="333"/>
      <c r="S100" s="131" t="s">
        <v>0</v>
      </c>
      <c r="T100" s="130"/>
      <c r="U100" s="130"/>
      <c r="V100" s="63"/>
      <c r="W100" s="63"/>
      <c r="X100" s="63"/>
      <c r="Y100" s="63"/>
      <c r="Z100" s="63"/>
      <c r="AA100" s="63"/>
      <c r="AB100" s="63"/>
      <c r="AC100" s="63"/>
      <c r="AD100" s="129"/>
      <c r="AE100" s="129"/>
      <c r="AF100" s="129"/>
      <c r="AG100" s="129"/>
    </row>
    <row r="101" spans="1:33" s="32" customFormat="1" ht="15.75" customHeight="1" x14ac:dyDescent="0.2">
      <c r="A101" s="115"/>
      <c r="B101" s="333"/>
      <c r="C101" s="231"/>
      <c r="D101" s="441" t="s">
        <v>57</v>
      </c>
      <c r="E101" s="291" t="s">
        <v>15</v>
      </c>
      <c r="F101" s="752" t="s">
        <v>16</v>
      </c>
      <c r="G101" s="752"/>
      <c r="H101" s="752"/>
      <c r="I101" s="752"/>
      <c r="J101" s="752"/>
      <c r="K101" s="752"/>
      <c r="L101" s="752"/>
      <c r="M101" s="752"/>
      <c r="N101" s="752"/>
      <c r="O101" s="752"/>
      <c r="P101" s="291" t="s">
        <v>17</v>
      </c>
      <c r="Q101" s="136"/>
      <c r="R101" s="333"/>
      <c r="S101" s="227"/>
      <c r="T101" s="228"/>
      <c r="U101" s="228"/>
      <c r="V101" s="229"/>
      <c r="W101" s="229"/>
      <c r="X101" s="229"/>
      <c r="Y101" s="229"/>
      <c r="Z101" s="229"/>
      <c r="AA101" s="229"/>
      <c r="AB101" s="229"/>
      <c r="AC101" s="229"/>
      <c r="AD101" s="126"/>
      <c r="AE101" s="126"/>
      <c r="AF101" s="126"/>
      <c r="AG101" s="126"/>
    </row>
    <row r="102" spans="1:33" s="27" customFormat="1" ht="15.75" customHeight="1" x14ac:dyDescent="0.2">
      <c r="A102" s="116"/>
      <c r="B102" s="333"/>
      <c r="C102" s="137"/>
      <c r="D102" s="35"/>
      <c r="E102" s="29" t="s">
        <v>217</v>
      </c>
      <c r="F102" s="70">
        <v>1</v>
      </c>
      <c r="G102" s="71">
        <v>2</v>
      </c>
      <c r="H102" s="72">
        <v>3</v>
      </c>
      <c r="I102" s="73">
        <v>4</v>
      </c>
      <c r="J102" s="74">
        <v>5</v>
      </c>
      <c r="K102" s="75">
        <v>6</v>
      </c>
      <c r="L102" s="76">
        <v>7</v>
      </c>
      <c r="M102" s="77">
        <v>8</v>
      </c>
      <c r="N102" s="78">
        <v>9</v>
      </c>
      <c r="O102" s="79">
        <v>10</v>
      </c>
      <c r="P102" s="31"/>
      <c r="Q102" s="138"/>
      <c r="R102" s="333"/>
      <c r="S102" s="132">
        <f>VLOOKUP($E102,R.VL_DEQResourcesInvolved,2,FALSE)</f>
        <v>0</v>
      </c>
      <c r="T102" s="120">
        <f>VLOOKUP($E102,R.VL_DEQResourcesInvolved,3,FALSE)</f>
        <v>0</v>
      </c>
      <c r="U102" s="120">
        <f>IF(S102=10,T102,VLOOKUP($E102,R.VL_DEQResourcesInvolved,4,FALSE))</f>
        <v>0</v>
      </c>
      <c r="V102" s="574" t="s">
        <v>542</v>
      </c>
      <c r="W102" s="63"/>
      <c r="X102" s="63"/>
      <c r="Y102" s="63"/>
      <c r="Z102" s="63"/>
      <c r="AA102" s="63"/>
      <c r="AB102" s="63"/>
      <c r="AC102" s="63"/>
      <c r="AD102" s="129"/>
      <c r="AE102" s="129"/>
      <c r="AF102" s="129"/>
      <c r="AG102" s="129"/>
    </row>
    <row r="103" spans="1:33" s="27" customFormat="1" ht="15.75" hidden="1" customHeight="1" outlineLevel="1" x14ac:dyDescent="0.2">
      <c r="A103" s="116"/>
      <c r="B103" s="333"/>
      <c r="C103" s="137"/>
      <c r="D103" s="35" t="s">
        <v>0</v>
      </c>
      <c r="E103" s="29" t="s">
        <v>217</v>
      </c>
      <c r="F103" s="70">
        <v>1</v>
      </c>
      <c r="G103" s="71">
        <v>2</v>
      </c>
      <c r="H103" s="72">
        <v>3</v>
      </c>
      <c r="I103" s="73">
        <v>4</v>
      </c>
      <c r="J103" s="74">
        <v>5</v>
      </c>
      <c r="K103" s="75">
        <v>6</v>
      </c>
      <c r="L103" s="76">
        <v>7</v>
      </c>
      <c r="M103" s="77">
        <v>8</v>
      </c>
      <c r="N103" s="78">
        <v>9</v>
      </c>
      <c r="O103" s="79">
        <v>10</v>
      </c>
      <c r="P103" s="31" t="s">
        <v>0</v>
      </c>
      <c r="Q103" s="138"/>
      <c r="R103" s="333"/>
      <c r="S103" s="132">
        <f>VLOOKUP($E103,R.VL_DEQResourcesInvolved,2,FALSE)</f>
        <v>0</v>
      </c>
      <c r="T103" s="120">
        <f>VLOOKUP($E103,R.VL_DEQResourcesInvolved,3,FALSE)</f>
        <v>0</v>
      </c>
      <c r="U103" s="120">
        <f>IF(S103=10,T103,VLOOKUP($E103,R.VL_DEQResourcesInvolved,4,FALSE))</f>
        <v>0</v>
      </c>
      <c r="V103" s="63"/>
      <c r="W103" s="63"/>
      <c r="X103" s="63"/>
      <c r="Y103" s="63"/>
      <c r="Z103" s="63"/>
      <c r="AA103" s="63"/>
      <c r="AB103" s="63"/>
      <c r="AC103" s="63"/>
      <c r="AD103" s="129"/>
      <c r="AE103" s="129"/>
      <c r="AF103" s="129"/>
      <c r="AG103" s="129"/>
    </row>
    <row r="104" spans="1:33" s="27" customFormat="1" ht="15.75" hidden="1" customHeight="1" outlineLevel="1" x14ac:dyDescent="0.2">
      <c r="A104" s="116"/>
      <c r="B104" s="333"/>
      <c r="C104" s="137"/>
      <c r="D104" s="35" t="s">
        <v>0</v>
      </c>
      <c r="E104" s="29" t="s">
        <v>217</v>
      </c>
      <c r="F104" s="70">
        <v>1</v>
      </c>
      <c r="G104" s="71">
        <v>2</v>
      </c>
      <c r="H104" s="72">
        <v>3</v>
      </c>
      <c r="I104" s="73">
        <v>4</v>
      </c>
      <c r="J104" s="74">
        <v>5</v>
      </c>
      <c r="K104" s="75">
        <v>6</v>
      </c>
      <c r="L104" s="76">
        <v>7</v>
      </c>
      <c r="M104" s="77">
        <v>8</v>
      </c>
      <c r="N104" s="78">
        <v>9</v>
      </c>
      <c r="O104" s="79">
        <v>10</v>
      </c>
      <c r="P104" s="31" t="s">
        <v>0</v>
      </c>
      <c r="Q104" s="138"/>
      <c r="R104" s="333"/>
      <c r="S104" s="132">
        <f>VLOOKUP($E104,R.VL_DEQResourcesInvolved,2,FALSE)</f>
        <v>0</v>
      </c>
      <c r="T104" s="120">
        <f>VLOOKUP($E104,R.VL_DEQResourcesInvolved,3,FALSE)</f>
        <v>0</v>
      </c>
      <c r="U104" s="120">
        <f>IF(S104=10,T104,VLOOKUP($E104,R.VL_DEQResourcesInvolved,4,FALSE))</f>
        <v>0</v>
      </c>
      <c r="V104" s="63"/>
      <c r="W104" s="63"/>
      <c r="X104" s="63"/>
      <c r="Y104" s="63"/>
      <c r="Z104" s="63"/>
      <c r="AA104" s="63"/>
      <c r="AB104" s="63"/>
      <c r="AC104" s="63"/>
      <c r="AD104" s="129"/>
      <c r="AE104" s="129"/>
      <c r="AF104" s="129"/>
      <c r="AG104" s="129"/>
    </row>
    <row r="105" spans="1:33" s="27" customFormat="1" ht="15.75" hidden="1" customHeight="1" outlineLevel="1" x14ac:dyDescent="0.2">
      <c r="A105" s="116"/>
      <c r="B105" s="333"/>
      <c r="C105" s="137"/>
      <c r="D105" s="35" t="s">
        <v>0</v>
      </c>
      <c r="E105" s="29" t="s">
        <v>217</v>
      </c>
      <c r="F105" s="70">
        <v>1</v>
      </c>
      <c r="G105" s="71">
        <v>2</v>
      </c>
      <c r="H105" s="72">
        <v>3</v>
      </c>
      <c r="I105" s="73">
        <v>4</v>
      </c>
      <c r="J105" s="74">
        <v>5</v>
      </c>
      <c r="K105" s="75">
        <v>6</v>
      </c>
      <c r="L105" s="76">
        <v>7</v>
      </c>
      <c r="M105" s="77">
        <v>8</v>
      </c>
      <c r="N105" s="78">
        <v>9</v>
      </c>
      <c r="O105" s="79">
        <v>10</v>
      </c>
      <c r="P105" s="31" t="s">
        <v>0</v>
      </c>
      <c r="Q105" s="138"/>
      <c r="R105" s="333"/>
      <c r="S105" s="132">
        <f>VLOOKUP($E105,R.VL_DEQResourcesInvolved,2,FALSE)</f>
        <v>0</v>
      </c>
      <c r="T105" s="120">
        <f>VLOOKUP($E105,R.VL_DEQResourcesInvolved,3,FALSE)</f>
        <v>0</v>
      </c>
      <c r="U105" s="120">
        <f>IF(S105=10,T105,VLOOKUP($E105,R.VL_DEQResourcesInvolved,4,FALSE))</f>
        <v>0</v>
      </c>
      <c r="V105" s="63"/>
      <c r="W105" s="63"/>
      <c r="X105" s="63"/>
      <c r="Y105" s="63"/>
      <c r="Z105" s="63"/>
      <c r="AA105" s="63"/>
      <c r="AB105" s="63"/>
      <c r="AC105" s="63"/>
      <c r="AD105" s="129"/>
      <c r="AE105" s="129"/>
      <c r="AF105" s="129"/>
      <c r="AG105" s="129"/>
    </row>
    <row r="106" spans="1:33" s="27" customFormat="1" ht="14.25" customHeight="1" collapsed="1" x14ac:dyDescent="0.2">
      <c r="A106" s="116"/>
      <c r="B106" s="333"/>
      <c r="C106" s="375"/>
      <c r="D106" s="480"/>
      <c r="E106" s="742"/>
      <c r="F106" s="742"/>
      <c r="G106" s="742"/>
      <c r="H106" s="742"/>
      <c r="I106" s="742"/>
      <c r="J106" s="742"/>
      <c r="K106" s="742"/>
      <c r="L106" s="742"/>
      <c r="M106" s="742"/>
      <c r="N106" s="742"/>
      <c r="O106" s="742"/>
      <c r="P106" s="742"/>
      <c r="Q106" s="378"/>
      <c r="R106" s="333"/>
      <c r="S106" s="131"/>
      <c r="T106" s="130"/>
      <c r="U106" s="130"/>
      <c r="V106" s="63"/>
      <c r="W106" s="63"/>
      <c r="X106" s="63"/>
      <c r="Y106" s="63"/>
      <c r="Z106" s="63"/>
      <c r="AA106" s="63"/>
      <c r="AB106" s="63"/>
      <c r="AC106" s="63"/>
      <c r="AD106" s="129"/>
      <c r="AE106" s="129"/>
      <c r="AF106" s="129"/>
      <c r="AG106" s="129"/>
    </row>
    <row r="107" spans="1:33" s="28" customFormat="1" ht="30" customHeight="1" x14ac:dyDescent="0.3">
      <c r="A107" s="117"/>
      <c r="B107" s="333"/>
      <c r="C107" s="145"/>
      <c r="D107" s="642" t="str">
        <f>"Please suggest process improvements to the "&amp;D2&amp;" worksheet."</f>
        <v>Please suggest process improvements to the Intergovernmental worksheet.</v>
      </c>
      <c r="E107" s="642"/>
      <c r="F107" s="642"/>
      <c r="G107" s="642"/>
      <c r="H107" s="642"/>
      <c r="I107" s="86"/>
      <c r="J107" s="87"/>
      <c r="K107" s="88"/>
      <c r="L107" s="89"/>
      <c r="M107" s="90"/>
      <c r="N107" s="91"/>
      <c r="O107" s="92"/>
      <c r="P107" s="38"/>
      <c r="Q107" s="146"/>
      <c r="R107" s="333"/>
      <c r="S107" s="133"/>
      <c r="T107" s="130"/>
      <c r="U107" s="130"/>
      <c r="V107" s="63"/>
      <c r="W107" s="63"/>
      <c r="X107" s="63"/>
      <c r="Y107" s="63"/>
      <c r="Z107" s="63"/>
      <c r="AA107" s="63"/>
      <c r="AB107" s="63"/>
      <c r="AC107" s="63"/>
      <c r="AD107" s="64"/>
      <c r="AE107" s="64"/>
      <c r="AF107" s="64"/>
      <c r="AG107" s="64"/>
    </row>
    <row r="108" spans="1:33" s="6" customFormat="1" ht="30.75" customHeight="1" x14ac:dyDescent="0.3">
      <c r="A108" s="113"/>
      <c r="B108" s="333"/>
      <c r="C108" s="135"/>
      <c r="D108" s="639"/>
      <c r="E108" s="640"/>
      <c r="F108" s="640"/>
      <c r="G108" s="640"/>
      <c r="H108" s="640"/>
      <c r="I108" s="640"/>
      <c r="J108" s="640"/>
      <c r="K108" s="640"/>
      <c r="L108" s="640"/>
      <c r="M108" s="640"/>
      <c r="N108" s="640"/>
      <c r="O108" s="640"/>
      <c r="P108" s="641"/>
      <c r="Q108" s="147"/>
      <c r="R108" s="333"/>
      <c r="S108" s="131"/>
      <c r="T108" s="130"/>
      <c r="U108" s="130"/>
      <c r="V108" s="63"/>
      <c r="W108" s="63"/>
      <c r="X108" s="63"/>
      <c r="Y108" s="63"/>
      <c r="Z108" s="63"/>
      <c r="AA108" s="63"/>
      <c r="AB108" s="63"/>
      <c r="AC108" s="63"/>
      <c r="AD108" s="65"/>
      <c r="AE108" s="65"/>
      <c r="AF108" s="65"/>
      <c r="AG108" s="65"/>
    </row>
    <row r="109" spans="1:33" ht="18" customHeight="1" x14ac:dyDescent="0.3">
      <c r="A109" s="349" t="s">
        <v>104</v>
      </c>
      <c r="B109" s="333"/>
      <c r="C109" s="148"/>
      <c r="D109" s="149"/>
      <c r="E109" s="149"/>
      <c r="F109" s="149"/>
      <c r="G109" s="149"/>
      <c r="H109" s="149"/>
      <c r="I109" s="149"/>
      <c r="J109" s="149"/>
      <c r="K109" s="149"/>
      <c r="L109" s="149"/>
      <c r="M109" s="149"/>
      <c r="N109" s="149"/>
      <c r="O109" s="149"/>
      <c r="P109" s="149"/>
      <c r="Q109" s="150"/>
      <c r="R109" s="333"/>
    </row>
    <row r="110" spans="1:33" s="63" customFormat="1" ht="14.25" customHeight="1" x14ac:dyDescent="0.2">
      <c r="B110" s="333"/>
      <c r="C110" s="333"/>
      <c r="D110" s="333"/>
      <c r="E110" s="333"/>
      <c r="F110" s="333"/>
      <c r="G110" s="333"/>
      <c r="H110" s="333"/>
      <c r="I110" s="333"/>
      <c r="J110" s="333"/>
      <c r="K110" s="333"/>
      <c r="L110" s="333"/>
      <c r="M110" s="333"/>
      <c r="N110" s="333"/>
      <c r="O110" s="333"/>
      <c r="P110" s="333"/>
      <c r="Q110" s="333"/>
      <c r="R110" s="333"/>
      <c r="S110" s="112"/>
    </row>
    <row r="111" spans="1:33" s="63" customFormat="1" ht="201" customHeight="1" x14ac:dyDescent="0.3">
      <c r="C111" s="111"/>
      <c r="S111" s="112"/>
    </row>
    <row r="112" spans="1:33" s="63" customFormat="1" x14ac:dyDescent="0.3">
      <c r="C112" s="111"/>
      <c r="S112" s="112"/>
    </row>
    <row r="113" spans="3:19" s="63" customFormat="1" x14ac:dyDescent="0.3">
      <c r="C113" s="111"/>
      <c r="S113" s="112"/>
    </row>
    <row r="114" spans="3:19" s="63" customFormat="1" x14ac:dyDescent="0.3">
      <c r="C114" s="111"/>
      <c r="S114" s="112"/>
    </row>
    <row r="115" spans="3:19" s="63" customFormat="1" x14ac:dyDescent="0.3">
      <c r="C115" s="111"/>
      <c r="S115" s="112"/>
    </row>
    <row r="116" spans="3:19" s="63" customFormat="1" x14ac:dyDescent="0.3">
      <c r="C116" s="111"/>
      <c r="S116" s="112"/>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H82"/>
  <sheetViews>
    <sheetView showGridLines="0" zoomScaleNormal="100" workbookViewId="0">
      <selection activeCell="D2" sqref="D2"/>
    </sheetView>
  </sheetViews>
  <sheetFormatPr defaultColWidth="9" defaultRowHeight="20.25" outlineLevelRow="1" outlineLevelCol="1" x14ac:dyDescent="0.3"/>
  <cols>
    <col min="1" max="1" width="14.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301" customWidth="1"/>
    <col min="19" max="19" width="2.625" style="63" customWidth="1"/>
    <col min="20" max="20" width="9" style="112" hidden="1" customWidth="1" outlineLevel="1"/>
    <col min="21" max="21" width="14.875" style="63" hidden="1" customWidth="1" outlineLevel="1"/>
    <col min="22" max="22" width="14.625" style="63" hidden="1" customWidth="1" outlineLevel="1"/>
    <col min="23" max="23" width="5.125" style="63" customWidth="1" collapsed="1"/>
    <col min="24" max="24" width="30.625" style="63" customWidth="1"/>
    <col min="25" max="25" width="18" style="63" customWidth="1"/>
    <col min="26" max="34" width="31.125" style="63" customWidth="1"/>
    <col min="35" max="16384" width="9" style="160"/>
  </cols>
  <sheetData>
    <row r="1" spans="1:34" s="63" customFormat="1" ht="20.25" customHeight="1" x14ac:dyDescent="0.2">
      <c r="A1" s="349" t="s">
        <v>100</v>
      </c>
      <c r="B1" s="333"/>
      <c r="C1" s="333"/>
      <c r="D1" s="333"/>
      <c r="E1" s="333"/>
      <c r="F1" s="333"/>
      <c r="G1" s="333"/>
      <c r="H1" s="333"/>
      <c r="I1" s="333"/>
      <c r="J1" s="333"/>
      <c r="K1" s="333"/>
      <c r="L1" s="333"/>
      <c r="M1" s="333"/>
      <c r="N1" s="333"/>
      <c r="O1" s="333"/>
      <c r="P1" s="333"/>
      <c r="Q1" s="333"/>
      <c r="R1" s="333"/>
      <c r="T1" s="112"/>
    </row>
    <row r="2" spans="1:34" s="6" customFormat="1" ht="30" customHeight="1" thickBot="1" x14ac:dyDescent="0.25">
      <c r="A2" s="349" t="s">
        <v>113</v>
      </c>
      <c r="B2" s="333"/>
      <c r="C2" s="151">
        <v>15</v>
      </c>
      <c r="D2" s="245" t="s">
        <v>83</v>
      </c>
      <c r="E2" s="716" t="str">
        <f>R.1MediaAndLongName</f>
        <v>AQ GrantsPassLMP</v>
      </c>
      <c r="F2" s="716"/>
      <c r="G2" s="716"/>
      <c r="H2" s="716"/>
      <c r="I2" s="716"/>
      <c r="J2" s="716"/>
      <c r="K2" s="716"/>
      <c r="L2" s="716"/>
      <c r="M2" s="716"/>
      <c r="N2" s="716"/>
      <c r="O2" s="716"/>
      <c r="P2" s="716"/>
      <c r="Q2" s="153"/>
      <c r="R2" s="333"/>
      <c r="S2" s="65"/>
      <c r="T2" s="118" t="str">
        <f>"R."&amp;$C$2&amp;"StaffCount"</f>
        <v>R.15StaffCount</v>
      </c>
      <c r="U2" s="118" t="str">
        <f>"R."&amp;$C$2&amp;"LowHrs"</f>
        <v>R.15LowHrs</v>
      </c>
      <c r="V2" s="348" t="str">
        <f>"R."&amp;$C$2&amp;"HighHrs"</f>
        <v>R.15HighHrs</v>
      </c>
      <c r="X2" s="119" t="s">
        <v>0</v>
      </c>
      <c r="Y2" s="63"/>
      <c r="Z2" s="63"/>
      <c r="AA2" s="63"/>
      <c r="AB2" s="63"/>
      <c r="AC2" s="63"/>
      <c r="AD2" s="63"/>
      <c r="AE2" s="65"/>
      <c r="AF2" s="65"/>
      <c r="AG2" s="65"/>
      <c r="AH2" s="65"/>
    </row>
    <row r="3" spans="1:34" s="6" customFormat="1" ht="20.25" customHeight="1" thickTop="1" x14ac:dyDescent="0.3">
      <c r="A3" s="113"/>
      <c r="B3" s="333"/>
      <c r="C3" s="154"/>
      <c r="D3" s="95"/>
      <c r="E3" s="95"/>
      <c r="F3" s="12"/>
      <c r="G3" s="163"/>
      <c r="H3" s="163"/>
      <c r="I3" s="163"/>
      <c r="J3" s="96"/>
      <c r="K3" s="12"/>
      <c r="L3" s="12"/>
      <c r="M3" s="702" t="s">
        <v>54</v>
      </c>
      <c r="N3" s="702"/>
      <c r="O3" s="702"/>
      <c r="P3" s="702"/>
      <c r="Q3" s="155"/>
      <c r="R3" s="333"/>
      <c r="S3" s="65"/>
      <c r="T3" s="353">
        <f>COUNTIFS(T13:T72,"&gt;0")</f>
        <v>0</v>
      </c>
      <c r="U3" s="354">
        <f>SUM(U13:U72)</f>
        <v>0</v>
      </c>
      <c r="V3" s="354">
        <f>SUM(V13:V72)</f>
        <v>0</v>
      </c>
      <c r="W3" s="119"/>
      <c r="X3" s="63"/>
      <c r="Y3" s="63"/>
      <c r="Z3" s="63"/>
      <c r="AA3" s="63"/>
      <c r="AB3" s="63"/>
      <c r="AC3" s="63"/>
      <c r="AD3" s="63"/>
      <c r="AE3" s="65"/>
      <c r="AF3" s="65"/>
      <c r="AG3" s="65"/>
      <c r="AH3" s="65"/>
    </row>
    <row r="4" spans="1:34" s="6" customFormat="1" ht="20.25" customHeight="1" x14ac:dyDescent="0.3">
      <c r="A4" s="113"/>
      <c r="B4" s="333"/>
      <c r="C4" s="154"/>
      <c r="D4" s="493" t="s">
        <v>52</v>
      </c>
      <c r="E4" s="80">
        <f>T3</f>
        <v>0</v>
      </c>
      <c r="F4" s="703" t="s">
        <v>51</v>
      </c>
      <c r="G4" s="703"/>
      <c r="H4" s="703"/>
      <c r="I4" s="703"/>
      <c r="J4" s="703"/>
      <c r="K4" s="703"/>
      <c r="L4" s="703"/>
      <c r="M4" s="704" t="str">
        <f>T4</f>
        <v>0</v>
      </c>
      <c r="N4" s="704"/>
      <c r="O4" s="704"/>
      <c r="P4" s="704"/>
      <c r="Q4" s="155"/>
      <c r="R4" s="333"/>
      <c r="S4" s="65"/>
      <c r="T4" s="121" t="str">
        <f>IF(R.15StaffCount=0,"0",IF(R.15LowHrs=0,"0-"&amp;TEXT(R.15HighHrs,"#,###"),TEXT(R.15LowHrs,"#,###")&amp;"-"&amp;TEXT(R.15HighHrs,"#,###")))</f>
        <v>0</v>
      </c>
      <c r="U4" s="118" t="str">
        <f>"R."&amp;$C$2&amp;"LowDollars"</f>
        <v>R.15LowDollars</v>
      </c>
      <c r="V4" s="348" t="str">
        <f>"R."&amp;$C$2&amp;"HighDollars"</f>
        <v>R.15HighDollars</v>
      </c>
      <c r="W4" s="119"/>
      <c r="X4" s="63"/>
      <c r="Y4" s="63"/>
      <c r="Z4" s="63"/>
      <c r="AA4" s="63"/>
      <c r="AB4" s="63"/>
      <c r="AC4" s="63"/>
      <c r="AD4" s="63"/>
      <c r="AE4" s="65"/>
      <c r="AF4" s="65"/>
      <c r="AG4" s="65"/>
      <c r="AH4" s="65"/>
    </row>
    <row r="5" spans="1:34" s="6" customFormat="1" ht="20.25" customHeight="1" x14ac:dyDescent="0.3">
      <c r="A5" s="113"/>
      <c r="B5" s="333"/>
      <c r="C5" s="154"/>
      <c r="D5" s="493" t="s">
        <v>64</v>
      </c>
      <c r="E5" s="97">
        <f>R.AvgHrDEQCost</f>
        <v>58</v>
      </c>
      <c r="F5" s="703" t="s">
        <v>55</v>
      </c>
      <c r="G5" s="703"/>
      <c r="H5" s="703"/>
      <c r="I5" s="703"/>
      <c r="J5" s="703"/>
      <c r="K5" s="703"/>
      <c r="L5" s="703"/>
      <c r="M5" s="705" t="str">
        <f>T5</f>
        <v>$0</v>
      </c>
      <c r="N5" s="705"/>
      <c r="O5" s="705"/>
      <c r="P5" s="705"/>
      <c r="Q5" s="155"/>
      <c r="R5" s="333"/>
      <c r="S5" s="65"/>
      <c r="T5" s="121" t="str">
        <f>IF(R.15StaffCount=0,"$0",IF(R.15LowDollars=0,"$0-"&amp;TEXT(R.15HighDollars,"#,###"),TEXT(R.15LowDollars,"$#,###")&amp;"-"&amp;TEXT(R.15HighDollars,"#,###")))</f>
        <v>$0</v>
      </c>
      <c r="U5" s="123">
        <f>U3*E5</f>
        <v>0</v>
      </c>
      <c r="V5" s="123">
        <f>V3*E5</f>
        <v>0</v>
      </c>
      <c r="W5" s="119"/>
      <c r="X5" s="63"/>
      <c r="Y5" s="63"/>
      <c r="Z5" s="63"/>
      <c r="AA5" s="63"/>
      <c r="AB5" s="63"/>
      <c r="AC5" s="63"/>
      <c r="AD5" s="63"/>
      <c r="AE5" s="65"/>
      <c r="AF5" s="65"/>
      <c r="AG5" s="65"/>
      <c r="AH5" s="65"/>
    </row>
    <row r="6" spans="1:34" s="6" customFormat="1" ht="30" customHeight="1" x14ac:dyDescent="0.3">
      <c r="A6" s="113"/>
      <c r="B6" s="333"/>
      <c r="C6" s="154"/>
      <c r="D6" s="500" t="s">
        <v>26</v>
      </c>
      <c r="E6" s="99"/>
      <c r="F6" s="98"/>
      <c r="G6" s="98"/>
      <c r="H6" s="98"/>
      <c r="I6" s="98"/>
      <c r="J6" s="98"/>
      <c r="K6" s="98"/>
      <c r="L6" s="98"/>
      <c r="M6" s="98"/>
      <c r="N6" s="98"/>
      <c r="O6" s="98"/>
      <c r="P6" s="98"/>
      <c r="Q6" s="155"/>
      <c r="R6" s="333"/>
      <c r="S6" s="65"/>
      <c r="T6" s="65"/>
      <c r="U6" s="65"/>
      <c r="V6" s="65"/>
      <c r="W6" s="119"/>
      <c r="X6" s="63"/>
      <c r="Y6" s="63"/>
      <c r="Z6" s="63"/>
      <c r="AA6" s="63"/>
      <c r="AB6" s="63"/>
      <c r="AC6" s="63"/>
      <c r="AD6" s="63"/>
      <c r="AE6" s="65"/>
      <c r="AF6" s="65"/>
      <c r="AG6" s="65"/>
      <c r="AH6" s="65"/>
    </row>
    <row r="7" spans="1:34" s="68" customFormat="1" ht="43.5" customHeight="1" x14ac:dyDescent="0.2">
      <c r="A7" s="114"/>
      <c r="B7" s="333"/>
      <c r="C7" s="156"/>
      <c r="D7" s="697"/>
      <c r="E7" s="698"/>
      <c r="F7" s="698"/>
      <c r="G7" s="698"/>
      <c r="H7" s="698"/>
      <c r="I7" s="698"/>
      <c r="J7" s="698"/>
      <c r="K7" s="698"/>
      <c r="L7" s="698"/>
      <c r="M7" s="698"/>
      <c r="N7" s="698"/>
      <c r="O7" s="698"/>
      <c r="P7" s="699"/>
      <c r="Q7" s="157"/>
      <c r="R7" s="333"/>
      <c r="S7" s="124"/>
      <c r="T7" s="715" t="s">
        <v>0</v>
      </c>
      <c r="U7" s="715"/>
      <c r="V7" s="715"/>
      <c r="W7" s="125"/>
      <c r="X7" s="125" t="s">
        <v>0</v>
      </c>
      <c r="Y7" s="125"/>
      <c r="Z7" s="125"/>
      <c r="AA7" s="125"/>
      <c r="AB7" s="125"/>
      <c r="AC7" s="125"/>
      <c r="AD7" s="125"/>
      <c r="AE7" s="124"/>
      <c r="AF7" s="124"/>
      <c r="AG7" s="124"/>
      <c r="AH7" s="124"/>
    </row>
    <row r="8" spans="1:34" s="68" customFormat="1" ht="14.25" customHeight="1" x14ac:dyDescent="0.2">
      <c r="A8" s="114"/>
      <c r="B8" s="333"/>
      <c r="C8" s="403"/>
      <c r="D8" s="404"/>
      <c r="E8" s="404"/>
      <c r="F8" s="404"/>
      <c r="G8" s="404"/>
      <c r="H8" s="404"/>
      <c r="I8" s="404"/>
      <c r="J8" s="404"/>
      <c r="K8" s="404"/>
      <c r="L8" s="404"/>
      <c r="M8" s="404"/>
      <c r="N8" s="404"/>
      <c r="O8" s="404"/>
      <c r="P8" s="404"/>
      <c r="Q8" s="405"/>
      <c r="R8" s="333"/>
      <c r="S8" s="124"/>
      <c r="T8" s="124"/>
      <c r="U8" s="124"/>
      <c r="V8" s="124"/>
      <c r="W8" s="125"/>
      <c r="X8" s="125"/>
      <c r="Y8" s="125"/>
      <c r="Z8" s="125"/>
      <c r="AA8" s="125"/>
      <c r="AB8" s="125"/>
      <c r="AC8" s="125"/>
      <c r="AD8" s="125"/>
      <c r="AE8" s="124"/>
      <c r="AF8" s="124"/>
      <c r="AG8" s="124"/>
      <c r="AH8" s="124"/>
    </row>
    <row r="9" spans="1:34" s="32" customFormat="1" ht="30" customHeight="1" x14ac:dyDescent="0.25">
      <c r="A9" s="115"/>
      <c r="B9" s="333"/>
      <c r="C9" s="482" t="s">
        <v>0</v>
      </c>
      <c r="D9" s="528" t="s">
        <v>229</v>
      </c>
      <c r="E9" s="381"/>
      <c r="F9" s="381"/>
      <c r="G9" s="381"/>
      <c r="H9" s="381"/>
      <c r="I9" s="381"/>
      <c r="J9" s="381"/>
      <c r="K9" s="381"/>
      <c r="L9" s="381"/>
      <c r="M9" s="381"/>
      <c r="N9" s="381"/>
      <c r="O9" s="381"/>
      <c r="P9" s="381"/>
      <c r="Q9" s="383"/>
      <c r="R9" s="333"/>
      <c r="S9" s="126"/>
      <c r="T9" s="127"/>
      <c r="U9" s="126"/>
      <c r="V9" s="126"/>
      <c r="W9" s="128"/>
      <c r="X9" s="128"/>
      <c r="Y9" s="128"/>
      <c r="Z9" s="128"/>
      <c r="AA9" s="128"/>
      <c r="AB9" s="128"/>
      <c r="AC9" s="128"/>
      <c r="AD9" s="128"/>
      <c r="AE9" s="126"/>
      <c r="AF9" s="126"/>
      <c r="AG9" s="126"/>
      <c r="AH9" s="126"/>
    </row>
    <row r="10" spans="1:34" s="202" customFormat="1" ht="14.25" customHeight="1" x14ac:dyDescent="0.25">
      <c r="A10" s="199"/>
      <c r="B10" s="333"/>
      <c r="C10" s="209"/>
      <c r="D10" s="442" t="s">
        <v>50</v>
      </c>
      <c r="E10" s="485"/>
      <c r="F10" s="485"/>
      <c r="G10" s="485"/>
      <c r="H10" s="485"/>
      <c r="I10" s="485"/>
      <c r="J10" s="485"/>
      <c r="K10" s="485"/>
      <c r="L10" s="485"/>
      <c r="M10" s="485"/>
      <c r="N10" s="485"/>
      <c r="O10" s="485"/>
      <c r="P10" s="485"/>
      <c r="Q10" s="210"/>
      <c r="R10" s="333"/>
      <c r="S10" s="187"/>
      <c r="T10" s="200"/>
      <c r="U10" s="187"/>
      <c r="V10" s="187"/>
      <c r="W10" s="201"/>
      <c r="X10" s="201"/>
      <c r="Y10" s="201"/>
      <c r="Z10" s="201"/>
      <c r="AA10" s="201"/>
      <c r="AB10" s="201"/>
      <c r="AC10" s="201"/>
      <c r="AD10" s="201"/>
      <c r="AE10" s="187"/>
      <c r="AF10" s="187"/>
      <c r="AG10" s="187"/>
      <c r="AH10" s="187"/>
    </row>
    <row r="11" spans="1:34" s="27" customFormat="1" ht="15.75" customHeight="1" x14ac:dyDescent="0.2">
      <c r="A11" s="116"/>
      <c r="B11" s="333"/>
      <c r="C11" s="137"/>
      <c r="D11" s="722"/>
      <c r="E11" s="723"/>
      <c r="F11" s="723"/>
      <c r="G11" s="723"/>
      <c r="H11" s="723"/>
      <c r="I11" s="723"/>
      <c r="J11" s="723"/>
      <c r="K11" s="723"/>
      <c r="L11" s="723"/>
      <c r="M11" s="723"/>
      <c r="N11" s="723"/>
      <c r="O11" s="723"/>
      <c r="P11" s="724"/>
      <c r="Q11" s="138"/>
      <c r="R11" s="333"/>
      <c r="S11" s="129"/>
      <c r="T11" s="130"/>
      <c r="U11" s="129"/>
      <c r="V11" s="129"/>
      <c r="W11" s="63"/>
      <c r="X11" s="63"/>
      <c r="Z11" s="63"/>
      <c r="AA11" s="63"/>
      <c r="AB11" s="63"/>
      <c r="AC11" s="63"/>
      <c r="AD11" s="63"/>
      <c r="AE11" s="129"/>
      <c r="AF11" s="129"/>
      <c r="AG11" s="129"/>
      <c r="AH11" s="129"/>
    </row>
    <row r="12" spans="1:34" s="202" customFormat="1" ht="15.75" customHeight="1" x14ac:dyDescent="0.25">
      <c r="A12" s="199"/>
      <c r="B12" s="333"/>
      <c r="C12" s="258"/>
      <c r="D12" s="496" t="s">
        <v>57</v>
      </c>
      <c r="E12" s="392" t="s">
        <v>15</v>
      </c>
      <c r="F12" s="736" t="s">
        <v>16</v>
      </c>
      <c r="G12" s="736"/>
      <c r="H12" s="736"/>
      <c r="I12" s="736"/>
      <c r="J12" s="736"/>
      <c r="K12" s="736"/>
      <c r="L12" s="736"/>
      <c r="M12" s="736"/>
      <c r="N12" s="736"/>
      <c r="O12" s="736"/>
      <c r="P12" s="392" t="s">
        <v>17</v>
      </c>
      <c r="Q12" s="210"/>
      <c r="R12" s="333"/>
      <c r="S12" s="187"/>
      <c r="T12" s="203"/>
      <c r="U12" s="204"/>
      <c r="V12" s="204"/>
      <c r="W12" s="201"/>
      <c r="X12" s="201"/>
      <c r="Z12" s="201"/>
      <c r="AA12" s="201"/>
      <c r="AB12" s="201"/>
      <c r="AC12" s="201"/>
      <c r="AD12" s="201"/>
      <c r="AE12" s="187"/>
      <c r="AF12" s="187"/>
      <c r="AG12" s="187"/>
      <c r="AH12" s="187"/>
    </row>
    <row r="13" spans="1:34" s="27" customFormat="1" ht="15.75" customHeight="1" x14ac:dyDescent="0.2">
      <c r="A13" s="116"/>
      <c r="B13" s="333"/>
      <c r="C13" s="137"/>
      <c r="D13" s="35"/>
      <c r="E13" s="29" t="s">
        <v>217</v>
      </c>
      <c r="F13" s="70">
        <v>1</v>
      </c>
      <c r="G13" s="71">
        <v>2</v>
      </c>
      <c r="H13" s="72">
        <v>3</v>
      </c>
      <c r="I13" s="73">
        <v>4</v>
      </c>
      <c r="J13" s="74">
        <v>5</v>
      </c>
      <c r="K13" s="75">
        <v>6</v>
      </c>
      <c r="L13" s="76">
        <v>7</v>
      </c>
      <c r="M13" s="77">
        <v>8</v>
      </c>
      <c r="N13" s="78">
        <v>9</v>
      </c>
      <c r="O13" s="79">
        <v>10</v>
      </c>
      <c r="P13" s="31"/>
      <c r="Q13" s="138"/>
      <c r="R13" s="333"/>
      <c r="S13" s="574" t="s">
        <v>542</v>
      </c>
      <c r="T13" s="132">
        <f>VLOOKUP($E13,R.VL_DEQResourcesInvolved,2,FALSE)</f>
        <v>0</v>
      </c>
      <c r="U13" s="120">
        <f>VLOOKUP($E13,R.VL_DEQResourcesInvolved,3,FALSE)</f>
        <v>0</v>
      </c>
      <c r="V13" s="120">
        <f>IF(T13=10,U13,VLOOKUP($E13,R.VL_DEQResourcesInvolved,4,FALSE))</f>
        <v>0</v>
      </c>
      <c r="W13" s="63"/>
      <c r="X13" s="63"/>
      <c r="Z13" s="63"/>
      <c r="AA13" s="63"/>
      <c r="AB13" s="63"/>
      <c r="AC13" s="63"/>
      <c r="AD13" s="63"/>
      <c r="AE13" s="129"/>
      <c r="AF13" s="129"/>
      <c r="AG13" s="129"/>
      <c r="AH13" s="129"/>
    </row>
    <row r="14" spans="1:34" s="27" customFormat="1" ht="15.75" hidden="1" customHeight="1" outlineLevel="1" x14ac:dyDescent="0.2">
      <c r="A14" s="116"/>
      <c r="B14" s="333"/>
      <c r="C14" s="137"/>
      <c r="D14" s="35" t="s">
        <v>0</v>
      </c>
      <c r="E14" s="29" t="s">
        <v>217</v>
      </c>
      <c r="F14" s="70">
        <v>1</v>
      </c>
      <c r="G14" s="71">
        <v>2</v>
      </c>
      <c r="H14" s="72">
        <v>3</v>
      </c>
      <c r="I14" s="73">
        <v>4</v>
      </c>
      <c r="J14" s="74">
        <v>5</v>
      </c>
      <c r="K14" s="75">
        <v>6</v>
      </c>
      <c r="L14" s="76">
        <v>7</v>
      </c>
      <c r="M14" s="77">
        <v>8</v>
      </c>
      <c r="N14" s="78">
        <v>9</v>
      </c>
      <c r="O14" s="79">
        <v>10</v>
      </c>
      <c r="P14" s="31" t="s">
        <v>0</v>
      </c>
      <c r="Q14" s="138"/>
      <c r="R14" s="333"/>
      <c r="S14" s="129"/>
      <c r="T14" s="132">
        <f>VLOOKUP($E14,R.VL_DEQResourcesInvolved,2,FALSE)</f>
        <v>0</v>
      </c>
      <c r="U14" s="120">
        <f>VLOOKUP($E14,R.VL_DEQResourcesInvolved,3,FALSE)</f>
        <v>0</v>
      </c>
      <c r="V14" s="120">
        <f>IF(T14=10,U14,VLOOKUP($E14,R.VL_DEQResourcesInvolved,4,FALSE))</f>
        <v>0</v>
      </c>
      <c r="W14" s="63"/>
      <c r="X14" s="63"/>
      <c r="Z14" s="63"/>
      <c r="AA14" s="63"/>
      <c r="AB14" s="63"/>
      <c r="AC14" s="63"/>
      <c r="AD14" s="63"/>
      <c r="AE14" s="129"/>
      <c r="AF14" s="129"/>
      <c r="AG14" s="129"/>
      <c r="AH14" s="129"/>
    </row>
    <row r="15" spans="1:34" s="27" customFormat="1" ht="15.75" hidden="1" customHeight="1" outlineLevel="1" x14ac:dyDescent="0.2">
      <c r="A15" s="116"/>
      <c r="B15" s="333"/>
      <c r="C15" s="137"/>
      <c r="D15" s="35" t="s">
        <v>0</v>
      </c>
      <c r="E15" s="29" t="s">
        <v>217</v>
      </c>
      <c r="F15" s="70">
        <v>1</v>
      </c>
      <c r="G15" s="71">
        <v>2</v>
      </c>
      <c r="H15" s="72">
        <v>3</v>
      </c>
      <c r="I15" s="73">
        <v>4</v>
      </c>
      <c r="J15" s="74">
        <v>5</v>
      </c>
      <c r="K15" s="75">
        <v>6</v>
      </c>
      <c r="L15" s="76">
        <v>7</v>
      </c>
      <c r="M15" s="77">
        <v>8</v>
      </c>
      <c r="N15" s="78">
        <v>9</v>
      </c>
      <c r="O15" s="79">
        <v>10</v>
      </c>
      <c r="P15" s="31" t="s">
        <v>0</v>
      </c>
      <c r="Q15" s="138"/>
      <c r="R15" s="333"/>
      <c r="S15" s="129"/>
      <c r="T15" s="132">
        <f>VLOOKUP($E15,R.VL_DEQResourcesInvolved,2,FALSE)</f>
        <v>0</v>
      </c>
      <c r="U15" s="120">
        <f>VLOOKUP($E15,R.VL_DEQResourcesInvolved,3,FALSE)</f>
        <v>0</v>
      </c>
      <c r="V15" s="120">
        <f>IF(T15=10,U15,VLOOKUP($E15,R.VL_DEQResourcesInvolved,4,FALSE))</f>
        <v>0</v>
      </c>
      <c r="W15" s="63"/>
      <c r="X15" s="63"/>
      <c r="Z15" s="63"/>
      <c r="AA15" s="63"/>
      <c r="AB15" s="63"/>
      <c r="AC15" s="63"/>
      <c r="AD15" s="63"/>
      <c r="AE15" s="129"/>
      <c r="AF15" s="129"/>
      <c r="AG15" s="129"/>
      <c r="AH15" s="129"/>
    </row>
    <row r="16" spans="1:34" s="27" customFormat="1" ht="15.75" hidden="1" customHeight="1" outlineLevel="1" x14ac:dyDescent="0.2">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29"/>
      <c r="T16" s="132">
        <f>VLOOKUP($E16,R.VL_DEQResourcesInvolved,2,FALSE)</f>
        <v>0</v>
      </c>
      <c r="U16" s="120">
        <f>VLOOKUP($E16,R.VL_DEQResourcesInvolved,3,FALSE)</f>
        <v>0</v>
      </c>
      <c r="V16" s="120">
        <f>IF(T16=10,U16,VLOOKUP($E16,R.VL_DEQResourcesInvolved,4,FALSE))</f>
        <v>0</v>
      </c>
      <c r="W16" s="63"/>
      <c r="X16" s="63"/>
      <c r="Y16" s="63"/>
      <c r="Z16" s="63"/>
      <c r="AA16" s="63"/>
      <c r="AB16" s="63"/>
      <c r="AC16" s="63"/>
      <c r="AD16" s="63"/>
      <c r="AE16" s="129"/>
      <c r="AF16" s="129"/>
      <c r="AG16" s="129"/>
      <c r="AH16" s="129"/>
    </row>
    <row r="17" spans="1:34" s="208" customFormat="1" ht="15.75" customHeight="1" collapsed="1" x14ac:dyDescent="0.25">
      <c r="A17" s="205"/>
      <c r="B17" s="333"/>
      <c r="C17" s="486"/>
      <c r="D17" s="441" t="s">
        <v>49</v>
      </c>
      <c r="E17" s="487"/>
      <c r="F17" s="487"/>
      <c r="G17" s="487"/>
      <c r="H17" s="487"/>
      <c r="I17" s="487"/>
      <c r="J17" s="487"/>
      <c r="K17" s="487"/>
      <c r="L17" s="487"/>
      <c r="M17" s="487"/>
      <c r="N17" s="487"/>
      <c r="O17" s="487"/>
      <c r="P17" s="487"/>
      <c r="Q17" s="488"/>
      <c r="R17" s="333"/>
      <c r="S17" s="206"/>
      <c r="T17" s="203"/>
      <c r="U17" s="204"/>
      <c r="V17" s="204"/>
      <c r="W17" s="207"/>
      <c r="X17" s="207"/>
      <c r="Y17" s="207"/>
      <c r="Z17" s="207"/>
      <c r="AA17" s="207"/>
      <c r="AB17" s="207"/>
      <c r="AC17" s="207"/>
      <c r="AD17" s="207"/>
      <c r="AE17" s="206"/>
      <c r="AF17" s="206"/>
      <c r="AG17" s="206"/>
      <c r="AH17" s="206"/>
    </row>
    <row r="18" spans="1:34" s="27" customFormat="1" ht="15.75" customHeight="1" x14ac:dyDescent="0.2">
      <c r="A18" s="116"/>
      <c r="B18" s="333"/>
      <c r="C18" s="137"/>
      <c r="D18" s="737"/>
      <c r="E18" s="738"/>
      <c r="F18" s="738"/>
      <c r="G18" s="738"/>
      <c r="H18" s="738"/>
      <c r="I18" s="738"/>
      <c r="J18" s="738"/>
      <c r="K18" s="738"/>
      <c r="L18" s="738"/>
      <c r="M18" s="738"/>
      <c r="N18" s="738"/>
      <c r="O18" s="738"/>
      <c r="P18" s="739"/>
      <c r="Q18" s="138"/>
      <c r="R18" s="333"/>
      <c r="S18" s="129"/>
      <c r="T18" s="131" t="s">
        <v>0</v>
      </c>
      <c r="U18" s="130"/>
      <c r="V18" s="130"/>
      <c r="W18" s="63"/>
      <c r="X18" s="63"/>
      <c r="Y18" s="63"/>
      <c r="Z18" s="63"/>
      <c r="AA18" s="63"/>
      <c r="AB18" s="63"/>
      <c r="AC18" s="63"/>
      <c r="AD18" s="63"/>
      <c r="AE18" s="129"/>
      <c r="AF18" s="129"/>
      <c r="AG18" s="129"/>
      <c r="AH18" s="129"/>
    </row>
    <row r="19" spans="1:34" s="202" customFormat="1" ht="15.75" customHeight="1" x14ac:dyDescent="0.25">
      <c r="A19" s="199"/>
      <c r="B19" s="333"/>
      <c r="C19" s="209"/>
      <c r="D19" s="441" t="s">
        <v>57</v>
      </c>
      <c r="E19" s="291" t="s">
        <v>15</v>
      </c>
      <c r="F19" s="752" t="s">
        <v>16</v>
      </c>
      <c r="G19" s="752"/>
      <c r="H19" s="752"/>
      <c r="I19" s="752"/>
      <c r="J19" s="752"/>
      <c r="K19" s="752"/>
      <c r="L19" s="752"/>
      <c r="M19" s="752"/>
      <c r="N19" s="752"/>
      <c r="O19" s="752"/>
      <c r="P19" s="291" t="s">
        <v>17</v>
      </c>
      <c r="Q19" s="210"/>
      <c r="R19" s="333"/>
      <c r="S19" s="187"/>
      <c r="T19" s="203"/>
      <c r="U19" s="204"/>
      <c r="V19" s="204"/>
      <c r="W19" s="201"/>
      <c r="X19" s="201"/>
      <c r="Y19" s="201"/>
      <c r="Z19" s="201"/>
      <c r="AA19" s="201"/>
      <c r="AB19" s="201"/>
      <c r="AC19" s="201"/>
      <c r="AD19" s="201"/>
      <c r="AE19" s="187"/>
      <c r="AF19" s="187"/>
      <c r="AG19" s="187"/>
      <c r="AH19" s="187"/>
    </row>
    <row r="20" spans="1:34" s="27" customFormat="1" ht="15.75" customHeight="1" x14ac:dyDescent="0.2">
      <c r="A20" s="116"/>
      <c r="B20" s="333"/>
      <c r="C20" s="137"/>
      <c r="D20" s="35" t="s">
        <v>0</v>
      </c>
      <c r="E20" s="29" t="s">
        <v>217</v>
      </c>
      <c r="F20" s="70">
        <v>1</v>
      </c>
      <c r="G20" s="71">
        <v>2</v>
      </c>
      <c r="H20" s="72">
        <v>3</v>
      </c>
      <c r="I20" s="73">
        <v>4</v>
      </c>
      <c r="J20" s="74">
        <v>5</v>
      </c>
      <c r="K20" s="75">
        <v>6</v>
      </c>
      <c r="L20" s="76">
        <v>7</v>
      </c>
      <c r="M20" s="77">
        <v>8</v>
      </c>
      <c r="N20" s="78">
        <v>9</v>
      </c>
      <c r="O20" s="79">
        <v>10</v>
      </c>
      <c r="P20" s="31" t="s">
        <v>0</v>
      </c>
      <c r="Q20" s="138"/>
      <c r="R20" s="333"/>
      <c r="S20" s="574" t="s">
        <v>542</v>
      </c>
      <c r="T20" s="132">
        <f>VLOOKUP($E20,R.VL_DEQResourcesInvolved,2,FALSE)</f>
        <v>0</v>
      </c>
      <c r="U20" s="120">
        <f>VLOOKUP($E20,R.VL_DEQResourcesInvolved,3,FALSE)</f>
        <v>0</v>
      </c>
      <c r="V20" s="120">
        <f>IF(T20=10,U20,VLOOKUP($E20,R.VL_DEQResourcesInvolved,4,FALSE))</f>
        <v>0</v>
      </c>
      <c r="W20" s="63"/>
      <c r="X20" s="63"/>
      <c r="Y20" s="63"/>
      <c r="Z20" s="63"/>
      <c r="AA20" s="63"/>
      <c r="AB20" s="63"/>
      <c r="AC20" s="63"/>
      <c r="AD20" s="63"/>
      <c r="AE20" s="129"/>
      <c r="AF20" s="129"/>
      <c r="AG20" s="129"/>
      <c r="AH20" s="129"/>
    </row>
    <row r="21" spans="1:34" s="27" customFormat="1" ht="15.75" hidden="1" customHeight="1" outlineLevel="1" x14ac:dyDescent="0.2">
      <c r="A21" s="116"/>
      <c r="B21" s="333"/>
      <c r="C21" s="137"/>
      <c r="D21" s="35" t="s">
        <v>0</v>
      </c>
      <c r="E21" s="29" t="s">
        <v>217</v>
      </c>
      <c r="F21" s="70">
        <v>1</v>
      </c>
      <c r="G21" s="71">
        <v>2</v>
      </c>
      <c r="H21" s="72">
        <v>3</v>
      </c>
      <c r="I21" s="73">
        <v>4</v>
      </c>
      <c r="J21" s="74">
        <v>5</v>
      </c>
      <c r="K21" s="75">
        <v>6</v>
      </c>
      <c r="L21" s="76">
        <v>7</v>
      </c>
      <c r="M21" s="77">
        <v>8</v>
      </c>
      <c r="N21" s="78">
        <v>9</v>
      </c>
      <c r="O21" s="79">
        <v>10</v>
      </c>
      <c r="P21" s="31" t="s">
        <v>0</v>
      </c>
      <c r="Q21" s="138"/>
      <c r="R21" s="333"/>
      <c r="S21" s="129"/>
      <c r="T21" s="132">
        <f>VLOOKUP($E21,R.VL_DEQResourcesInvolved,2,FALSE)</f>
        <v>0</v>
      </c>
      <c r="U21" s="120">
        <f>VLOOKUP($E21,R.VL_DEQResourcesInvolved,3,FALSE)</f>
        <v>0</v>
      </c>
      <c r="V21" s="120">
        <f>IF(T21=10,U21,VLOOKUP($E21,R.VL_DEQResourcesInvolved,4,FALSE))</f>
        <v>0</v>
      </c>
      <c r="W21" s="63"/>
      <c r="X21" s="63"/>
      <c r="Y21" s="63"/>
      <c r="Z21" s="63"/>
      <c r="AA21" s="63"/>
      <c r="AB21" s="63"/>
      <c r="AC21" s="63"/>
      <c r="AD21" s="63"/>
      <c r="AE21" s="129"/>
      <c r="AF21" s="129"/>
      <c r="AG21" s="129"/>
      <c r="AH21" s="129"/>
    </row>
    <row r="22" spans="1:34" s="27" customFormat="1" ht="15.75" hidden="1" customHeight="1" outlineLevel="1" x14ac:dyDescent="0.2">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29"/>
      <c r="T22" s="132">
        <f>VLOOKUP($E22,R.VL_DEQResourcesInvolved,2,FALSE)</f>
        <v>0</v>
      </c>
      <c r="U22" s="120">
        <f>VLOOKUP($E22,R.VL_DEQResourcesInvolved,3,FALSE)</f>
        <v>0</v>
      </c>
      <c r="V22" s="120">
        <f>IF(T22=10,U22,VLOOKUP($E22,R.VL_DEQResourcesInvolved,4,FALSE))</f>
        <v>0</v>
      </c>
      <c r="W22" s="63"/>
      <c r="X22" s="63"/>
      <c r="Y22" s="63"/>
      <c r="Z22" s="63"/>
      <c r="AA22" s="63"/>
      <c r="AB22" s="63"/>
      <c r="AC22" s="63"/>
      <c r="AD22" s="63"/>
      <c r="AE22" s="129"/>
      <c r="AF22" s="129"/>
      <c r="AG22" s="129"/>
      <c r="AH22" s="129"/>
    </row>
    <row r="23" spans="1:34" s="27" customFormat="1" ht="15.75" hidden="1" customHeight="1" outlineLevel="1" x14ac:dyDescent="0.2">
      <c r="A23" s="1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29"/>
      <c r="T23" s="132">
        <f>VLOOKUP($E23,R.VL_DEQResourcesInvolved,2,FALSE)</f>
        <v>0</v>
      </c>
      <c r="U23" s="120">
        <f>VLOOKUP($E23,R.VL_DEQResourcesInvolved,3,FALSE)</f>
        <v>0</v>
      </c>
      <c r="V23" s="120">
        <f>IF(T23=10,U23,VLOOKUP($E23,R.VL_DEQResourcesInvolved,4,FALSE))</f>
        <v>0</v>
      </c>
      <c r="W23" s="63"/>
      <c r="X23" s="63"/>
      <c r="Y23" s="63"/>
      <c r="Z23" s="63"/>
      <c r="AA23" s="63"/>
      <c r="AB23" s="63"/>
      <c r="AC23" s="63"/>
      <c r="AD23" s="63"/>
      <c r="AE23" s="129"/>
      <c r="AF23" s="129"/>
      <c r="AG23" s="129"/>
      <c r="AH23" s="129"/>
    </row>
    <row r="24" spans="1:34" s="27" customFormat="1" ht="14.25" customHeight="1" collapsed="1" x14ac:dyDescent="0.2">
      <c r="A24" s="116"/>
      <c r="B24" s="333"/>
      <c r="C24" s="375"/>
      <c r="D24" s="480"/>
      <c r="E24" s="742"/>
      <c r="F24" s="742"/>
      <c r="G24" s="742"/>
      <c r="H24" s="742"/>
      <c r="I24" s="742"/>
      <c r="J24" s="742"/>
      <c r="K24" s="742"/>
      <c r="L24" s="742"/>
      <c r="M24" s="742"/>
      <c r="N24" s="742"/>
      <c r="O24" s="742"/>
      <c r="P24" s="742"/>
      <c r="Q24" s="378"/>
      <c r="R24" s="333"/>
      <c r="S24" s="129"/>
      <c r="T24" s="131"/>
      <c r="U24" s="130"/>
      <c r="V24" s="130"/>
      <c r="W24" s="63"/>
      <c r="X24" s="63"/>
      <c r="Y24" s="63"/>
      <c r="Z24" s="63"/>
      <c r="AA24" s="63"/>
      <c r="AB24" s="63"/>
      <c r="AC24" s="63"/>
      <c r="AD24" s="63"/>
      <c r="AE24" s="129"/>
      <c r="AF24" s="129"/>
      <c r="AG24" s="129"/>
      <c r="AH24" s="129"/>
    </row>
    <row r="25" spans="1:34" s="32" customFormat="1" ht="30" customHeight="1" x14ac:dyDescent="0.25">
      <c r="A25" s="115"/>
      <c r="B25" s="333"/>
      <c r="C25" s="479" t="s">
        <v>0</v>
      </c>
      <c r="D25" s="528" t="s">
        <v>230</v>
      </c>
      <c r="E25" s="301"/>
      <c r="F25" s="93"/>
      <c r="G25" s="93"/>
      <c r="H25" s="93"/>
      <c r="I25" s="93"/>
      <c r="J25" s="93"/>
      <c r="K25" s="93"/>
      <c r="L25" s="93"/>
      <c r="M25" s="93"/>
      <c r="N25" s="93"/>
      <c r="O25" s="93"/>
      <c r="P25" s="93"/>
      <c r="Q25" s="136"/>
      <c r="R25" s="333"/>
      <c r="S25" s="126"/>
      <c r="T25" s="127"/>
      <c r="U25" s="126"/>
      <c r="V25" s="126"/>
      <c r="W25" s="128"/>
      <c r="X25" s="128"/>
      <c r="Y25" s="128"/>
      <c r="Z25" s="128"/>
      <c r="AA25" s="128"/>
      <c r="AB25" s="128"/>
      <c r="AC25" s="128"/>
      <c r="AD25" s="128"/>
      <c r="AE25" s="126"/>
      <c r="AF25" s="126"/>
      <c r="AG25" s="126"/>
      <c r="AH25" s="126"/>
    </row>
    <row r="26" spans="1:34" s="32" customFormat="1" ht="14.25" customHeight="1" x14ac:dyDescent="0.2">
      <c r="A26" s="115"/>
      <c r="B26" s="333"/>
      <c r="C26" s="231"/>
      <c r="D26" s="442" t="s">
        <v>50</v>
      </c>
      <c r="E26" s="93"/>
      <c r="F26" s="93"/>
      <c r="G26" s="93"/>
      <c r="H26" s="93"/>
      <c r="I26" s="93"/>
      <c r="J26" s="93"/>
      <c r="K26" s="93"/>
      <c r="L26" s="93"/>
      <c r="M26" s="93"/>
      <c r="N26" s="93"/>
      <c r="O26" s="93"/>
      <c r="P26" s="93"/>
      <c r="Q26" s="136"/>
      <c r="R26" s="333"/>
      <c r="S26" s="126"/>
      <c r="T26" s="234"/>
      <c r="U26" s="228"/>
      <c r="V26" s="228"/>
      <c r="W26" s="229"/>
      <c r="X26" s="229"/>
      <c r="Y26" s="229"/>
      <c r="Z26" s="229"/>
      <c r="AA26" s="229"/>
      <c r="AB26" s="229"/>
      <c r="AC26" s="229"/>
      <c r="AD26" s="229"/>
      <c r="AE26" s="126"/>
      <c r="AF26" s="126"/>
      <c r="AG26" s="126"/>
      <c r="AH26" s="126"/>
    </row>
    <row r="27" spans="1:34" s="27" customFormat="1" ht="15.75" customHeight="1" x14ac:dyDescent="0.2">
      <c r="A27" s="116"/>
      <c r="B27" s="333"/>
      <c r="C27" s="137"/>
      <c r="D27" s="722"/>
      <c r="E27" s="723"/>
      <c r="F27" s="723"/>
      <c r="G27" s="723"/>
      <c r="H27" s="723"/>
      <c r="I27" s="723"/>
      <c r="J27" s="723"/>
      <c r="K27" s="723"/>
      <c r="L27" s="723"/>
      <c r="M27" s="723"/>
      <c r="N27" s="723"/>
      <c r="O27" s="723"/>
      <c r="P27" s="724"/>
      <c r="Q27" s="138"/>
      <c r="R27" s="333"/>
      <c r="S27" s="129"/>
      <c r="T27" s="131" t="s">
        <v>0</v>
      </c>
      <c r="U27" s="130"/>
      <c r="V27" s="130"/>
      <c r="W27" s="63"/>
      <c r="X27" s="63"/>
      <c r="Y27" s="63"/>
      <c r="Z27" s="63"/>
      <c r="AA27" s="63"/>
      <c r="AB27" s="63"/>
      <c r="AC27" s="63"/>
      <c r="AD27" s="63"/>
      <c r="AE27" s="129"/>
      <c r="AF27" s="129"/>
      <c r="AG27" s="129"/>
      <c r="AH27" s="129"/>
    </row>
    <row r="28" spans="1:34" s="32" customFormat="1" ht="15.75" customHeight="1" x14ac:dyDescent="0.2">
      <c r="A28" s="115"/>
      <c r="B28" s="333"/>
      <c r="C28" s="231"/>
      <c r="D28" s="441" t="s">
        <v>57</v>
      </c>
      <c r="E28" s="158" t="s">
        <v>15</v>
      </c>
      <c r="F28" s="752" t="s">
        <v>16</v>
      </c>
      <c r="G28" s="752"/>
      <c r="H28" s="752"/>
      <c r="I28" s="752"/>
      <c r="J28" s="752"/>
      <c r="K28" s="752"/>
      <c r="L28" s="752"/>
      <c r="M28" s="752"/>
      <c r="N28" s="752"/>
      <c r="O28" s="752"/>
      <c r="P28" s="158" t="s">
        <v>17</v>
      </c>
      <c r="Q28" s="136"/>
      <c r="R28" s="333"/>
      <c r="S28" s="126"/>
      <c r="T28" s="227"/>
      <c r="U28" s="228"/>
      <c r="V28" s="228"/>
      <c r="W28" s="229"/>
      <c r="X28" s="229"/>
      <c r="Y28" s="229"/>
      <c r="Z28" s="229"/>
      <c r="AA28" s="229"/>
      <c r="AB28" s="229"/>
      <c r="AC28" s="229"/>
      <c r="AD28" s="229"/>
      <c r="AE28" s="126"/>
      <c r="AF28" s="126"/>
      <c r="AG28" s="126"/>
      <c r="AH28" s="126"/>
    </row>
    <row r="29" spans="1:34" s="27" customFormat="1" ht="15.75" customHeight="1" x14ac:dyDescent="0.2">
      <c r="A29" s="116"/>
      <c r="B29" s="333"/>
      <c r="C29" s="137"/>
      <c r="D29" s="35"/>
      <c r="E29" s="29" t="s">
        <v>217</v>
      </c>
      <c r="F29" s="70">
        <v>1</v>
      </c>
      <c r="G29" s="71">
        <v>2</v>
      </c>
      <c r="H29" s="72">
        <v>3</v>
      </c>
      <c r="I29" s="73">
        <v>4</v>
      </c>
      <c r="J29" s="74">
        <v>5</v>
      </c>
      <c r="K29" s="75">
        <v>6</v>
      </c>
      <c r="L29" s="76">
        <v>7</v>
      </c>
      <c r="M29" s="77">
        <v>8</v>
      </c>
      <c r="N29" s="78">
        <v>9</v>
      </c>
      <c r="O29" s="79">
        <v>10</v>
      </c>
      <c r="P29" s="31"/>
      <c r="Q29" s="138"/>
      <c r="R29" s="333"/>
      <c r="S29" s="574" t="s">
        <v>542</v>
      </c>
      <c r="T29" s="132">
        <f>VLOOKUP($E29,R.VL_DEQResourcesInvolved,2,FALSE)</f>
        <v>0</v>
      </c>
      <c r="U29" s="120">
        <f>VLOOKUP($E29,R.VL_DEQResourcesInvolved,3,FALSE)</f>
        <v>0</v>
      </c>
      <c r="V29" s="120">
        <f>IF(T29=10,U29,VLOOKUP($E29,R.VL_DEQResourcesInvolved,4,FALSE))</f>
        <v>0</v>
      </c>
      <c r="W29" s="63"/>
      <c r="X29" s="63"/>
      <c r="Y29" s="63"/>
      <c r="Z29" s="63"/>
      <c r="AA29" s="63"/>
      <c r="AB29" s="63"/>
      <c r="AC29" s="63"/>
      <c r="AD29" s="63"/>
      <c r="AE29" s="129"/>
      <c r="AF29" s="129"/>
      <c r="AG29" s="129"/>
      <c r="AH29" s="129"/>
    </row>
    <row r="30" spans="1:34" s="27" customFormat="1" ht="15.75" hidden="1" customHeight="1" outlineLevel="1" x14ac:dyDescent="0.2">
      <c r="A30" s="116"/>
      <c r="B30" s="333"/>
      <c r="C30" s="137"/>
      <c r="D30" s="35" t="s">
        <v>0</v>
      </c>
      <c r="E30" s="29" t="s">
        <v>217</v>
      </c>
      <c r="F30" s="70">
        <v>1</v>
      </c>
      <c r="G30" s="71">
        <v>2</v>
      </c>
      <c r="H30" s="72">
        <v>3</v>
      </c>
      <c r="I30" s="73">
        <v>4</v>
      </c>
      <c r="J30" s="74">
        <v>5</v>
      </c>
      <c r="K30" s="75">
        <v>6</v>
      </c>
      <c r="L30" s="76">
        <v>7</v>
      </c>
      <c r="M30" s="77">
        <v>8</v>
      </c>
      <c r="N30" s="78">
        <v>9</v>
      </c>
      <c r="O30" s="79">
        <v>10</v>
      </c>
      <c r="P30" s="31" t="s">
        <v>0</v>
      </c>
      <c r="Q30" s="138"/>
      <c r="R30" s="333"/>
      <c r="S30" s="129"/>
      <c r="T30" s="132">
        <f>VLOOKUP($E30,R.VL_DEQResourcesInvolved,2,FALSE)</f>
        <v>0</v>
      </c>
      <c r="U30" s="120">
        <f>VLOOKUP($E30,R.VL_DEQResourcesInvolved,3,FALSE)</f>
        <v>0</v>
      </c>
      <c r="V30" s="120">
        <f>IF(T30=10,U30,VLOOKUP($E30,R.VL_DEQResourcesInvolved,4,FALSE))</f>
        <v>0</v>
      </c>
      <c r="W30" s="63"/>
      <c r="X30" s="63"/>
      <c r="Y30" s="63"/>
      <c r="Z30" s="63"/>
      <c r="AA30" s="63"/>
      <c r="AB30" s="63"/>
      <c r="AC30" s="63"/>
      <c r="AD30" s="63"/>
      <c r="AE30" s="129"/>
      <c r="AF30" s="129"/>
      <c r="AG30" s="129"/>
      <c r="AH30" s="129"/>
    </row>
    <row r="31" spans="1:34" s="27" customFormat="1" ht="15.75" hidden="1" customHeight="1" outlineLevel="1" x14ac:dyDescent="0.2">
      <c r="A31" s="116"/>
      <c r="B31" s="333"/>
      <c r="C31" s="137"/>
      <c r="D31" s="35" t="s">
        <v>0</v>
      </c>
      <c r="E31" s="29" t="s">
        <v>217</v>
      </c>
      <c r="F31" s="70">
        <v>1</v>
      </c>
      <c r="G31" s="71">
        <v>2</v>
      </c>
      <c r="H31" s="72">
        <v>3</v>
      </c>
      <c r="I31" s="73">
        <v>4</v>
      </c>
      <c r="J31" s="74">
        <v>5</v>
      </c>
      <c r="K31" s="75">
        <v>6</v>
      </c>
      <c r="L31" s="76">
        <v>7</v>
      </c>
      <c r="M31" s="77">
        <v>8</v>
      </c>
      <c r="N31" s="78">
        <v>9</v>
      </c>
      <c r="O31" s="79">
        <v>10</v>
      </c>
      <c r="P31" s="31" t="s">
        <v>0</v>
      </c>
      <c r="Q31" s="138"/>
      <c r="R31" s="333"/>
      <c r="S31" s="129"/>
      <c r="T31" s="132">
        <f>VLOOKUP($E31,R.VL_DEQResourcesInvolved,2,FALSE)</f>
        <v>0</v>
      </c>
      <c r="U31" s="120">
        <f>VLOOKUP($E31,R.VL_DEQResourcesInvolved,3,FALSE)</f>
        <v>0</v>
      </c>
      <c r="V31" s="120">
        <f>IF(T31=10,U31,VLOOKUP($E31,R.VL_DEQResourcesInvolved,4,FALSE))</f>
        <v>0</v>
      </c>
      <c r="W31" s="63"/>
      <c r="X31" s="63"/>
      <c r="Y31" s="63"/>
      <c r="Z31" s="63"/>
      <c r="AA31" s="63"/>
      <c r="AB31" s="63"/>
      <c r="AC31" s="63"/>
      <c r="AD31" s="63"/>
      <c r="AE31" s="129"/>
      <c r="AF31" s="129"/>
      <c r="AG31" s="129"/>
      <c r="AH31" s="129"/>
    </row>
    <row r="32" spans="1:34" s="27" customFormat="1" ht="15.75" hidden="1" customHeight="1" outlineLevel="1" x14ac:dyDescent="0.2">
      <c r="A32" s="1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29"/>
      <c r="T32" s="132">
        <f>VLOOKUP($E32,R.VL_DEQResourcesInvolved,2,FALSE)</f>
        <v>0</v>
      </c>
      <c r="U32" s="120">
        <f>VLOOKUP($E32,R.VL_DEQResourcesInvolved,3,FALSE)</f>
        <v>0</v>
      </c>
      <c r="V32" s="120">
        <f>IF(T32=10,U32,VLOOKUP($E32,R.VL_DEQResourcesInvolved,4,FALSE))</f>
        <v>0</v>
      </c>
      <c r="W32" s="63"/>
      <c r="X32" s="107" t="s">
        <v>0</v>
      </c>
      <c r="Y32" s="63"/>
      <c r="Z32" s="63"/>
      <c r="AA32" s="63"/>
      <c r="AB32" s="63"/>
      <c r="AC32" s="63"/>
      <c r="AD32" s="63"/>
      <c r="AE32" s="129"/>
      <c r="AF32" s="129"/>
      <c r="AG32" s="129"/>
      <c r="AH32" s="129"/>
    </row>
    <row r="33" spans="1:34" s="27" customFormat="1" ht="15.75" customHeight="1" collapsed="1" x14ac:dyDescent="0.2">
      <c r="A33" s="116"/>
      <c r="B33" s="333"/>
      <c r="C33" s="244"/>
      <c r="D33" s="442" t="s">
        <v>49</v>
      </c>
      <c r="E33" s="30"/>
      <c r="F33" s="30"/>
      <c r="G33" s="30"/>
      <c r="H33" s="30"/>
      <c r="I33" s="30"/>
      <c r="J33" s="30"/>
      <c r="K33" s="30"/>
      <c r="L33" s="30"/>
      <c r="M33" s="30"/>
      <c r="N33" s="30"/>
      <c r="O33" s="30"/>
      <c r="P33" s="30"/>
      <c r="Q33" s="142"/>
      <c r="R33" s="333"/>
      <c r="S33" s="129"/>
      <c r="T33" s="227"/>
      <c r="U33" s="228"/>
      <c r="V33" s="228"/>
      <c r="W33" s="235"/>
      <c r="X33" s="107" t="s">
        <v>0</v>
      </c>
      <c r="Y33" s="235"/>
      <c r="Z33" s="235"/>
      <c r="AA33" s="235"/>
      <c r="AB33" s="235"/>
      <c r="AC33" s="235"/>
      <c r="AD33" s="235"/>
      <c r="AE33" s="129"/>
      <c r="AF33" s="129"/>
      <c r="AG33" s="129"/>
      <c r="AH33" s="129"/>
    </row>
    <row r="34" spans="1:34" s="27" customFormat="1" ht="15.75" customHeight="1" x14ac:dyDescent="0.2">
      <c r="A34" s="116"/>
      <c r="B34" s="333"/>
      <c r="C34" s="137"/>
      <c r="D34" s="727"/>
      <c r="E34" s="728"/>
      <c r="F34" s="728"/>
      <c r="G34" s="728"/>
      <c r="H34" s="728"/>
      <c r="I34" s="728"/>
      <c r="J34" s="728"/>
      <c r="K34" s="728"/>
      <c r="L34" s="728"/>
      <c r="M34" s="728"/>
      <c r="N34" s="728"/>
      <c r="O34" s="728"/>
      <c r="P34" s="729"/>
      <c r="Q34" s="138"/>
      <c r="R34" s="333"/>
      <c r="S34" s="129"/>
      <c r="T34" s="131" t="s">
        <v>0</v>
      </c>
      <c r="U34" s="130"/>
      <c r="V34" s="130"/>
      <c r="W34" s="63"/>
      <c r="X34" s="107" t="s">
        <v>0</v>
      </c>
      <c r="Y34" s="63"/>
      <c r="Z34" s="63"/>
      <c r="AA34" s="63"/>
      <c r="AB34" s="63"/>
      <c r="AC34" s="63"/>
      <c r="AD34" s="63"/>
      <c r="AE34" s="129"/>
      <c r="AF34" s="129"/>
      <c r="AG34" s="129"/>
      <c r="AH34" s="129"/>
    </row>
    <row r="35" spans="1:34" s="32" customFormat="1" ht="15.75" customHeight="1" x14ac:dyDescent="0.2">
      <c r="A35" s="115"/>
      <c r="B35" s="333"/>
      <c r="C35" s="231"/>
      <c r="D35" s="441" t="s">
        <v>57</v>
      </c>
      <c r="E35" s="158" t="s">
        <v>15</v>
      </c>
      <c r="F35" s="752" t="s">
        <v>16</v>
      </c>
      <c r="G35" s="752"/>
      <c r="H35" s="752"/>
      <c r="I35" s="752"/>
      <c r="J35" s="752"/>
      <c r="K35" s="752"/>
      <c r="L35" s="752"/>
      <c r="M35" s="752"/>
      <c r="N35" s="752"/>
      <c r="O35" s="752"/>
      <c r="P35" s="158" t="s">
        <v>17</v>
      </c>
      <c r="Q35" s="136"/>
      <c r="R35" s="333"/>
      <c r="S35" s="126"/>
      <c r="T35" s="227"/>
      <c r="U35" s="228"/>
      <c r="V35" s="228"/>
      <c r="W35" s="229"/>
      <c r="X35" s="107" t="s">
        <v>0</v>
      </c>
      <c r="Y35" s="229"/>
      <c r="Z35" s="229"/>
      <c r="AA35" s="229"/>
      <c r="AB35" s="229"/>
      <c r="AC35" s="229"/>
      <c r="AD35" s="229"/>
      <c r="AE35" s="126"/>
      <c r="AF35" s="126"/>
      <c r="AG35" s="126"/>
      <c r="AH35" s="126"/>
    </row>
    <row r="36" spans="1:34" s="27" customFormat="1" ht="15.75" customHeight="1" x14ac:dyDescent="0.2">
      <c r="A36" s="116"/>
      <c r="B36" s="333"/>
      <c r="C36" s="137"/>
      <c r="D36" s="35"/>
      <c r="E36" s="29" t="s">
        <v>217</v>
      </c>
      <c r="F36" s="70">
        <v>1</v>
      </c>
      <c r="G36" s="71">
        <v>2</v>
      </c>
      <c r="H36" s="72">
        <v>3</v>
      </c>
      <c r="I36" s="73">
        <v>4</v>
      </c>
      <c r="J36" s="74">
        <v>5</v>
      </c>
      <c r="K36" s="75">
        <v>6</v>
      </c>
      <c r="L36" s="76">
        <v>7</v>
      </c>
      <c r="M36" s="77">
        <v>8</v>
      </c>
      <c r="N36" s="78">
        <v>9</v>
      </c>
      <c r="O36" s="79">
        <v>10</v>
      </c>
      <c r="P36" s="31"/>
      <c r="Q36" s="138"/>
      <c r="R36" s="333"/>
      <c r="S36" s="574" t="s">
        <v>542</v>
      </c>
      <c r="T36" s="132">
        <f>VLOOKUP($E36,R.VL_DEQResourcesInvolved,2,FALSE)</f>
        <v>0</v>
      </c>
      <c r="U36" s="120">
        <f>VLOOKUP($E36,R.VL_DEQResourcesInvolved,3,FALSE)</f>
        <v>0</v>
      </c>
      <c r="V36" s="120">
        <f>IF(T36=10,U36,VLOOKUP($E36,R.VL_DEQResourcesInvolved,4,FALSE))</f>
        <v>0</v>
      </c>
      <c r="W36" s="63"/>
      <c r="X36" s="63"/>
      <c r="Y36" s="63"/>
      <c r="Z36" s="63"/>
      <c r="AA36" s="63"/>
      <c r="AB36" s="63"/>
      <c r="AC36" s="63"/>
      <c r="AD36" s="63"/>
      <c r="AE36" s="129"/>
      <c r="AF36" s="129"/>
      <c r="AG36" s="129"/>
      <c r="AH36" s="129"/>
    </row>
    <row r="37" spans="1:34" s="27" customFormat="1" ht="15.75" hidden="1" customHeight="1" outlineLevel="1" x14ac:dyDescent="0.2">
      <c r="A37" s="116"/>
      <c r="B37" s="333"/>
      <c r="C37" s="137"/>
      <c r="D37" s="35" t="s">
        <v>0</v>
      </c>
      <c r="E37" s="29" t="s">
        <v>217</v>
      </c>
      <c r="F37" s="70">
        <v>1</v>
      </c>
      <c r="G37" s="71">
        <v>2</v>
      </c>
      <c r="H37" s="72">
        <v>3</v>
      </c>
      <c r="I37" s="73">
        <v>4</v>
      </c>
      <c r="J37" s="74">
        <v>5</v>
      </c>
      <c r="K37" s="75">
        <v>6</v>
      </c>
      <c r="L37" s="76">
        <v>7</v>
      </c>
      <c r="M37" s="77">
        <v>8</v>
      </c>
      <c r="N37" s="78">
        <v>9</v>
      </c>
      <c r="O37" s="79">
        <v>10</v>
      </c>
      <c r="P37" s="31" t="s">
        <v>0</v>
      </c>
      <c r="Q37" s="138"/>
      <c r="R37" s="333"/>
      <c r="S37" s="129"/>
      <c r="T37" s="132">
        <f>VLOOKUP($E37,R.VL_DEQResourcesInvolved,2,FALSE)</f>
        <v>0</v>
      </c>
      <c r="U37" s="120">
        <f>VLOOKUP($E37,R.VL_DEQResourcesInvolved,3,FALSE)</f>
        <v>0</v>
      </c>
      <c r="V37" s="120">
        <f>IF(T37=10,U37,VLOOKUP($E37,R.VL_DEQResourcesInvolved,4,FALSE))</f>
        <v>0</v>
      </c>
      <c r="W37" s="63"/>
      <c r="X37" s="63"/>
      <c r="Y37" s="63"/>
      <c r="Z37" s="63"/>
      <c r="AA37" s="63"/>
      <c r="AB37" s="63"/>
      <c r="AC37" s="63"/>
      <c r="AD37" s="63"/>
      <c r="AE37" s="129"/>
      <c r="AF37" s="129"/>
      <c r="AG37" s="129"/>
      <c r="AH37" s="129"/>
    </row>
    <row r="38" spans="1:34" s="27" customFormat="1" ht="15.75" hidden="1" customHeight="1" outlineLevel="1" x14ac:dyDescent="0.2">
      <c r="A38" s="116"/>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29"/>
      <c r="T38" s="132">
        <f>VLOOKUP($E38,R.VL_DEQResourcesInvolved,2,FALSE)</f>
        <v>0</v>
      </c>
      <c r="U38" s="120">
        <f>VLOOKUP($E38,R.VL_DEQResourcesInvolved,3,FALSE)</f>
        <v>0</v>
      </c>
      <c r="V38" s="120">
        <f>IF(T38=10,U38,VLOOKUP($E38,R.VL_DEQResourcesInvolved,4,FALSE))</f>
        <v>0</v>
      </c>
      <c r="W38" s="63"/>
      <c r="X38" s="63"/>
      <c r="Y38" s="63"/>
      <c r="Z38" s="63"/>
      <c r="AA38" s="63"/>
      <c r="AB38" s="63"/>
      <c r="AC38" s="63"/>
      <c r="AD38" s="63"/>
      <c r="AE38" s="129"/>
      <c r="AF38" s="129"/>
      <c r="AG38" s="129"/>
      <c r="AH38" s="129"/>
    </row>
    <row r="39" spans="1:34" s="27" customFormat="1" ht="15.75" hidden="1" customHeight="1" outlineLevel="1" x14ac:dyDescent="0.2">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29"/>
      <c r="T39" s="132">
        <f>VLOOKUP($E39,R.VL_DEQResourcesInvolved,2,FALSE)</f>
        <v>0</v>
      </c>
      <c r="U39" s="120">
        <f>VLOOKUP($E39,R.VL_DEQResourcesInvolved,3,FALSE)</f>
        <v>0</v>
      </c>
      <c r="V39" s="120">
        <f>IF(T39=10,U39,VLOOKUP($E39,R.VL_DEQResourcesInvolved,4,FALSE))</f>
        <v>0</v>
      </c>
      <c r="W39" s="63"/>
      <c r="X39" s="63"/>
      <c r="Y39" s="63"/>
      <c r="Z39" s="63"/>
      <c r="AA39" s="63"/>
      <c r="AB39" s="63"/>
      <c r="AC39" s="63"/>
      <c r="AD39" s="63"/>
      <c r="AE39" s="129"/>
      <c r="AF39" s="129"/>
      <c r="AG39" s="129"/>
      <c r="AH39" s="129"/>
    </row>
    <row r="40" spans="1:34" s="27" customFormat="1" ht="14.25" customHeight="1" collapsed="1" x14ac:dyDescent="0.2">
      <c r="A40" s="116"/>
      <c r="B40" s="333"/>
      <c r="C40" s="375"/>
      <c r="D40" s="480"/>
      <c r="E40" s="742"/>
      <c r="F40" s="742"/>
      <c r="G40" s="742"/>
      <c r="H40" s="742"/>
      <c r="I40" s="742"/>
      <c r="J40" s="742"/>
      <c r="K40" s="742"/>
      <c r="L40" s="742"/>
      <c r="M40" s="742"/>
      <c r="N40" s="742"/>
      <c r="O40" s="742"/>
      <c r="P40" s="742"/>
      <c r="Q40" s="378"/>
      <c r="R40" s="333"/>
      <c r="S40" s="129"/>
      <c r="T40" s="131"/>
      <c r="U40" s="130"/>
      <c r="V40" s="130"/>
      <c r="W40" s="63"/>
      <c r="X40" s="63"/>
      <c r="Y40" s="63"/>
      <c r="Z40" s="63"/>
      <c r="AA40" s="63"/>
      <c r="AB40" s="63"/>
      <c r="AC40" s="63"/>
      <c r="AD40" s="63"/>
      <c r="AE40" s="129"/>
      <c r="AF40" s="129"/>
      <c r="AG40" s="129"/>
      <c r="AH40" s="129"/>
    </row>
    <row r="41" spans="1:34" s="32" customFormat="1" ht="30" customHeight="1" x14ac:dyDescent="0.25">
      <c r="A41" s="115"/>
      <c r="B41" s="333"/>
      <c r="C41" s="482" t="s">
        <v>0</v>
      </c>
      <c r="D41" s="528" t="s">
        <v>231</v>
      </c>
      <c r="E41" s="381"/>
      <c r="F41" s="381"/>
      <c r="G41" s="381"/>
      <c r="H41" s="381"/>
      <c r="I41" s="381"/>
      <c r="J41" s="381"/>
      <c r="K41" s="381"/>
      <c r="L41" s="381"/>
      <c r="M41" s="381"/>
      <c r="N41" s="381"/>
      <c r="O41" s="381"/>
      <c r="P41" s="381"/>
      <c r="Q41" s="383"/>
      <c r="R41" s="333"/>
      <c r="S41" s="126"/>
      <c r="T41" s="127"/>
      <c r="U41" s="126"/>
      <c r="V41" s="126"/>
      <c r="W41" s="128"/>
      <c r="X41" s="128"/>
      <c r="Y41" s="128"/>
      <c r="Z41" s="128"/>
      <c r="AA41" s="128"/>
      <c r="AB41" s="128"/>
      <c r="AC41" s="128"/>
      <c r="AD41" s="128"/>
      <c r="AE41" s="126"/>
      <c r="AF41" s="126"/>
      <c r="AG41" s="126"/>
      <c r="AH41" s="126"/>
    </row>
    <row r="42" spans="1:34" s="32" customFormat="1" ht="14.25" customHeight="1" x14ac:dyDescent="0.25">
      <c r="A42" s="115"/>
      <c r="B42" s="333"/>
      <c r="C42" s="209"/>
      <c r="D42" s="442" t="s">
        <v>50</v>
      </c>
      <c r="E42" s="485"/>
      <c r="F42" s="485"/>
      <c r="G42" s="485"/>
      <c r="H42" s="485"/>
      <c r="I42" s="485"/>
      <c r="J42" s="485"/>
      <c r="K42" s="485"/>
      <c r="L42" s="485"/>
      <c r="M42" s="485"/>
      <c r="N42" s="485"/>
      <c r="O42" s="485"/>
      <c r="P42" s="485"/>
      <c r="Q42" s="210"/>
      <c r="R42" s="333"/>
      <c r="S42" s="126"/>
      <c r="T42" s="234"/>
      <c r="U42" s="228"/>
      <c r="V42" s="228"/>
      <c r="W42" s="229"/>
      <c r="X42" s="229"/>
      <c r="Y42" s="229"/>
      <c r="Z42" s="229"/>
      <c r="AA42" s="229"/>
      <c r="AB42" s="229"/>
      <c r="AC42" s="229"/>
      <c r="AD42" s="229"/>
      <c r="AE42" s="126"/>
      <c r="AF42" s="126"/>
      <c r="AG42" s="126"/>
      <c r="AH42" s="126"/>
    </row>
    <row r="43" spans="1:34" s="27" customFormat="1" ht="15.75" customHeight="1" x14ac:dyDescent="0.2">
      <c r="A43" s="116"/>
      <c r="B43" s="333"/>
      <c r="C43" s="137"/>
      <c r="D43" s="722"/>
      <c r="E43" s="723"/>
      <c r="F43" s="723"/>
      <c r="G43" s="723"/>
      <c r="H43" s="723"/>
      <c r="I43" s="723"/>
      <c r="J43" s="723"/>
      <c r="K43" s="723"/>
      <c r="L43" s="723"/>
      <c r="M43" s="723"/>
      <c r="N43" s="723"/>
      <c r="O43" s="723"/>
      <c r="P43" s="724"/>
      <c r="Q43" s="138"/>
      <c r="R43" s="333"/>
      <c r="S43" s="129"/>
      <c r="T43" s="131" t="s">
        <v>0</v>
      </c>
      <c r="U43" s="130"/>
      <c r="V43" s="130"/>
      <c r="W43" s="63"/>
      <c r="X43" s="63"/>
      <c r="Y43" s="63"/>
      <c r="Z43" s="63"/>
      <c r="AA43" s="63"/>
      <c r="AB43" s="63"/>
      <c r="AC43" s="63"/>
      <c r="AD43" s="63"/>
      <c r="AE43" s="129"/>
      <c r="AF43" s="129"/>
      <c r="AG43" s="129"/>
      <c r="AH43" s="129"/>
    </row>
    <row r="44" spans="1:34" s="32" customFormat="1" ht="15.75" customHeight="1" x14ac:dyDescent="0.25">
      <c r="A44" s="115"/>
      <c r="B44" s="333"/>
      <c r="C44" s="258"/>
      <c r="D44" s="496" t="s">
        <v>57</v>
      </c>
      <c r="E44" s="392" t="s">
        <v>15</v>
      </c>
      <c r="F44" s="736" t="s">
        <v>16</v>
      </c>
      <c r="G44" s="736"/>
      <c r="H44" s="736"/>
      <c r="I44" s="736"/>
      <c r="J44" s="736"/>
      <c r="K44" s="736"/>
      <c r="L44" s="736"/>
      <c r="M44" s="736"/>
      <c r="N44" s="736"/>
      <c r="O44" s="736"/>
      <c r="P44" s="392" t="s">
        <v>17</v>
      </c>
      <c r="Q44" s="210"/>
      <c r="R44" s="333"/>
      <c r="S44" s="126"/>
      <c r="T44" s="227"/>
      <c r="U44" s="228"/>
      <c r="V44" s="228"/>
      <c r="W44" s="229"/>
      <c r="X44" s="229"/>
      <c r="Y44" s="229"/>
      <c r="Z44" s="229"/>
      <c r="AA44" s="229"/>
      <c r="AB44" s="229"/>
      <c r="AC44" s="229"/>
      <c r="AD44" s="229"/>
      <c r="AE44" s="126"/>
      <c r="AF44" s="126"/>
      <c r="AG44" s="126"/>
      <c r="AH44" s="126"/>
    </row>
    <row r="45" spans="1:34" s="27" customFormat="1" ht="15.75" customHeight="1" x14ac:dyDescent="0.2">
      <c r="A45" s="116"/>
      <c r="B45" s="333"/>
      <c r="C45" s="137"/>
      <c r="D45" s="35" t="s">
        <v>0</v>
      </c>
      <c r="E45" s="29" t="s">
        <v>217</v>
      </c>
      <c r="F45" s="70">
        <v>1</v>
      </c>
      <c r="G45" s="71">
        <v>2</v>
      </c>
      <c r="H45" s="72">
        <v>3</v>
      </c>
      <c r="I45" s="73">
        <v>4</v>
      </c>
      <c r="J45" s="74">
        <v>5</v>
      </c>
      <c r="K45" s="75">
        <v>6</v>
      </c>
      <c r="L45" s="76">
        <v>7</v>
      </c>
      <c r="M45" s="77">
        <v>8</v>
      </c>
      <c r="N45" s="78">
        <v>9</v>
      </c>
      <c r="O45" s="79">
        <v>10</v>
      </c>
      <c r="P45" s="31" t="s">
        <v>0</v>
      </c>
      <c r="Q45" s="138"/>
      <c r="R45" s="333"/>
      <c r="S45" s="574" t="s">
        <v>542</v>
      </c>
      <c r="T45" s="132">
        <f>VLOOKUP($E45,R.VL_DEQResourcesInvolved,2,FALSE)</f>
        <v>0</v>
      </c>
      <c r="U45" s="120">
        <f>VLOOKUP($E45,R.VL_DEQResourcesInvolved,3,FALSE)</f>
        <v>0</v>
      </c>
      <c r="V45" s="120">
        <f>IF(T45=10,U45,VLOOKUP($E45,R.VL_DEQResourcesInvolved,4,FALSE))</f>
        <v>0</v>
      </c>
      <c r="W45" s="63"/>
      <c r="X45" s="63"/>
      <c r="Y45" s="63"/>
      <c r="Z45" s="63"/>
      <c r="AA45" s="63"/>
      <c r="AB45" s="63"/>
      <c r="AC45" s="63"/>
      <c r="AD45" s="63"/>
      <c r="AE45" s="129"/>
      <c r="AF45" s="129"/>
      <c r="AG45" s="129"/>
      <c r="AH45" s="129"/>
    </row>
    <row r="46" spans="1:34" s="27" customFormat="1" ht="15.75" hidden="1" customHeight="1" outlineLevel="1" x14ac:dyDescent="0.2">
      <c r="A46" s="116"/>
      <c r="B46" s="333"/>
      <c r="C46" s="137"/>
      <c r="D46" s="35" t="s">
        <v>0</v>
      </c>
      <c r="E46" s="29" t="s">
        <v>217</v>
      </c>
      <c r="F46" s="70">
        <v>1</v>
      </c>
      <c r="G46" s="71">
        <v>2</v>
      </c>
      <c r="H46" s="72">
        <v>3</v>
      </c>
      <c r="I46" s="73">
        <v>4</v>
      </c>
      <c r="J46" s="74">
        <v>5</v>
      </c>
      <c r="K46" s="75">
        <v>6</v>
      </c>
      <c r="L46" s="76">
        <v>7</v>
      </c>
      <c r="M46" s="77">
        <v>8</v>
      </c>
      <c r="N46" s="78">
        <v>9</v>
      </c>
      <c r="O46" s="79">
        <v>10</v>
      </c>
      <c r="P46" s="31" t="s">
        <v>0</v>
      </c>
      <c r="Q46" s="138"/>
      <c r="R46" s="333"/>
      <c r="S46" s="129"/>
      <c r="T46" s="132">
        <f>VLOOKUP($E46,R.VL_DEQResourcesInvolved,2,FALSE)</f>
        <v>0</v>
      </c>
      <c r="U46" s="120">
        <f>VLOOKUP($E46,R.VL_DEQResourcesInvolved,3,FALSE)</f>
        <v>0</v>
      </c>
      <c r="V46" s="120">
        <f>IF(T46=10,U46,VLOOKUP($E46,R.VL_DEQResourcesInvolved,4,FALSE))</f>
        <v>0</v>
      </c>
      <c r="W46" s="63"/>
      <c r="X46" s="63"/>
      <c r="Y46" s="63"/>
      <c r="Z46" s="63"/>
      <c r="AA46" s="63"/>
      <c r="AB46" s="63"/>
      <c r="AC46" s="63"/>
      <c r="AD46" s="63"/>
      <c r="AE46" s="129"/>
      <c r="AF46" s="129"/>
      <c r="AG46" s="129"/>
      <c r="AH46" s="129"/>
    </row>
    <row r="47" spans="1:34" s="27" customFormat="1" ht="15.75" hidden="1" customHeight="1" outlineLevel="1" x14ac:dyDescent="0.2">
      <c r="A47" s="116"/>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29"/>
      <c r="T47" s="132">
        <f>VLOOKUP($E47,R.VL_DEQResourcesInvolved,2,FALSE)</f>
        <v>0</v>
      </c>
      <c r="U47" s="120">
        <f>VLOOKUP($E47,R.VL_DEQResourcesInvolved,3,FALSE)</f>
        <v>0</v>
      </c>
      <c r="V47" s="120">
        <f>IF(T47=10,U47,VLOOKUP($E47,R.VL_DEQResourcesInvolved,4,FALSE))</f>
        <v>0</v>
      </c>
      <c r="W47" s="63"/>
      <c r="X47" s="63"/>
      <c r="Y47" s="63"/>
      <c r="Z47" s="63"/>
      <c r="AA47" s="63"/>
      <c r="AB47" s="63"/>
      <c r="AC47" s="63"/>
      <c r="AD47" s="63"/>
      <c r="AE47" s="129"/>
      <c r="AF47" s="129"/>
      <c r="AG47" s="129"/>
      <c r="AH47" s="129"/>
    </row>
    <row r="48" spans="1:34" s="27" customFormat="1" ht="15.75" hidden="1" customHeight="1" outlineLevel="1" x14ac:dyDescent="0.2">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29"/>
      <c r="T48" s="132">
        <f>VLOOKUP($E48,R.VL_DEQResourcesInvolved,2,FALSE)</f>
        <v>0</v>
      </c>
      <c r="U48" s="120">
        <f>VLOOKUP($E48,R.VL_DEQResourcesInvolved,3,FALSE)</f>
        <v>0</v>
      </c>
      <c r="V48" s="120">
        <f>IF(T48=10,U48,VLOOKUP($E48,R.VL_DEQResourcesInvolved,4,FALSE))</f>
        <v>0</v>
      </c>
      <c r="W48" s="63"/>
      <c r="X48" s="63"/>
      <c r="Y48" s="63"/>
      <c r="Z48" s="63"/>
      <c r="AA48" s="63"/>
      <c r="AB48" s="63"/>
      <c r="AC48" s="63"/>
      <c r="AD48" s="63"/>
      <c r="AE48" s="129"/>
      <c r="AF48" s="129"/>
      <c r="AG48" s="129"/>
      <c r="AH48" s="129"/>
    </row>
    <row r="49" spans="1:34" s="27" customFormat="1" ht="15.75" customHeight="1" collapsed="1" x14ac:dyDescent="0.2">
      <c r="A49" s="116"/>
      <c r="B49" s="333"/>
      <c r="C49" s="486"/>
      <c r="D49" s="441" t="s">
        <v>49</v>
      </c>
      <c r="E49" s="487"/>
      <c r="F49" s="487"/>
      <c r="G49" s="487"/>
      <c r="H49" s="487"/>
      <c r="I49" s="487"/>
      <c r="J49" s="487"/>
      <c r="K49" s="487"/>
      <c r="L49" s="487"/>
      <c r="M49" s="487"/>
      <c r="N49" s="487"/>
      <c r="O49" s="487"/>
      <c r="P49" s="487"/>
      <c r="Q49" s="488"/>
      <c r="R49" s="333"/>
      <c r="S49" s="129"/>
      <c r="T49" s="227"/>
      <c r="U49" s="228"/>
      <c r="V49" s="228"/>
      <c r="W49" s="235"/>
      <c r="X49" s="235"/>
      <c r="Y49" s="235"/>
      <c r="Z49" s="235"/>
      <c r="AA49" s="235"/>
      <c r="AB49" s="235"/>
      <c r="AC49" s="235"/>
      <c r="AD49" s="235"/>
      <c r="AE49" s="129"/>
      <c r="AF49" s="129"/>
      <c r="AG49" s="129"/>
      <c r="AH49" s="129"/>
    </row>
    <row r="50" spans="1:34" s="27" customFormat="1" ht="15.75" customHeight="1" x14ac:dyDescent="0.2">
      <c r="A50" s="116"/>
      <c r="B50" s="333"/>
      <c r="C50" s="137"/>
      <c r="D50" s="737"/>
      <c r="E50" s="738"/>
      <c r="F50" s="738"/>
      <c r="G50" s="738"/>
      <c r="H50" s="738"/>
      <c r="I50" s="738"/>
      <c r="J50" s="738"/>
      <c r="K50" s="738"/>
      <c r="L50" s="738"/>
      <c r="M50" s="738"/>
      <c r="N50" s="738"/>
      <c r="O50" s="738"/>
      <c r="P50" s="739"/>
      <c r="Q50" s="138"/>
      <c r="R50" s="333"/>
      <c r="S50" s="129"/>
      <c r="T50" s="131" t="s">
        <v>0</v>
      </c>
      <c r="U50" s="130"/>
      <c r="V50" s="130"/>
      <c r="W50" s="63"/>
      <c r="X50" s="63"/>
      <c r="Y50" s="63"/>
      <c r="Z50" s="63"/>
      <c r="AA50" s="63"/>
      <c r="AB50" s="63"/>
      <c r="AC50" s="63"/>
      <c r="AD50" s="63"/>
      <c r="AE50" s="129"/>
      <c r="AF50" s="129"/>
      <c r="AG50" s="129"/>
      <c r="AH50" s="129"/>
    </row>
    <row r="51" spans="1:34" s="32" customFormat="1" ht="15.75" customHeight="1" x14ac:dyDescent="0.25">
      <c r="A51" s="115"/>
      <c r="B51" s="333"/>
      <c r="C51" s="209"/>
      <c r="D51" s="441" t="s">
        <v>57</v>
      </c>
      <c r="E51" s="291" t="s">
        <v>15</v>
      </c>
      <c r="F51" s="752" t="s">
        <v>16</v>
      </c>
      <c r="G51" s="752"/>
      <c r="H51" s="752"/>
      <c r="I51" s="752"/>
      <c r="J51" s="752"/>
      <c r="K51" s="752"/>
      <c r="L51" s="752"/>
      <c r="M51" s="752"/>
      <c r="N51" s="752"/>
      <c r="O51" s="752"/>
      <c r="P51" s="291" t="s">
        <v>17</v>
      </c>
      <c r="Q51" s="210"/>
      <c r="R51" s="333"/>
      <c r="S51" s="126"/>
      <c r="T51" s="227"/>
      <c r="U51" s="228"/>
      <c r="V51" s="228"/>
      <c r="W51" s="229"/>
      <c r="X51" s="229"/>
      <c r="Y51" s="229"/>
      <c r="Z51" s="229"/>
      <c r="AA51" s="229"/>
      <c r="AB51" s="229"/>
      <c r="AC51" s="229"/>
      <c r="AD51" s="229"/>
      <c r="AE51" s="126"/>
      <c r="AF51" s="126"/>
      <c r="AG51" s="126"/>
      <c r="AH51" s="126"/>
    </row>
    <row r="52" spans="1:34" s="27" customFormat="1" ht="15.75" customHeight="1" x14ac:dyDescent="0.2">
      <c r="A52" s="116"/>
      <c r="B52" s="333"/>
      <c r="C52" s="137"/>
      <c r="D52" s="35" t="s">
        <v>0</v>
      </c>
      <c r="E52" s="29" t="s">
        <v>217</v>
      </c>
      <c r="F52" s="70">
        <v>1</v>
      </c>
      <c r="G52" s="71">
        <v>2</v>
      </c>
      <c r="H52" s="72">
        <v>3</v>
      </c>
      <c r="I52" s="73">
        <v>4</v>
      </c>
      <c r="J52" s="74">
        <v>5</v>
      </c>
      <c r="K52" s="75">
        <v>6</v>
      </c>
      <c r="L52" s="76">
        <v>7</v>
      </c>
      <c r="M52" s="77">
        <v>8</v>
      </c>
      <c r="N52" s="78">
        <v>9</v>
      </c>
      <c r="O52" s="79">
        <v>10</v>
      </c>
      <c r="P52" s="31" t="s">
        <v>0</v>
      </c>
      <c r="Q52" s="138"/>
      <c r="R52" s="333"/>
      <c r="S52" s="574" t="s">
        <v>542</v>
      </c>
      <c r="T52" s="132">
        <f>VLOOKUP($E52,R.VL_DEQResourcesInvolved,2,FALSE)</f>
        <v>0</v>
      </c>
      <c r="U52" s="120">
        <f>VLOOKUP($E52,R.VL_DEQResourcesInvolved,3,FALSE)</f>
        <v>0</v>
      </c>
      <c r="V52" s="120">
        <f>IF(T52=10,U52,VLOOKUP($E52,R.VL_DEQResourcesInvolved,4,FALSE))</f>
        <v>0</v>
      </c>
      <c r="W52" s="63"/>
      <c r="X52" s="63"/>
      <c r="Y52" s="63"/>
      <c r="Z52" s="63"/>
      <c r="AA52" s="63"/>
      <c r="AB52" s="63"/>
      <c r="AC52" s="63"/>
      <c r="AD52" s="63"/>
      <c r="AE52" s="129"/>
      <c r="AF52" s="129"/>
      <c r="AG52" s="129"/>
      <c r="AH52" s="129"/>
    </row>
    <row r="53" spans="1:34" s="27" customFormat="1" ht="15.75" hidden="1" customHeight="1" outlineLevel="1" x14ac:dyDescent="0.2">
      <c r="A53" s="116"/>
      <c r="B53" s="333"/>
      <c r="C53" s="137"/>
      <c r="D53" s="35" t="s">
        <v>0</v>
      </c>
      <c r="E53" s="29" t="s">
        <v>217</v>
      </c>
      <c r="F53" s="70">
        <v>1</v>
      </c>
      <c r="G53" s="71">
        <v>2</v>
      </c>
      <c r="H53" s="72">
        <v>3</v>
      </c>
      <c r="I53" s="73">
        <v>4</v>
      </c>
      <c r="J53" s="74">
        <v>5</v>
      </c>
      <c r="K53" s="75">
        <v>6</v>
      </c>
      <c r="L53" s="76">
        <v>7</v>
      </c>
      <c r="M53" s="77">
        <v>8</v>
      </c>
      <c r="N53" s="78">
        <v>9</v>
      </c>
      <c r="O53" s="79">
        <v>10</v>
      </c>
      <c r="P53" s="31" t="s">
        <v>0</v>
      </c>
      <c r="Q53" s="138"/>
      <c r="R53" s="333"/>
      <c r="S53" s="129"/>
      <c r="T53" s="132">
        <f>VLOOKUP($E53,R.VL_DEQResourcesInvolved,2,FALSE)</f>
        <v>0</v>
      </c>
      <c r="U53" s="120">
        <f>VLOOKUP($E53,R.VL_DEQResourcesInvolved,3,FALSE)</f>
        <v>0</v>
      </c>
      <c r="V53" s="120">
        <f>IF(T53=10,U53,VLOOKUP($E53,R.VL_DEQResourcesInvolved,4,FALSE))</f>
        <v>0</v>
      </c>
      <c r="W53" s="63"/>
      <c r="X53" s="63"/>
      <c r="Y53" s="63"/>
      <c r="Z53" s="63"/>
      <c r="AA53" s="63"/>
      <c r="AB53" s="63"/>
      <c r="AC53" s="63"/>
      <c r="AD53" s="63"/>
      <c r="AE53" s="129"/>
      <c r="AF53" s="129"/>
      <c r="AG53" s="129"/>
      <c r="AH53" s="129"/>
    </row>
    <row r="54" spans="1:34" s="27" customFormat="1" ht="15.75" hidden="1" customHeight="1" outlineLevel="1" x14ac:dyDescent="0.2">
      <c r="A54" s="116"/>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29"/>
      <c r="T54" s="132">
        <f>VLOOKUP($E54,R.VL_DEQResourcesInvolved,2,FALSE)</f>
        <v>0</v>
      </c>
      <c r="U54" s="120">
        <f>VLOOKUP($E54,R.VL_DEQResourcesInvolved,3,FALSE)</f>
        <v>0</v>
      </c>
      <c r="V54" s="120">
        <f>IF(T54=10,U54,VLOOKUP($E54,R.VL_DEQResourcesInvolved,4,FALSE))</f>
        <v>0</v>
      </c>
      <c r="W54" s="63"/>
      <c r="X54" s="63"/>
      <c r="Y54" s="63"/>
      <c r="Z54" s="63"/>
      <c r="AA54" s="63"/>
      <c r="AB54" s="63"/>
      <c r="AC54" s="63"/>
      <c r="AD54" s="63"/>
      <c r="AE54" s="129"/>
      <c r="AF54" s="129"/>
      <c r="AG54" s="129"/>
      <c r="AH54" s="129"/>
    </row>
    <row r="55" spans="1:34" s="27" customFormat="1" ht="15.75" hidden="1" customHeight="1" outlineLevel="1" x14ac:dyDescent="0.2">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29"/>
      <c r="T55" s="132">
        <f>VLOOKUP($E55,R.VL_DEQResourcesInvolved,2,FALSE)</f>
        <v>0</v>
      </c>
      <c r="U55" s="120">
        <f>VLOOKUP($E55,R.VL_DEQResourcesInvolved,3,FALSE)</f>
        <v>0</v>
      </c>
      <c r="V55" s="120">
        <f>IF(T55=10,U55,VLOOKUP($E55,R.VL_DEQResourcesInvolved,4,FALSE))</f>
        <v>0</v>
      </c>
      <c r="W55" s="63"/>
      <c r="X55" s="63"/>
      <c r="Y55" s="63"/>
      <c r="Z55" s="63"/>
      <c r="AA55" s="63"/>
      <c r="AB55" s="63"/>
      <c r="AC55" s="63"/>
      <c r="AD55" s="63"/>
      <c r="AE55" s="129"/>
      <c r="AF55" s="129"/>
      <c r="AG55" s="129"/>
      <c r="AH55" s="129"/>
    </row>
    <row r="56" spans="1:34" s="27" customFormat="1" ht="14.25" customHeight="1" collapsed="1" x14ac:dyDescent="0.2">
      <c r="A56" s="116"/>
      <c r="B56" s="333"/>
      <c r="C56" s="375"/>
      <c r="D56" s="480"/>
      <c r="E56" s="742"/>
      <c r="F56" s="742"/>
      <c r="G56" s="742"/>
      <c r="H56" s="742"/>
      <c r="I56" s="742"/>
      <c r="J56" s="742"/>
      <c r="K56" s="742"/>
      <c r="L56" s="742"/>
      <c r="M56" s="742"/>
      <c r="N56" s="742"/>
      <c r="O56" s="742"/>
      <c r="P56" s="742"/>
      <c r="Q56" s="378"/>
      <c r="R56" s="333"/>
      <c r="S56" s="129"/>
      <c r="T56" s="131"/>
      <c r="U56" s="130"/>
      <c r="V56" s="130"/>
      <c r="W56" s="63"/>
      <c r="X56" s="63"/>
      <c r="Y56" s="63"/>
      <c r="Z56" s="63"/>
      <c r="AA56" s="63"/>
      <c r="AB56" s="63"/>
      <c r="AC56" s="63"/>
      <c r="AD56" s="63"/>
      <c r="AE56" s="129"/>
      <c r="AF56" s="129"/>
      <c r="AG56" s="129"/>
      <c r="AH56" s="129"/>
    </row>
    <row r="57" spans="1:34" s="32" customFormat="1" ht="30" customHeight="1" x14ac:dyDescent="0.25">
      <c r="A57" s="115"/>
      <c r="B57" s="333"/>
      <c r="C57" s="482" t="s">
        <v>0</v>
      </c>
      <c r="D57" s="505" t="s">
        <v>232</v>
      </c>
      <c r="E57" s="489"/>
      <c r="F57" s="381"/>
      <c r="G57" s="381"/>
      <c r="H57" s="381"/>
      <c r="I57" s="381"/>
      <c r="J57" s="381"/>
      <c r="K57" s="381"/>
      <c r="L57" s="381"/>
      <c r="M57" s="381"/>
      <c r="N57" s="381"/>
      <c r="O57" s="381"/>
      <c r="P57" s="381"/>
      <c r="Q57" s="383"/>
      <c r="R57" s="333"/>
      <c r="S57" s="126"/>
      <c r="T57" s="127"/>
      <c r="U57" s="126"/>
      <c r="V57" s="126"/>
      <c r="W57" s="128"/>
      <c r="X57" s="128"/>
      <c r="Y57" s="128"/>
      <c r="Z57" s="128"/>
      <c r="AA57" s="128"/>
      <c r="AB57" s="128"/>
      <c r="AC57" s="128"/>
      <c r="AD57" s="128"/>
      <c r="AE57" s="126"/>
      <c r="AF57" s="126"/>
      <c r="AG57" s="126"/>
      <c r="AH57" s="126"/>
    </row>
    <row r="58" spans="1:34" s="32" customFormat="1" ht="14.25" customHeight="1" x14ac:dyDescent="0.2">
      <c r="A58" s="115"/>
      <c r="B58" s="333"/>
      <c r="C58" s="231"/>
      <c r="D58" s="442" t="s">
        <v>50</v>
      </c>
      <c r="E58" s="93"/>
      <c r="F58" s="93"/>
      <c r="G58" s="93"/>
      <c r="H58" s="93"/>
      <c r="I58" s="93"/>
      <c r="J58" s="93"/>
      <c r="K58" s="93"/>
      <c r="L58" s="93"/>
      <c r="M58" s="93"/>
      <c r="N58" s="93"/>
      <c r="O58" s="93"/>
      <c r="P58" s="93"/>
      <c r="Q58" s="136"/>
      <c r="R58" s="333"/>
      <c r="S58" s="126"/>
      <c r="T58" s="234"/>
      <c r="U58" s="228"/>
      <c r="V58" s="228"/>
      <c r="W58" s="229"/>
      <c r="X58" s="229"/>
      <c r="Y58" s="229"/>
      <c r="Z58" s="229"/>
      <c r="AA58" s="229"/>
      <c r="AB58" s="229"/>
      <c r="AC58" s="229"/>
      <c r="AD58" s="229"/>
      <c r="AE58" s="126"/>
      <c r="AF58" s="126"/>
      <c r="AG58" s="126"/>
      <c r="AH58" s="126"/>
    </row>
    <row r="59" spans="1:34" s="27" customFormat="1" ht="15.75" customHeight="1" x14ac:dyDescent="0.2">
      <c r="A59" s="116"/>
      <c r="B59" s="333"/>
      <c r="C59" s="137"/>
      <c r="D59" s="722"/>
      <c r="E59" s="723"/>
      <c r="F59" s="723"/>
      <c r="G59" s="723"/>
      <c r="H59" s="723"/>
      <c r="I59" s="723"/>
      <c r="J59" s="723"/>
      <c r="K59" s="723"/>
      <c r="L59" s="723"/>
      <c r="M59" s="723"/>
      <c r="N59" s="723"/>
      <c r="O59" s="723"/>
      <c r="P59" s="724"/>
      <c r="Q59" s="138"/>
      <c r="R59" s="333"/>
      <c r="S59" s="129"/>
      <c r="T59" s="131" t="s">
        <v>0</v>
      </c>
      <c r="U59" s="130"/>
      <c r="V59" s="130"/>
      <c r="W59" s="63"/>
      <c r="X59" s="63"/>
      <c r="Y59" s="63"/>
      <c r="Z59" s="63"/>
      <c r="AA59" s="63"/>
      <c r="AB59" s="63"/>
      <c r="AC59" s="63"/>
      <c r="AD59" s="63"/>
      <c r="AE59" s="129"/>
      <c r="AF59" s="129"/>
      <c r="AG59" s="129"/>
      <c r="AH59" s="129"/>
    </row>
    <row r="60" spans="1:34" s="32" customFormat="1" ht="15.75" customHeight="1" x14ac:dyDescent="0.2">
      <c r="A60" s="115"/>
      <c r="B60" s="333"/>
      <c r="C60" s="231"/>
      <c r="D60" s="441" t="s">
        <v>57</v>
      </c>
      <c r="E60" s="291" t="s">
        <v>15</v>
      </c>
      <c r="F60" s="752" t="s">
        <v>16</v>
      </c>
      <c r="G60" s="752"/>
      <c r="H60" s="752"/>
      <c r="I60" s="752"/>
      <c r="J60" s="752"/>
      <c r="K60" s="752"/>
      <c r="L60" s="752"/>
      <c r="M60" s="752"/>
      <c r="N60" s="752"/>
      <c r="O60" s="752"/>
      <c r="P60" s="291" t="s">
        <v>17</v>
      </c>
      <c r="Q60" s="136"/>
      <c r="R60" s="333"/>
      <c r="S60" s="126"/>
      <c r="T60" s="227"/>
      <c r="U60" s="228"/>
      <c r="V60" s="228"/>
      <c r="W60" s="229"/>
      <c r="X60" s="229"/>
      <c r="Y60" s="229"/>
      <c r="Z60" s="229"/>
      <c r="AA60" s="229"/>
      <c r="AB60" s="229"/>
      <c r="AC60" s="229"/>
      <c r="AD60" s="229"/>
      <c r="AE60" s="126"/>
      <c r="AF60" s="126"/>
      <c r="AG60" s="126"/>
      <c r="AH60" s="126"/>
    </row>
    <row r="61" spans="1:34" s="27" customFormat="1" ht="15.75" customHeight="1" x14ac:dyDescent="0.2">
      <c r="A61" s="116"/>
      <c r="B61" s="333"/>
      <c r="C61" s="137"/>
      <c r="D61" s="35"/>
      <c r="E61" s="29" t="s">
        <v>217</v>
      </c>
      <c r="F61" s="70">
        <v>1</v>
      </c>
      <c r="G61" s="71">
        <v>2</v>
      </c>
      <c r="H61" s="72">
        <v>3</v>
      </c>
      <c r="I61" s="73">
        <v>4</v>
      </c>
      <c r="J61" s="74">
        <v>5</v>
      </c>
      <c r="K61" s="75">
        <v>6</v>
      </c>
      <c r="L61" s="76">
        <v>7</v>
      </c>
      <c r="M61" s="77">
        <v>8</v>
      </c>
      <c r="N61" s="78">
        <v>9</v>
      </c>
      <c r="O61" s="79">
        <v>10</v>
      </c>
      <c r="P61" s="31"/>
      <c r="Q61" s="138"/>
      <c r="R61" s="333"/>
      <c r="S61" s="574" t="s">
        <v>542</v>
      </c>
      <c r="T61" s="132">
        <f>VLOOKUP($E61,R.VL_DEQResourcesInvolved,2,FALSE)</f>
        <v>0</v>
      </c>
      <c r="U61" s="120">
        <f>VLOOKUP($E61,R.VL_DEQResourcesInvolved,3,FALSE)</f>
        <v>0</v>
      </c>
      <c r="V61" s="120">
        <f>IF(T61=10,U61,VLOOKUP($E61,R.VL_DEQResourcesInvolved,4,FALSE))</f>
        <v>0</v>
      </c>
      <c r="W61" s="63"/>
      <c r="X61" s="63"/>
      <c r="Y61" s="63"/>
      <c r="Z61" s="63"/>
      <c r="AA61" s="63"/>
      <c r="AB61" s="63"/>
      <c r="AC61" s="63"/>
      <c r="AD61" s="63"/>
      <c r="AE61" s="129"/>
      <c r="AF61" s="129"/>
      <c r="AG61" s="129"/>
      <c r="AH61" s="129"/>
    </row>
    <row r="62" spans="1:34" s="27" customFormat="1" ht="15.75" hidden="1" customHeight="1" outlineLevel="1" x14ac:dyDescent="0.2">
      <c r="A62" s="116"/>
      <c r="B62" s="333"/>
      <c r="C62" s="137"/>
      <c r="D62" s="35" t="s">
        <v>0</v>
      </c>
      <c r="E62" s="29" t="s">
        <v>217</v>
      </c>
      <c r="F62" s="70">
        <v>1</v>
      </c>
      <c r="G62" s="71">
        <v>2</v>
      </c>
      <c r="H62" s="72">
        <v>3</v>
      </c>
      <c r="I62" s="73">
        <v>4</v>
      </c>
      <c r="J62" s="74">
        <v>5</v>
      </c>
      <c r="K62" s="75">
        <v>6</v>
      </c>
      <c r="L62" s="76">
        <v>7</v>
      </c>
      <c r="M62" s="77">
        <v>8</v>
      </c>
      <c r="N62" s="78">
        <v>9</v>
      </c>
      <c r="O62" s="79">
        <v>10</v>
      </c>
      <c r="P62" s="31" t="s">
        <v>0</v>
      </c>
      <c r="Q62" s="138"/>
      <c r="R62" s="333"/>
      <c r="S62" s="129"/>
      <c r="T62" s="132">
        <f>VLOOKUP($E62,R.VL_DEQResourcesInvolved,2,FALSE)</f>
        <v>0</v>
      </c>
      <c r="U62" s="120">
        <f>VLOOKUP($E62,R.VL_DEQResourcesInvolved,3,FALSE)</f>
        <v>0</v>
      </c>
      <c r="V62" s="120">
        <f>IF(T62=10,U62,VLOOKUP($E62,R.VL_DEQResourcesInvolved,4,FALSE))</f>
        <v>0</v>
      </c>
      <c r="W62" s="63"/>
      <c r="X62" s="63"/>
      <c r="Y62" s="63"/>
      <c r="Z62" s="63"/>
      <c r="AA62" s="63"/>
      <c r="AB62" s="63"/>
      <c r="AC62" s="63"/>
      <c r="AD62" s="63"/>
      <c r="AE62" s="129"/>
      <c r="AF62" s="129"/>
      <c r="AG62" s="129"/>
      <c r="AH62" s="129"/>
    </row>
    <row r="63" spans="1:34" s="27" customFormat="1" ht="15.75" hidden="1" customHeight="1" outlineLevel="1" x14ac:dyDescent="0.2">
      <c r="A63" s="116"/>
      <c r="B63" s="333"/>
      <c r="C63" s="137"/>
      <c r="D63" s="35" t="s">
        <v>0</v>
      </c>
      <c r="E63" s="29" t="s">
        <v>217</v>
      </c>
      <c r="F63" s="70">
        <v>1</v>
      </c>
      <c r="G63" s="71">
        <v>2</v>
      </c>
      <c r="H63" s="72">
        <v>3</v>
      </c>
      <c r="I63" s="73">
        <v>4</v>
      </c>
      <c r="J63" s="74">
        <v>5</v>
      </c>
      <c r="K63" s="75">
        <v>6</v>
      </c>
      <c r="L63" s="76">
        <v>7</v>
      </c>
      <c r="M63" s="77">
        <v>8</v>
      </c>
      <c r="N63" s="78">
        <v>9</v>
      </c>
      <c r="O63" s="79">
        <v>10</v>
      </c>
      <c r="P63" s="31" t="s">
        <v>0</v>
      </c>
      <c r="Q63" s="138"/>
      <c r="R63" s="333"/>
      <c r="S63" s="129"/>
      <c r="T63" s="132">
        <f>VLOOKUP($E63,R.VL_DEQResourcesInvolved,2,FALSE)</f>
        <v>0</v>
      </c>
      <c r="U63" s="120">
        <f>VLOOKUP($E63,R.VL_DEQResourcesInvolved,3,FALSE)</f>
        <v>0</v>
      </c>
      <c r="V63" s="120">
        <f>IF(T63=10,U63,VLOOKUP($E63,R.VL_DEQResourcesInvolved,4,FALSE))</f>
        <v>0</v>
      </c>
      <c r="W63" s="63"/>
      <c r="X63" s="63"/>
      <c r="Y63" s="63"/>
      <c r="Z63" s="63"/>
      <c r="AA63" s="63"/>
      <c r="AB63" s="63"/>
      <c r="AC63" s="63"/>
      <c r="AD63" s="63"/>
      <c r="AE63" s="129"/>
      <c r="AF63" s="129"/>
      <c r="AG63" s="129"/>
      <c r="AH63" s="129"/>
    </row>
    <row r="64" spans="1:34" s="27" customFormat="1" ht="15.75" hidden="1" customHeight="1" outlineLevel="1" x14ac:dyDescent="0.2">
      <c r="A64" s="116"/>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29"/>
      <c r="T64" s="132">
        <f>VLOOKUP($E64,R.VL_DEQResourcesInvolved,2,FALSE)</f>
        <v>0</v>
      </c>
      <c r="U64" s="120">
        <f>VLOOKUP($E64,R.VL_DEQResourcesInvolved,3,FALSE)</f>
        <v>0</v>
      </c>
      <c r="V64" s="120">
        <f>IF(T64=10,U64,VLOOKUP($E64,R.VL_DEQResourcesInvolved,4,FALSE))</f>
        <v>0</v>
      </c>
      <c r="W64" s="63"/>
      <c r="X64" s="63"/>
      <c r="Y64" s="63"/>
      <c r="Z64" s="63"/>
      <c r="AA64" s="63"/>
      <c r="AB64" s="63"/>
      <c r="AC64" s="63"/>
      <c r="AD64" s="63"/>
      <c r="AE64" s="129"/>
      <c r="AF64" s="129"/>
      <c r="AG64" s="129"/>
      <c r="AH64" s="129"/>
    </row>
    <row r="65" spans="1:34" s="27" customFormat="1" ht="15.75" customHeight="1" collapsed="1" x14ac:dyDescent="0.2">
      <c r="A65" s="116"/>
      <c r="B65" s="333"/>
      <c r="C65" s="244"/>
      <c r="D65" s="442" t="s">
        <v>49</v>
      </c>
      <c r="E65" s="30"/>
      <c r="F65" s="30"/>
      <c r="G65" s="30"/>
      <c r="H65" s="30"/>
      <c r="I65" s="30"/>
      <c r="J65" s="30"/>
      <c r="K65" s="30"/>
      <c r="L65" s="30"/>
      <c r="M65" s="30"/>
      <c r="N65" s="30"/>
      <c r="O65" s="30"/>
      <c r="P65" s="30"/>
      <c r="Q65" s="142"/>
      <c r="R65" s="333"/>
      <c r="S65" s="129"/>
      <c r="T65" s="227"/>
      <c r="U65" s="228"/>
      <c r="V65" s="228"/>
      <c r="W65" s="235"/>
      <c r="X65" s="235"/>
      <c r="Y65" s="235"/>
      <c r="Z65" s="235"/>
      <c r="AA65" s="235"/>
      <c r="AB65" s="235"/>
      <c r="AC65" s="235"/>
      <c r="AD65" s="235"/>
      <c r="AE65" s="129"/>
      <c r="AF65" s="129"/>
      <c r="AG65" s="129"/>
      <c r="AH65" s="129"/>
    </row>
    <row r="66" spans="1:34" s="27" customFormat="1" ht="15.75" customHeight="1" x14ac:dyDescent="0.2">
      <c r="A66" s="116"/>
      <c r="B66" s="333"/>
      <c r="C66" s="137"/>
      <c r="D66" s="727"/>
      <c r="E66" s="728"/>
      <c r="F66" s="728"/>
      <c r="G66" s="728"/>
      <c r="H66" s="728"/>
      <c r="I66" s="728"/>
      <c r="J66" s="728"/>
      <c r="K66" s="728"/>
      <c r="L66" s="728"/>
      <c r="M66" s="728"/>
      <c r="N66" s="728"/>
      <c r="O66" s="728"/>
      <c r="P66" s="729"/>
      <c r="Q66" s="138"/>
      <c r="R66" s="333"/>
      <c r="S66" s="129"/>
      <c r="T66" s="131" t="s">
        <v>0</v>
      </c>
      <c r="U66" s="130"/>
      <c r="V66" s="130"/>
      <c r="W66" s="63"/>
      <c r="X66" s="63"/>
      <c r="Y66" s="63"/>
      <c r="Z66" s="63"/>
      <c r="AA66" s="63"/>
      <c r="AB66" s="63"/>
      <c r="AC66" s="63"/>
      <c r="AD66" s="63"/>
      <c r="AE66" s="129"/>
      <c r="AF66" s="129"/>
      <c r="AG66" s="129"/>
      <c r="AH66" s="129"/>
    </row>
    <row r="67" spans="1:34" s="32" customFormat="1" ht="15.75" customHeight="1" x14ac:dyDescent="0.2">
      <c r="A67" s="115"/>
      <c r="B67" s="333"/>
      <c r="C67" s="231"/>
      <c r="D67" s="441" t="s">
        <v>57</v>
      </c>
      <c r="E67" s="291" t="s">
        <v>15</v>
      </c>
      <c r="F67" s="752" t="s">
        <v>16</v>
      </c>
      <c r="G67" s="752"/>
      <c r="H67" s="752"/>
      <c r="I67" s="752"/>
      <c r="J67" s="752"/>
      <c r="K67" s="752"/>
      <c r="L67" s="752"/>
      <c r="M67" s="752"/>
      <c r="N67" s="752"/>
      <c r="O67" s="752"/>
      <c r="P67" s="291" t="s">
        <v>17</v>
      </c>
      <c r="Q67" s="136"/>
      <c r="R67" s="333"/>
      <c r="S67" s="126"/>
      <c r="T67" s="227"/>
      <c r="U67" s="228"/>
      <c r="V67" s="228"/>
      <c r="W67" s="229"/>
      <c r="X67" s="229"/>
      <c r="Y67" s="229"/>
      <c r="Z67" s="229"/>
      <c r="AA67" s="229"/>
      <c r="AB67" s="229"/>
      <c r="AC67" s="229"/>
      <c r="AD67" s="229"/>
      <c r="AE67" s="126"/>
      <c r="AF67" s="126"/>
      <c r="AG67" s="126"/>
      <c r="AH67" s="126"/>
    </row>
    <row r="68" spans="1:34" s="27" customFormat="1" ht="15.75" customHeight="1" x14ac:dyDescent="0.2">
      <c r="A68" s="116"/>
      <c r="B68" s="333"/>
      <c r="C68" s="137"/>
      <c r="D68" s="35" t="s">
        <v>0</v>
      </c>
      <c r="E68" s="29" t="s">
        <v>217</v>
      </c>
      <c r="F68" s="70">
        <v>1</v>
      </c>
      <c r="G68" s="71">
        <v>2</v>
      </c>
      <c r="H68" s="72">
        <v>3</v>
      </c>
      <c r="I68" s="73">
        <v>4</v>
      </c>
      <c r="J68" s="74">
        <v>5</v>
      </c>
      <c r="K68" s="75">
        <v>6</v>
      </c>
      <c r="L68" s="76">
        <v>7</v>
      </c>
      <c r="M68" s="77">
        <v>8</v>
      </c>
      <c r="N68" s="78">
        <v>9</v>
      </c>
      <c r="O68" s="79">
        <v>10</v>
      </c>
      <c r="P68" s="31" t="s">
        <v>0</v>
      </c>
      <c r="Q68" s="138"/>
      <c r="R68" s="333"/>
      <c r="S68" s="574" t="s">
        <v>542</v>
      </c>
      <c r="T68" s="132">
        <f>VLOOKUP($E68,R.VL_DEQResourcesInvolved,2,FALSE)</f>
        <v>0</v>
      </c>
      <c r="U68" s="120">
        <f>VLOOKUP($E68,R.VL_DEQResourcesInvolved,3,FALSE)</f>
        <v>0</v>
      </c>
      <c r="V68" s="120">
        <f>IF(T68=10,U68,VLOOKUP($E68,R.VL_DEQResourcesInvolved,4,FALSE))</f>
        <v>0</v>
      </c>
      <c r="W68" s="63"/>
      <c r="X68" s="63"/>
      <c r="Y68" s="63"/>
      <c r="Z68" s="63"/>
      <c r="AA68" s="63"/>
      <c r="AB68" s="63"/>
      <c r="AC68" s="63"/>
      <c r="AD68" s="63"/>
      <c r="AE68" s="129"/>
      <c r="AF68" s="129"/>
      <c r="AG68" s="129"/>
      <c r="AH68" s="129"/>
    </row>
    <row r="69" spans="1:34" s="27" customFormat="1" ht="15.75" hidden="1" customHeight="1" outlineLevel="1" x14ac:dyDescent="0.2">
      <c r="A69" s="116"/>
      <c r="B69" s="333"/>
      <c r="C69" s="137"/>
      <c r="D69" s="35" t="s">
        <v>0</v>
      </c>
      <c r="E69" s="29" t="s">
        <v>217</v>
      </c>
      <c r="F69" s="70">
        <v>1</v>
      </c>
      <c r="G69" s="71">
        <v>2</v>
      </c>
      <c r="H69" s="72">
        <v>3</v>
      </c>
      <c r="I69" s="73">
        <v>4</v>
      </c>
      <c r="J69" s="74">
        <v>5</v>
      </c>
      <c r="K69" s="75">
        <v>6</v>
      </c>
      <c r="L69" s="76">
        <v>7</v>
      </c>
      <c r="M69" s="77">
        <v>8</v>
      </c>
      <c r="N69" s="78">
        <v>9</v>
      </c>
      <c r="O69" s="79">
        <v>10</v>
      </c>
      <c r="P69" s="31" t="s">
        <v>0</v>
      </c>
      <c r="Q69" s="138"/>
      <c r="R69" s="333"/>
      <c r="S69" s="129"/>
      <c r="T69" s="132">
        <f>VLOOKUP($E69,R.VL_DEQResourcesInvolved,2,FALSE)</f>
        <v>0</v>
      </c>
      <c r="U69" s="120">
        <f>VLOOKUP($E69,R.VL_DEQResourcesInvolved,3,FALSE)</f>
        <v>0</v>
      </c>
      <c r="V69" s="120">
        <f>IF(T69=10,U69,VLOOKUP($E69,R.VL_DEQResourcesInvolved,4,FALSE))</f>
        <v>0</v>
      </c>
      <c r="W69" s="63"/>
      <c r="X69" s="63"/>
      <c r="Y69" s="63"/>
      <c r="Z69" s="63"/>
      <c r="AA69" s="63"/>
      <c r="AB69" s="63"/>
      <c r="AC69" s="63"/>
      <c r="AD69" s="63"/>
      <c r="AE69" s="129"/>
      <c r="AF69" s="129"/>
      <c r="AG69" s="129"/>
      <c r="AH69" s="129"/>
    </row>
    <row r="70" spans="1:34" s="27" customFormat="1" ht="15.75" hidden="1" customHeight="1" outlineLevel="1" x14ac:dyDescent="0.2">
      <c r="A70" s="116"/>
      <c r="B70" s="333"/>
      <c r="C70" s="137"/>
      <c r="D70" s="35" t="s">
        <v>0</v>
      </c>
      <c r="E70" s="29" t="s">
        <v>217</v>
      </c>
      <c r="F70" s="70">
        <v>1</v>
      </c>
      <c r="G70" s="71">
        <v>2</v>
      </c>
      <c r="H70" s="72">
        <v>3</v>
      </c>
      <c r="I70" s="73">
        <v>4</v>
      </c>
      <c r="J70" s="74">
        <v>5</v>
      </c>
      <c r="K70" s="75">
        <v>6</v>
      </c>
      <c r="L70" s="76">
        <v>7</v>
      </c>
      <c r="M70" s="77">
        <v>8</v>
      </c>
      <c r="N70" s="78">
        <v>9</v>
      </c>
      <c r="O70" s="79">
        <v>10</v>
      </c>
      <c r="P70" s="31" t="s">
        <v>0</v>
      </c>
      <c r="Q70" s="138"/>
      <c r="R70" s="333"/>
      <c r="S70" s="129"/>
      <c r="T70" s="132">
        <f>VLOOKUP($E70,R.VL_DEQResourcesInvolved,2,FALSE)</f>
        <v>0</v>
      </c>
      <c r="U70" s="120">
        <f>VLOOKUP($E70,R.VL_DEQResourcesInvolved,3,FALSE)</f>
        <v>0</v>
      </c>
      <c r="V70" s="120">
        <f>IF(T70=10,U70,VLOOKUP($E70,R.VL_DEQResourcesInvolved,4,FALSE))</f>
        <v>0</v>
      </c>
      <c r="W70" s="63"/>
      <c r="X70" s="63"/>
      <c r="Y70" s="63"/>
      <c r="Z70" s="63"/>
      <c r="AA70" s="63"/>
      <c r="AB70" s="63"/>
      <c r="AC70" s="63"/>
      <c r="AD70" s="63"/>
      <c r="AE70" s="129"/>
      <c r="AF70" s="129"/>
      <c r="AG70" s="129"/>
      <c r="AH70" s="129"/>
    </row>
    <row r="71" spans="1:34" s="27" customFormat="1" ht="15.75" hidden="1" customHeight="1" outlineLevel="1" x14ac:dyDescent="0.2">
      <c r="A71" s="116"/>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29"/>
      <c r="T71" s="132">
        <f>VLOOKUP($E71,R.VL_DEQResourcesInvolved,2,FALSE)</f>
        <v>0</v>
      </c>
      <c r="U71" s="120">
        <f>VLOOKUP($E71,R.VL_DEQResourcesInvolved,3,FALSE)</f>
        <v>0</v>
      </c>
      <c r="V71" s="120">
        <f>IF(T71=10,U71,VLOOKUP($E71,R.VL_DEQResourcesInvolved,4,FALSE))</f>
        <v>0</v>
      </c>
      <c r="W71" s="63"/>
      <c r="X71" s="63"/>
      <c r="Y71" s="63"/>
      <c r="Z71" s="63"/>
      <c r="AA71" s="63"/>
      <c r="AB71" s="63"/>
      <c r="AC71" s="63"/>
      <c r="AD71" s="63"/>
      <c r="AE71" s="129"/>
      <c r="AF71" s="129"/>
      <c r="AG71" s="129"/>
      <c r="AH71" s="129"/>
    </row>
    <row r="72" spans="1:34" s="27" customFormat="1" ht="14.25" customHeight="1" collapsed="1" x14ac:dyDescent="0.2">
      <c r="A72" s="116"/>
      <c r="B72" s="333"/>
      <c r="C72" s="375"/>
      <c r="D72" s="480"/>
      <c r="E72" s="742"/>
      <c r="F72" s="742"/>
      <c r="G72" s="742"/>
      <c r="H72" s="742"/>
      <c r="I72" s="742"/>
      <c r="J72" s="742"/>
      <c r="K72" s="742"/>
      <c r="L72" s="742"/>
      <c r="M72" s="742"/>
      <c r="N72" s="742"/>
      <c r="O72" s="742"/>
      <c r="P72" s="742"/>
      <c r="Q72" s="378"/>
      <c r="R72" s="333"/>
      <c r="S72" s="129"/>
      <c r="T72" s="131"/>
      <c r="U72" s="130"/>
      <c r="V72" s="130"/>
      <c r="W72" s="63"/>
      <c r="X72" s="63"/>
      <c r="Y72" s="63"/>
      <c r="Z72" s="63"/>
      <c r="AA72" s="63"/>
      <c r="AB72" s="63"/>
      <c r="AC72" s="63"/>
      <c r="AD72" s="63"/>
      <c r="AE72" s="129"/>
      <c r="AF72" s="129"/>
      <c r="AG72" s="129"/>
      <c r="AH72" s="129"/>
    </row>
    <row r="73" spans="1:34" s="28" customFormat="1" ht="30" customHeight="1" x14ac:dyDescent="0.3">
      <c r="A73" s="117"/>
      <c r="B73" s="333"/>
      <c r="C73" s="145"/>
      <c r="D73" s="642" t="str">
        <f>"Please suggest process improvements to the "&amp;D2&amp;" worksheet."</f>
        <v>Please suggest process improvements to the Custom Participants worksheet.</v>
      </c>
      <c r="E73" s="642"/>
      <c r="F73" s="642"/>
      <c r="G73" s="642"/>
      <c r="H73" s="642"/>
      <c r="I73" s="86"/>
      <c r="J73" s="87"/>
      <c r="K73" s="88"/>
      <c r="L73" s="89"/>
      <c r="M73" s="90"/>
      <c r="N73" s="91"/>
      <c r="O73" s="92"/>
      <c r="P73" s="38"/>
      <c r="Q73" s="146"/>
      <c r="R73" s="333"/>
      <c r="S73" s="64"/>
      <c r="T73" s="133"/>
      <c r="U73" s="130"/>
      <c r="V73" s="130"/>
      <c r="W73" s="63"/>
      <c r="X73" s="63"/>
      <c r="Y73" s="63"/>
      <c r="Z73" s="63"/>
      <c r="AA73" s="63"/>
      <c r="AB73" s="63"/>
      <c r="AC73" s="63"/>
      <c r="AD73" s="63"/>
      <c r="AE73" s="64"/>
      <c r="AF73" s="64"/>
      <c r="AG73" s="64"/>
      <c r="AH73" s="64"/>
    </row>
    <row r="74" spans="1:34" s="6" customFormat="1" ht="30.75" customHeight="1" x14ac:dyDescent="0.3">
      <c r="A74" s="113"/>
      <c r="B74" s="333"/>
      <c r="C74" s="135"/>
      <c r="D74" s="639"/>
      <c r="E74" s="640"/>
      <c r="F74" s="640"/>
      <c r="G74" s="640"/>
      <c r="H74" s="640"/>
      <c r="I74" s="640"/>
      <c r="J74" s="640"/>
      <c r="K74" s="640"/>
      <c r="L74" s="640"/>
      <c r="M74" s="640"/>
      <c r="N74" s="640"/>
      <c r="O74" s="640"/>
      <c r="P74" s="641"/>
      <c r="Q74" s="147"/>
      <c r="R74" s="333"/>
      <c r="S74" s="65"/>
      <c r="T74" s="131"/>
      <c r="U74" s="130"/>
      <c r="V74" s="130"/>
      <c r="W74" s="63"/>
      <c r="X74" s="63"/>
      <c r="Y74" s="63"/>
      <c r="Z74" s="63"/>
      <c r="AA74" s="63"/>
      <c r="AB74" s="63"/>
      <c r="AC74" s="63"/>
      <c r="AD74" s="63"/>
      <c r="AE74" s="65"/>
      <c r="AF74" s="65"/>
      <c r="AG74" s="65"/>
      <c r="AH74" s="65"/>
    </row>
    <row r="75" spans="1:34" ht="18" customHeight="1" x14ac:dyDescent="0.3">
      <c r="A75" s="349" t="s">
        <v>104</v>
      </c>
      <c r="B75" s="333"/>
      <c r="C75" s="148"/>
      <c r="D75" s="149"/>
      <c r="E75" s="149"/>
      <c r="F75" s="149"/>
      <c r="G75" s="149"/>
      <c r="H75" s="149"/>
      <c r="I75" s="149"/>
      <c r="J75" s="149"/>
      <c r="K75" s="149"/>
      <c r="L75" s="149"/>
      <c r="M75" s="149"/>
      <c r="N75" s="149"/>
      <c r="O75" s="149"/>
      <c r="P75" s="149"/>
      <c r="Q75" s="150"/>
      <c r="R75" s="333"/>
    </row>
    <row r="76" spans="1:34" s="63" customFormat="1" ht="14.25" x14ac:dyDescent="0.2">
      <c r="B76" s="333"/>
      <c r="C76" s="333"/>
      <c r="D76" s="333"/>
      <c r="E76" s="333"/>
      <c r="F76" s="333"/>
      <c r="G76" s="333"/>
      <c r="H76" s="333"/>
      <c r="I76" s="333"/>
      <c r="J76" s="333"/>
      <c r="K76" s="333"/>
      <c r="L76" s="333"/>
      <c r="M76" s="333"/>
      <c r="N76" s="333"/>
      <c r="O76" s="333"/>
      <c r="P76" s="333"/>
      <c r="Q76" s="333"/>
      <c r="R76" s="333"/>
      <c r="T76" s="112"/>
    </row>
    <row r="77" spans="1:34" s="63" customFormat="1" ht="201" customHeight="1" x14ac:dyDescent="0.3">
      <c r="C77" s="111"/>
      <c r="T77" s="112"/>
    </row>
    <row r="78" spans="1:34" s="63" customFormat="1" x14ac:dyDescent="0.3">
      <c r="C78" s="111"/>
      <c r="T78" s="112"/>
    </row>
    <row r="79" spans="1:34" s="63" customFormat="1" x14ac:dyDescent="0.3">
      <c r="C79" s="111"/>
      <c r="T79" s="112"/>
    </row>
    <row r="80" spans="1:34" s="63" customFormat="1" x14ac:dyDescent="0.3">
      <c r="C80" s="111"/>
      <c r="T80" s="112"/>
    </row>
    <row r="81" spans="3:20" s="63" customFormat="1" x14ac:dyDescent="0.3">
      <c r="C81" s="111"/>
      <c r="T81" s="112"/>
    </row>
    <row r="82" spans="3:20" s="63" customFormat="1" x14ac:dyDescent="0.3">
      <c r="C82" s="111"/>
      <c r="T82" s="112"/>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314"/>
  <sheetViews>
    <sheetView workbookViewId="0">
      <selection activeCell="C231" sqref="C231"/>
    </sheetView>
  </sheetViews>
  <sheetFormatPr defaultColWidth="9" defaultRowHeight="14.25" x14ac:dyDescent="0.2"/>
  <cols>
    <col min="1" max="1" width="8.75" style="568" customWidth="1"/>
    <col min="2" max="2" width="9.375" style="36" customWidth="1"/>
    <col min="3" max="3" width="9" style="569"/>
    <col min="4" max="4" width="10.375" style="559" customWidth="1"/>
    <col min="5" max="5" width="12" style="559" customWidth="1"/>
    <col min="6" max="6" width="8.125" style="498" customWidth="1"/>
    <col min="7" max="7" width="26.25" style="570" customWidth="1"/>
    <col min="8" max="8" width="23.875" style="570" customWidth="1"/>
    <col min="9" max="9" width="9.375" style="570" customWidth="1"/>
    <col min="10" max="10" width="8.5" style="569"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x14ac:dyDescent="0.3">
      <c r="A1" s="605" t="s">
        <v>312</v>
      </c>
      <c r="B1" s="605"/>
      <c r="C1" s="605"/>
      <c r="D1" s="605"/>
      <c r="E1" s="605"/>
      <c r="F1" s="605"/>
      <c r="G1" s="605"/>
      <c r="H1" s="563"/>
      <c r="I1" s="563"/>
      <c r="J1" s="606" t="s">
        <v>313</v>
      </c>
      <c r="K1" s="606"/>
      <c r="L1" s="606"/>
      <c r="M1" s="606"/>
      <c r="N1" s="606"/>
      <c r="O1" s="606"/>
      <c r="P1" s="606"/>
      <c r="Q1" s="606"/>
      <c r="R1" s="606"/>
      <c r="S1" s="606"/>
      <c r="T1" s="606"/>
      <c r="U1" s="606"/>
      <c r="V1" s="606"/>
      <c r="W1" s="606"/>
      <c r="X1" s="606"/>
      <c r="Y1" s="606"/>
      <c r="Z1" s="606"/>
      <c r="AA1" s="606"/>
      <c r="AB1" s="606"/>
      <c r="AC1" s="606"/>
      <c r="AD1" s="606"/>
      <c r="AE1" s="606"/>
      <c r="AF1" s="564"/>
      <c r="AG1" s="564"/>
      <c r="AH1" s="564"/>
      <c r="AI1" s="564"/>
    </row>
    <row r="2" spans="1:35" x14ac:dyDescent="0.2">
      <c r="A2" s="565" t="s">
        <v>314</v>
      </c>
      <c r="B2" s="542" t="s">
        <v>315</v>
      </c>
      <c r="C2" s="566" t="s">
        <v>316</v>
      </c>
      <c r="D2" s="443" t="s">
        <v>201</v>
      </c>
      <c r="E2" s="443" t="s">
        <v>242</v>
      </c>
      <c r="F2" s="542" t="s">
        <v>317</v>
      </c>
      <c r="G2" s="567" t="s">
        <v>318</v>
      </c>
      <c r="H2" s="567" t="s">
        <v>319</v>
      </c>
      <c r="I2" s="567" t="s">
        <v>454</v>
      </c>
      <c r="J2" s="566" t="s">
        <v>320</v>
      </c>
      <c r="K2" s="443" t="s">
        <v>321</v>
      </c>
      <c r="L2" s="443" t="s">
        <v>322</v>
      </c>
      <c r="M2" s="542" t="s">
        <v>323</v>
      </c>
      <c r="N2" s="542" t="s">
        <v>324</v>
      </c>
      <c r="O2" s="542" t="s">
        <v>325</v>
      </c>
      <c r="P2" s="542" t="s">
        <v>326</v>
      </c>
      <c r="Q2" s="542" t="s">
        <v>327</v>
      </c>
      <c r="R2" s="542" t="s">
        <v>328</v>
      </c>
      <c r="S2" s="542" t="s">
        <v>329</v>
      </c>
      <c r="T2" s="542" t="s">
        <v>330</v>
      </c>
      <c r="U2" s="542" t="s">
        <v>331</v>
      </c>
      <c r="V2" s="542" t="s">
        <v>332</v>
      </c>
      <c r="W2" s="542" t="s">
        <v>333</v>
      </c>
      <c r="X2" s="542" t="s">
        <v>334</v>
      </c>
      <c r="Y2" s="542" t="s">
        <v>335</v>
      </c>
      <c r="Z2" s="542" t="s">
        <v>336</v>
      </c>
      <c r="AA2" s="542" t="s">
        <v>337</v>
      </c>
      <c r="AB2" s="542" t="s">
        <v>338</v>
      </c>
      <c r="AC2" s="542" t="s">
        <v>339</v>
      </c>
      <c r="AD2" s="542" t="s">
        <v>340</v>
      </c>
      <c r="AE2" s="542" t="s">
        <v>341</v>
      </c>
      <c r="AF2" s="542" t="s">
        <v>342</v>
      </c>
      <c r="AG2" s="542" t="s">
        <v>343</v>
      </c>
      <c r="AH2" s="542" t="s">
        <v>344</v>
      </c>
      <c r="AI2" s="542" t="s">
        <v>345</v>
      </c>
    </row>
    <row r="3" spans="1:35" ht="28.5" hidden="1" x14ac:dyDescent="0.2">
      <c r="A3" s="568">
        <v>1</v>
      </c>
      <c r="B3" s="36">
        <v>1</v>
      </c>
      <c r="C3" s="569">
        <v>41144</v>
      </c>
      <c r="D3" s="559" t="s">
        <v>346</v>
      </c>
      <c r="E3" s="577" t="s">
        <v>352</v>
      </c>
      <c r="F3" s="498" t="s">
        <v>347</v>
      </c>
      <c r="G3" s="570" t="s">
        <v>348</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x14ac:dyDescent="0.2">
      <c r="A4" s="568">
        <v>1</v>
      </c>
      <c r="B4" s="36">
        <v>2</v>
      </c>
      <c r="C4" s="569">
        <v>41144</v>
      </c>
      <c r="D4" s="559" t="s">
        <v>346</v>
      </c>
      <c r="E4" s="559" t="s">
        <v>352</v>
      </c>
      <c r="F4" s="498" t="s">
        <v>349</v>
      </c>
      <c r="G4" s="570" t="s">
        <v>350</v>
      </c>
      <c r="H4" s="570" t="s">
        <v>351</v>
      </c>
      <c r="I4" s="570" t="str">
        <f>Table1[[#This Row],[Staff]]</f>
        <v>Nicole</v>
      </c>
      <c r="J4" s="569">
        <f>Table1[[#This Row],[Date]]</f>
        <v>41144</v>
      </c>
      <c r="K4" s="525"/>
      <c r="L4" s="525"/>
    </row>
    <row r="5" spans="1:35" hidden="1" x14ac:dyDescent="0.2">
      <c r="A5" s="568">
        <v>1</v>
      </c>
      <c r="B5" s="36">
        <v>3</v>
      </c>
      <c r="C5" s="569">
        <v>41144</v>
      </c>
      <c r="D5" s="559" t="s">
        <v>346</v>
      </c>
      <c r="E5" s="559" t="s">
        <v>353</v>
      </c>
      <c r="F5" s="498" t="s">
        <v>354</v>
      </c>
      <c r="G5" s="570" t="s">
        <v>355</v>
      </c>
      <c r="H5" s="570" t="s">
        <v>356</v>
      </c>
      <c r="I5" s="570" t="str">
        <f>Table1[[#This Row],[Staff]]</f>
        <v>Nicole</v>
      </c>
      <c r="J5" s="569">
        <f>Table1[[#This Row],[Date]]</f>
        <v>41144</v>
      </c>
      <c r="K5" s="525"/>
      <c r="L5" s="525"/>
    </row>
    <row r="6" spans="1:35" ht="28.5" hidden="1" x14ac:dyDescent="0.2">
      <c r="A6" s="568">
        <v>1</v>
      </c>
      <c r="B6" s="36">
        <v>4</v>
      </c>
      <c r="C6" s="569">
        <v>41144</v>
      </c>
      <c r="D6" s="559" t="s">
        <v>346</v>
      </c>
      <c r="E6" s="559" t="s">
        <v>353</v>
      </c>
      <c r="F6" s="498" t="s">
        <v>357</v>
      </c>
      <c r="G6" s="570" t="s">
        <v>358</v>
      </c>
      <c r="H6" s="570" t="s">
        <v>359</v>
      </c>
      <c r="I6" s="570" t="str">
        <f>Table1[[#This Row],[Staff]]</f>
        <v>Nicole</v>
      </c>
      <c r="J6" s="569">
        <f>Table1[[#This Row],[Date]]</f>
        <v>41144</v>
      </c>
      <c r="K6" s="525"/>
      <c r="L6" s="525"/>
    </row>
    <row r="7" spans="1:35" hidden="1" x14ac:dyDescent="0.2">
      <c r="A7" s="568">
        <v>1</v>
      </c>
      <c r="B7" s="36">
        <v>5</v>
      </c>
      <c r="C7" s="569">
        <v>41144</v>
      </c>
      <c r="D7" s="559" t="s">
        <v>346</v>
      </c>
      <c r="E7" s="559" t="s">
        <v>153</v>
      </c>
      <c r="F7" s="498" t="s">
        <v>354</v>
      </c>
      <c r="G7" s="570" t="s">
        <v>355</v>
      </c>
      <c r="H7" s="570" t="s">
        <v>368</v>
      </c>
      <c r="I7" s="570" t="str">
        <f>Table1[[#This Row],[Staff]]</f>
        <v>Nicole</v>
      </c>
      <c r="J7" s="569">
        <f>Table1[[#This Row],[Date]]</f>
        <v>41144</v>
      </c>
      <c r="K7" s="525"/>
      <c r="L7" s="525"/>
    </row>
    <row r="8" spans="1:35" hidden="1" x14ac:dyDescent="0.2">
      <c r="A8" s="568">
        <v>1</v>
      </c>
      <c r="B8" s="36">
        <v>6</v>
      </c>
      <c r="C8" s="569">
        <v>41144</v>
      </c>
      <c r="D8" s="559" t="s">
        <v>346</v>
      </c>
      <c r="E8" s="559" t="s">
        <v>153</v>
      </c>
      <c r="F8" s="498" t="s">
        <v>360</v>
      </c>
      <c r="G8" s="570" t="s">
        <v>364</v>
      </c>
      <c r="H8" s="570" t="s">
        <v>361</v>
      </c>
      <c r="I8" s="570" t="str">
        <f>Table1[[#This Row],[Staff]]</f>
        <v>Nicole</v>
      </c>
      <c r="J8" s="569">
        <f>Table1[[#This Row],[Date]]</f>
        <v>41144</v>
      </c>
      <c r="K8" s="525"/>
      <c r="L8" s="525"/>
    </row>
    <row r="9" spans="1:35" hidden="1" x14ac:dyDescent="0.2">
      <c r="A9" s="568">
        <v>1</v>
      </c>
      <c r="B9" s="36">
        <v>7</v>
      </c>
      <c r="C9" s="569">
        <v>41144</v>
      </c>
      <c r="D9" s="559" t="s">
        <v>346</v>
      </c>
      <c r="E9" s="559" t="s">
        <v>362</v>
      </c>
      <c r="F9" s="498" t="s">
        <v>354</v>
      </c>
      <c r="G9" s="570" t="s">
        <v>355</v>
      </c>
      <c r="H9" s="570" t="s">
        <v>368</v>
      </c>
      <c r="I9" s="570" t="str">
        <f>Table1[[#This Row],[Staff]]</f>
        <v>Nicole</v>
      </c>
      <c r="J9" s="569">
        <f>Table1[[#This Row],[Date]]</f>
        <v>41144</v>
      </c>
      <c r="K9" s="525"/>
      <c r="L9" s="525"/>
    </row>
    <row r="10" spans="1:35" hidden="1" x14ac:dyDescent="0.2">
      <c r="A10" s="568">
        <v>1</v>
      </c>
      <c r="B10" s="36">
        <v>8</v>
      </c>
      <c r="C10" s="569">
        <v>41144</v>
      </c>
      <c r="D10" s="559" t="s">
        <v>346</v>
      </c>
      <c r="E10" s="559" t="s">
        <v>6</v>
      </c>
      <c r="F10" s="498" t="s">
        <v>354</v>
      </c>
      <c r="G10" s="570" t="s">
        <v>355</v>
      </c>
      <c r="H10" s="570" t="s">
        <v>368</v>
      </c>
      <c r="I10" s="570" t="str">
        <f>Table1[[#This Row],[Staff]]</f>
        <v>Nicole</v>
      </c>
      <c r="J10" s="569">
        <f>Table1[[#This Row],[Date]]</f>
        <v>41144</v>
      </c>
      <c r="K10" s="525"/>
      <c r="L10" s="525"/>
    </row>
    <row r="11" spans="1:35" hidden="1" x14ac:dyDescent="0.2">
      <c r="A11" s="568">
        <v>1</v>
      </c>
      <c r="B11" s="36">
        <v>9</v>
      </c>
      <c r="C11" s="569">
        <v>41144</v>
      </c>
      <c r="D11" s="559" t="s">
        <v>346</v>
      </c>
      <c r="E11" s="559" t="s">
        <v>6</v>
      </c>
      <c r="F11" s="498" t="s">
        <v>366</v>
      </c>
      <c r="G11" s="570" t="s">
        <v>364</v>
      </c>
      <c r="H11" s="570" t="s">
        <v>367</v>
      </c>
      <c r="I11" s="570" t="str">
        <f>Table1[[#This Row],[Staff]]</f>
        <v>Nicole</v>
      </c>
      <c r="J11" s="569">
        <f>Table1[[#This Row],[Date]]</f>
        <v>41144</v>
      </c>
      <c r="K11" s="525"/>
      <c r="L11" s="525"/>
    </row>
    <row r="12" spans="1:35" hidden="1" x14ac:dyDescent="0.2">
      <c r="A12" s="568">
        <v>1</v>
      </c>
      <c r="B12" s="36">
        <v>10</v>
      </c>
      <c r="C12" s="569">
        <v>41144</v>
      </c>
      <c r="D12" s="559" t="s">
        <v>346</v>
      </c>
      <c r="E12" s="559" t="s">
        <v>362</v>
      </c>
      <c r="F12" s="498" t="s">
        <v>363</v>
      </c>
      <c r="G12" s="570" t="s">
        <v>364</v>
      </c>
      <c r="H12" s="570" t="s">
        <v>365</v>
      </c>
      <c r="I12" s="570" t="str">
        <f>Table1[[#This Row],[Staff]]</f>
        <v>Nicole</v>
      </c>
      <c r="J12" s="569">
        <f>Table1[[#This Row],[Date]]</f>
        <v>41144</v>
      </c>
      <c r="K12" s="525"/>
      <c r="L12" s="525"/>
    </row>
    <row r="13" spans="1:35" hidden="1" x14ac:dyDescent="0.2">
      <c r="A13" s="568">
        <v>1</v>
      </c>
      <c r="B13" s="36">
        <v>11</v>
      </c>
      <c r="C13" s="569">
        <v>41144</v>
      </c>
      <c r="D13" s="559" t="s">
        <v>346</v>
      </c>
      <c r="E13" s="559" t="s">
        <v>369</v>
      </c>
      <c r="F13" s="498" t="s">
        <v>354</v>
      </c>
      <c r="G13" s="570" t="s">
        <v>355</v>
      </c>
      <c r="H13" s="570" t="s">
        <v>368</v>
      </c>
      <c r="I13" s="570" t="str">
        <f>Table1[[#This Row],[Staff]]</f>
        <v>Nicole</v>
      </c>
      <c r="J13" s="569">
        <f>Table1[[#This Row],[Date]]</f>
        <v>41144</v>
      </c>
      <c r="K13" s="525"/>
      <c r="L13" s="525"/>
    </row>
    <row r="14" spans="1:35" hidden="1" x14ac:dyDescent="0.2">
      <c r="A14" s="568">
        <v>1</v>
      </c>
      <c r="B14" s="36">
        <v>12</v>
      </c>
      <c r="C14" s="569">
        <v>41144</v>
      </c>
      <c r="D14" s="559" t="s">
        <v>346</v>
      </c>
      <c r="E14" s="559" t="s">
        <v>369</v>
      </c>
      <c r="F14" s="498" t="s">
        <v>370</v>
      </c>
      <c r="G14" s="570" t="s">
        <v>364</v>
      </c>
      <c r="H14" s="570" t="s">
        <v>371</v>
      </c>
      <c r="I14" s="570" t="str">
        <f>Table1[[#This Row],[Staff]]</f>
        <v>Nicole</v>
      </c>
      <c r="J14" s="569">
        <f>Table1[[#This Row],[Date]]</f>
        <v>41144</v>
      </c>
      <c r="K14" s="525"/>
      <c r="L14" s="525"/>
    </row>
    <row r="15" spans="1:35" hidden="1" x14ac:dyDescent="0.2">
      <c r="A15" s="568">
        <v>1</v>
      </c>
      <c r="B15" s="36">
        <v>13</v>
      </c>
      <c r="C15" s="569">
        <v>41144</v>
      </c>
      <c r="D15" s="559" t="s">
        <v>346</v>
      </c>
      <c r="E15" s="559" t="s">
        <v>372</v>
      </c>
      <c r="F15" s="498" t="s">
        <v>354</v>
      </c>
      <c r="G15" s="570" t="s">
        <v>355</v>
      </c>
      <c r="H15" s="570" t="s">
        <v>368</v>
      </c>
      <c r="I15" s="570" t="str">
        <f>Table1[[#This Row],[Staff]]</f>
        <v>Nicole</v>
      </c>
      <c r="J15" s="569">
        <f>Table1[[#This Row],[Date]]</f>
        <v>41144</v>
      </c>
      <c r="K15" s="525"/>
      <c r="L15" s="525"/>
    </row>
    <row r="16" spans="1:35" hidden="1" x14ac:dyDescent="0.2">
      <c r="A16" s="568">
        <v>1</v>
      </c>
      <c r="B16" s="36">
        <v>14</v>
      </c>
      <c r="C16" s="569">
        <v>41144</v>
      </c>
      <c r="D16" s="559" t="s">
        <v>346</v>
      </c>
      <c r="E16" s="559" t="s">
        <v>372</v>
      </c>
      <c r="F16" s="498" t="s">
        <v>373</v>
      </c>
      <c r="G16" s="570" t="s">
        <v>364</v>
      </c>
      <c r="H16" s="570" t="s">
        <v>374</v>
      </c>
      <c r="I16" s="570" t="str">
        <f>Table1[[#This Row],[Staff]]</f>
        <v>Nicole</v>
      </c>
      <c r="J16" s="569">
        <f>Table1[[#This Row],[Date]]</f>
        <v>41144</v>
      </c>
      <c r="K16" s="525"/>
      <c r="L16" s="525"/>
    </row>
    <row r="17" spans="1:12" hidden="1" x14ac:dyDescent="0.2">
      <c r="A17" s="568">
        <v>1</v>
      </c>
      <c r="B17" s="36">
        <v>15</v>
      </c>
      <c r="C17" s="569">
        <v>41144</v>
      </c>
      <c r="D17" s="559" t="s">
        <v>346</v>
      </c>
      <c r="E17" s="559" t="s">
        <v>58</v>
      </c>
      <c r="F17" s="498" t="s">
        <v>354</v>
      </c>
      <c r="G17" s="570" t="s">
        <v>355</v>
      </c>
      <c r="H17" s="570" t="s">
        <v>368</v>
      </c>
      <c r="I17" s="570" t="str">
        <f>Table1[[#This Row],[Staff]]</f>
        <v>Nicole</v>
      </c>
      <c r="J17" s="569">
        <f>Table1[[#This Row],[Date]]</f>
        <v>41144</v>
      </c>
      <c r="K17" s="525"/>
      <c r="L17" s="525"/>
    </row>
    <row r="18" spans="1:12" hidden="1" x14ac:dyDescent="0.2">
      <c r="A18" s="568">
        <v>1</v>
      </c>
      <c r="B18" s="36">
        <v>16</v>
      </c>
      <c r="C18" s="569">
        <v>41144</v>
      </c>
      <c r="D18" s="559" t="s">
        <v>346</v>
      </c>
      <c r="E18" s="559" t="s">
        <v>58</v>
      </c>
      <c r="F18" s="498" t="s">
        <v>375</v>
      </c>
      <c r="G18" s="570" t="s">
        <v>364</v>
      </c>
      <c r="H18" s="570" t="s">
        <v>376</v>
      </c>
      <c r="I18" s="570" t="str">
        <f>Table1[[#This Row],[Staff]]</f>
        <v>Nicole</v>
      </c>
      <c r="J18" s="569">
        <f>Table1[[#This Row],[Date]]</f>
        <v>41144</v>
      </c>
      <c r="K18" s="525"/>
      <c r="L18" s="525"/>
    </row>
    <row r="19" spans="1:12" hidden="1" x14ac:dyDescent="0.2">
      <c r="A19" s="568">
        <v>1</v>
      </c>
      <c r="B19" s="36">
        <v>17</v>
      </c>
      <c r="C19" s="569">
        <v>41144</v>
      </c>
      <c r="D19" s="559" t="s">
        <v>346</v>
      </c>
      <c r="E19" s="559" t="s">
        <v>377</v>
      </c>
      <c r="F19" s="498" t="s">
        <v>354</v>
      </c>
      <c r="G19" s="570" t="s">
        <v>355</v>
      </c>
      <c r="H19" s="570" t="s">
        <v>368</v>
      </c>
      <c r="I19" s="570" t="str">
        <f>Table1[[#This Row],[Staff]]</f>
        <v>Nicole</v>
      </c>
      <c r="J19" s="569">
        <f>Table1[[#This Row],[Date]]</f>
        <v>41144</v>
      </c>
      <c r="K19" s="525"/>
      <c r="L19" s="525"/>
    </row>
    <row r="20" spans="1:12" hidden="1" x14ac:dyDescent="0.2">
      <c r="A20" s="568">
        <v>1</v>
      </c>
      <c r="B20" s="36">
        <v>18</v>
      </c>
      <c r="C20" s="569">
        <v>41144</v>
      </c>
      <c r="D20" s="559" t="s">
        <v>346</v>
      </c>
      <c r="E20" s="559" t="s">
        <v>377</v>
      </c>
      <c r="F20" s="498" t="s">
        <v>378</v>
      </c>
      <c r="I20" s="570" t="str">
        <f>Table1[[#This Row],[Staff]]</f>
        <v>Nicole</v>
      </c>
      <c r="J20" s="569">
        <f>Table1[[#This Row],[Date]]</f>
        <v>41144</v>
      </c>
      <c r="K20" s="525"/>
      <c r="L20" s="525"/>
    </row>
    <row r="21" spans="1:12" ht="28.5" hidden="1" x14ac:dyDescent="0.2">
      <c r="A21" s="568">
        <v>1</v>
      </c>
      <c r="B21" s="36">
        <v>19</v>
      </c>
      <c r="C21" s="569">
        <v>41144</v>
      </c>
      <c r="D21" s="559" t="s">
        <v>346</v>
      </c>
      <c r="E21" s="559" t="s">
        <v>379</v>
      </c>
      <c r="F21" s="498" t="s">
        <v>380</v>
      </c>
      <c r="G21" s="570" t="s">
        <v>381</v>
      </c>
      <c r="H21" s="570" t="s">
        <v>382</v>
      </c>
      <c r="I21" s="570" t="str">
        <f>Table1[[#This Row],[Staff]]</f>
        <v>Nicole</v>
      </c>
      <c r="J21" s="569">
        <f>Table1[[#This Row],[Date]]</f>
        <v>41144</v>
      </c>
      <c r="K21" s="525"/>
      <c r="L21" s="525"/>
    </row>
    <row r="22" spans="1:12" hidden="1" x14ac:dyDescent="0.2">
      <c r="A22" s="568">
        <v>1</v>
      </c>
      <c r="B22" s="36">
        <v>20</v>
      </c>
      <c r="C22" s="569">
        <v>41144</v>
      </c>
      <c r="D22" s="559" t="s">
        <v>346</v>
      </c>
      <c r="E22" s="559" t="s">
        <v>379</v>
      </c>
      <c r="F22" s="498" t="s">
        <v>354</v>
      </c>
      <c r="G22" s="570" t="s">
        <v>355</v>
      </c>
      <c r="H22" s="570" t="s">
        <v>368</v>
      </c>
      <c r="I22" s="570" t="str">
        <f>Table1[[#This Row],[Staff]]</f>
        <v>Nicole</v>
      </c>
      <c r="J22" s="569">
        <f>Table1[[#This Row],[Date]]</f>
        <v>41144</v>
      </c>
      <c r="K22" s="525"/>
      <c r="L22" s="525"/>
    </row>
    <row r="23" spans="1:12" hidden="1" x14ac:dyDescent="0.2">
      <c r="A23" s="568">
        <v>1</v>
      </c>
      <c r="B23" s="36">
        <v>21</v>
      </c>
      <c r="C23" s="569">
        <v>41144</v>
      </c>
      <c r="D23" s="559" t="s">
        <v>346</v>
      </c>
      <c r="E23" s="559" t="s">
        <v>379</v>
      </c>
      <c r="F23" s="498" t="s">
        <v>378</v>
      </c>
      <c r="G23" s="570" t="s">
        <v>364</v>
      </c>
      <c r="H23" s="570" t="s">
        <v>383</v>
      </c>
      <c r="I23" s="570" t="str">
        <f>Table1[[#This Row],[Staff]]</f>
        <v>Nicole</v>
      </c>
      <c r="J23" s="569">
        <f>Table1[[#This Row],[Date]]</f>
        <v>41144</v>
      </c>
      <c r="K23" s="525"/>
      <c r="L23" s="525"/>
    </row>
    <row r="24" spans="1:12" ht="28.5" hidden="1" x14ac:dyDescent="0.2">
      <c r="A24" s="568">
        <v>1</v>
      </c>
      <c r="B24" s="36">
        <v>22</v>
      </c>
      <c r="C24" s="569">
        <v>41144</v>
      </c>
      <c r="D24" s="559" t="s">
        <v>346</v>
      </c>
      <c r="E24" s="559" t="s">
        <v>385</v>
      </c>
      <c r="F24" s="498" t="s">
        <v>384</v>
      </c>
      <c r="G24" s="570" t="s">
        <v>386</v>
      </c>
      <c r="H24" s="570" t="s">
        <v>387</v>
      </c>
      <c r="I24" s="570" t="str">
        <f>Table1[[#This Row],[Staff]]</f>
        <v>Nicole</v>
      </c>
      <c r="J24" s="569">
        <f>Table1[[#This Row],[Date]]</f>
        <v>41144</v>
      </c>
      <c r="K24" s="525"/>
      <c r="L24" s="525"/>
    </row>
    <row r="25" spans="1:12" hidden="1" x14ac:dyDescent="0.2">
      <c r="A25" s="568">
        <v>1</v>
      </c>
      <c r="B25" s="36">
        <v>23</v>
      </c>
      <c r="C25" s="569">
        <v>41144</v>
      </c>
      <c r="D25" s="559" t="s">
        <v>346</v>
      </c>
      <c r="E25" s="559" t="s">
        <v>385</v>
      </c>
      <c r="F25" s="498" t="s">
        <v>354</v>
      </c>
      <c r="G25" s="570" t="s">
        <v>355</v>
      </c>
      <c r="H25" s="570" t="s">
        <v>368</v>
      </c>
      <c r="I25" s="570" t="str">
        <f>Table1[[#This Row],[Staff]]</f>
        <v>Nicole</v>
      </c>
      <c r="J25" s="569">
        <f>Table1[[#This Row],[Date]]</f>
        <v>41144</v>
      </c>
      <c r="K25" s="525"/>
      <c r="L25" s="525"/>
    </row>
    <row r="26" spans="1:12" ht="28.5" hidden="1" x14ac:dyDescent="0.2">
      <c r="A26" s="568">
        <v>1</v>
      </c>
      <c r="B26" s="36">
        <v>24</v>
      </c>
      <c r="C26" s="569">
        <v>41144</v>
      </c>
      <c r="D26" s="559" t="s">
        <v>346</v>
      </c>
      <c r="E26" s="559" t="s">
        <v>385</v>
      </c>
      <c r="F26" s="498" t="s">
        <v>389</v>
      </c>
      <c r="G26" s="570" t="s">
        <v>364</v>
      </c>
      <c r="H26" s="570" t="s">
        <v>388</v>
      </c>
      <c r="I26" s="570" t="str">
        <f>Table1[[#This Row],[Staff]]</f>
        <v>Nicole</v>
      </c>
      <c r="J26" s="569">
        <f>Table1[[#This Row],[Date]]</f>
        <v>41144</v>
      </c>
      <c r="K26" s="525"/>
      <c r="L26" s="525"/>
    </row>
    <row r="27" spans="1:12" hidden="1" x14ac:dyDescent="0.2">
      <c r="A27" s="568">
        <v>1</v>
      </c>
      <c r="B27" s="36">
        <v>25</v>
      </c>
      <c r="C27" s="569">
        <v>41144</v>
      </c>
      <c r="D27" s="559" t="s">
        <v>346</v>
      </c>
      <c r="E27" s="559" t="s">
        <v>390</v>
      </c>
      <c r="F27" s="498" t="s">
        <v>354</v>
      </c>
      <c r="G27" s="570" t="s">
        <v>355</v>
      </c>
      <c r="H27" s="570" t="s">
        <v>368</v>
      </c>
      <c r="I27" s="570" t="str">
        <f>Table1[[#This Row],[Staff]]</f>
        <v>Nicole</v>
      </c>
      <c r="J27" s="569">
        <f>Table1[[#This Row],[Date]]</f>
        <v>41144</v>
      </c>
      <c r="K27" s="525"/>
      <c r="L27" s="525"/>
    </row>
    <row r="28" spans="1:12" ht="28.5" hidden="1" x14ac:dyDescent="0.2">
      <c r="A28" s="568">
        <v>1</v>
      </c>
      <c r="B28" s="36">
        <v>26</v>
      </c>
      <c r="C28" s="569">
        <v>41144</v>
      </c>
      <c r="D28" s="559" t="s">
        <v>346</v>
      </c>
      <c r="E28" s="559" t="s">
        <v>390</v>
      </c>
      <c r="F28" s="498" t="s">
        <v>378</v>
      </c>
      <c r="G28" s="570" t="s">
        <v>364</v>
      </c>
      <c r="H28" s="570" t="s">
        <v>391</v>
      </c>
      <c r="I28" s="570" t="str">
        <f>Table1[[#This Row],[Staff]]</f>
        <v>Nicole</v>
      </c>
      <c r="J28" s="569">
        <f>Table1[[#This Row],[Date]]</f>
        <v>41144</v>
      </c>
      <c r="K28" s="525"/>
      <c r="L28" s="525"/>
    </row>
    <row r="29" spans="1:12" hidden="1" x14ac:dyDescent="0.2">
      <c r="A29" s="568">
        <v>1</v>
      </c>
      <c r="B29" s="36">
        <v>27</v>
      </c>
      <c r="C29" s="569">
        <v>41144</v>
      </c>
      <c r="D29" s="559" t="s">
        <v>346</v>
      </c>
      <c r="E29" s="559" t="s">
        <v>393</v>
      </c>
      <c r="F29" s="498" t="s">
        <v>354</v>
      </c>
      <c r="G29" s="570" t="s">
        <v>355</v>
      </c>
      <c r="H29" s="570" t="s">
        <v>368</v>
      </c>
      <c r="I29" s="570" t="str">
        <f>Table1[[#This Row],[Staff]]</f>
        <v>Nicole</v>
      </c>
      <c r="J29" s="569">
        <f>Table1[[#This Row],[Date]]</f>
        <v>41144</v>
      </c>
      <c r="K29" s="525"/>
      <c r="L29" s="525"/>
    </row>
    <row r="30" spans="1:12" ht="28.5" hidden="1" x14ac:dyDescent="0.2">
      <c r="A30" s="568">
        <v>1</v>
      </c>
      <c r="B30" s="36">
        <v>28</v>
      </c>
      <c r="C30" s="569">
        <v>41144</v>
      </c>
      <c r="D30" s="559" t="s">
        <v>346</v>
      </c>
      <c r="E30" s="559" t="s">
        <v>393</v>
      </c>
      <c r="F30" s="498" t="s">
        <v>392</v>
      </c>
      <c r="G30" s="570" t="s">
        <v>364</v>
      </c>
      <c r="H30" s="570" t="s">
        <v>394</v>
      </c>
      <c r="I30" s="570" t="str">
        <f>Table1[[#This Row],[Staff]]</f>
        <v>Nicole</v>
      </c>
      <c r="J30" s="569">
        <f>Table1[[#This Row],[Date]]</f>
        <v>41144</v>
      </c>
      <c r="K30" s="525"/>
      <c r="L30" s="525"/>
    </row>
    <row r="31" spans="1:12" hidden="1" x14ac:dyDescent="0.2">
      <c r="A31" s="568">
        <v>1</v>
      </c>
      <c r="B31" s="36">
        <v>29</v>
      </c>
      <c r="C31" s="569">
        <v>41144</v>
      </c>
      <c r="D31" s="559" t="s">
        <v>346</v>
      </c>
      <c r="E31" s="559" t="s">
        <v>73</v>
      </c>
      <c r="F31" s="498" t="s">
        <v>354</v>
      </c>
      <c r="G31" s="570" t="s">
        <v>355</v>
      </c>
      <c r="H31" s="570" t="s">
        <v>368</v>
      </c>
      <c r="I31" s="570" t="str">
        <f>Table1[[#This Row],[Staff]]</f>
        <v>Nicole</v>
      </c>
      <c r="J31" s="569">
        <f>Table1[[#This Row],[Date]]</f>
        <v>41144</v>
      </c>
      <c r="K31" s="525"/>
      <c r="L31" s="525"/>
    </row>
    <row r="32" spans="1:12" ht="28.5" hidden="1" x14ac:dyDescent="0.2">
      <c r="A32" s="568">
        <v>1</v>
      </c>
      <c r="B32" s="36">
        <v>30</v>
      </c>
      <c r="C32" s="569">
        <v>41144</v>
      </c>
      <c r="D32" s="559" t="s">
        <v>346</v>
      </c>
      <c r="E32" s="559" t="s">
        <v>73</v>
      </c>
      <c r="F32" s="498" t="s">
        <v>395</v>
      </c>
      <c r="G32" s="570" t="s">
        <v>364</v>
      </c>
      <c r="H32" s="570" t="s">
        <v>396</v>
      </c>
      <c r="I32" s="570" t="str">
        <f>Table1[[#This Row],[Staff]]</f>
        <v>Nicole</v>
      </c>
      <c r="J32" s="569">
        <f>Table1[[#This Row],[Date]]</f>
        <v>41144</v>
      </c>
      <c r="K32" s="525"/>
      <c r="L32" s="525"/>
    </row>
    <row r="33" spans="1:12" hidden="1" x14ac:dyDescent="0.2">
      <c r="A33" s="568">
        <v>1</v>
      </c>
      <c r="B33" s="36">
        <v>31</v>
      </c>
      <c r="C33" s="569">
        <v>41144</v>
      </c>
      <c r="D33" s="559" t="s">
        <v>346</v>
      </c>
      <c r="E33" s="559" t="s">
        <v>82</v>
      </c>
      <c r="F33" s="498" t="s">
        <v>354</v>
      </c>
      <c r="G33" s="570" t="s">
        <v>355</v>
      </c>
      <c r="H33" s="570" t="s">
        <v>368</v>
      </c>
      <c r="I33" s="570" t="str">
        <f>Table1[[#This Row],[Staff]]</f>
        <v>Nicole</v>
      </c>
      <c r="J33" s="569">
        <f>Table1[[#This Row],[Date]]</f>
        <v>41144</v>
      </c>
      <c r="K33" s="525"/>
      <c r="L33" s="525"/>
    </row>
    <row r="34" spans="1:12" ht="28.5" hidden="1" x14ac:dyDescent="0.2">
      <c r="A34" s="568">
        <v>1</v>
      </c>
      <c r="B34" s="36">
        <v>32</v>
      </c>
      <c r="C34" s="569">
        <v>41144</v>
      </c>
      <c r="D34" s="559" t="s">
        <v>346</v>
      </c>
      <c r="E34" s="559" t="s">
        <v>82</v>
      </c>
      <c r="F34" s="498" t="s">
        <v>401</v>
      </c>
      <c r="G34" s="570" t="s">
        <v>364</v>
      </c>
      <c r="H34" s="570" t="s">
        <v>398</v>
      </c>
      <c r="I34" s="570" t="str">
        <f>Table1[[#This Row],[Staff]]</f>
        <v>Nicole</v>
      </c>
      <c r="J34" s="569">
        <f>Table1[[#This Row],[Date]]</f>
        <v>41144</v>
      </c>
      <c r="K34" s="525"/>
      <c r="L34" s="525"/>
    </row>
    <row r="35" spans="1:12" hidden="1" x14ac:dyDescent="0.2">
      <c r="A35" s="568">
        <v>1</v>
      </c>
      <c r="B35" s="36">
        <v>33</v>
      </c>
      <c r="C35" s="569">
        <v>41144</v>
      </c>
      <c r="D35" s="559" t="s">
        <v>346</v>
      </c>
      <c r="E35" s="559" t="s">
        <v>397</v>
      </c>
      <c r="F35" s="498" t="s">
        <v>354</v>
      </c>
      <c r="G35" s="570" t="s">
        <v>355</v>
      </c>
      <c r="H35" s="570" t="s">
        <v>368</v>
      </c>
      <c r="I35" s="570" t="str">
        <f>Table1[[#This Row],[Staff]]</f>
        <v>Nicole</v>
      </c>
      <c r="J35" s="569">
        <f>Table1[[#This Row],[Date]]</f>
        <v>41144</v>
      </c>
      <c r="K35" s="525"/>
      <c r="L35" s="525"/>
    </row>
    <row r="36" spans="1:12" ht="28.5" hidden="1" x14ac:dyDescent="0.2">
      <c r="A36" s="568">
        <v>1</v>
      </c>
      <c r="B36" s="36">
        <v>34</v>
      </c>
      <c r="C36" s="569">
        <v>41144</v>
      </c>
      <c r="D36" s="559" t="s">
        <v>346</v>
      </c>
      <c r="E36" s="559" t="s">
        <v>397</v>
      </c>
      <c r="F36" s="498" t="s">
        <v>400</v>
      </c>
      <c r="G36" s="570" t="s">
        <v>364</v>
      </c>
      <c r="H36" s="570" t="s">
        <v>399</v>
      </c>
      <c r="I36" s="570" t="str">
        <f>Table1[[#This Row],[Staff]]</f>
        <v>Nicole</v>
      </c>
      <c r="J36" s="569">
        <f>Table1[[#This Row],[Date]]</f>
        <v>41144</v>
      </c>
      <c r="K36" s="525"/>
      <c r="L36" s="525"/>
    </row>
    <row r="37" spans="1:12" ht="28.5" hidden="1" x14ac:dyDescent="0.2">
      <c r="A37" s="568">
        <v>1</v>
      </c>
      <c r="B37" s="36">
        <v>35</v>
      </c>
      <c r="C37" s="569">
        <v>41145</v>
      </c>
      <c r="D37" s="560" t="s">
        <v>346</v>
      </c>
      <c r="E37" s="560" t="s">
        <v>353</v>
      </c>
      <c r="F37" s="498" t="s">
        <v>402</v>
      </c>
      <c r="G37" s="570" t="s">
        <v>403</v>
      </c>
      <c r="H37" s="570" t="s">
        <v>404</v>
      </c>
      <c r="I37" s="570" t="str">
        <f>Table1[[#This Row],[Staff]]</f>
        <v>Nicole</v>
      </c>
      <c r="J37" s="569">
        <f>Table1[[#This Row],[Date]]</f>
        <v>41145</v>
      </c>
      <c r="K37" s="525"/>
      <c r="L37" s="525"/>
    </row>
    <row r="38" spans="1:12" ht="28.5" hidden="1" x14ac:dyDescent="0.2">
      <c r="A38" s="568">
        <v>1</v>
      </c>
      <c r="B38" s="36">
        <v>36</v>
      </c>
      <c r="C38" s="569">
        <v>41145</v>
      </c>
      <c r="D38" s="560" t="s">
        <v>346</v>
      </c>
      <c r="E38" s="560" t="s">
        <v>353</v>
      </c>
      <c r="F38" s="498" t="s">
        <v>405</v>
      </c>
      <c r="G38" s="570" t="s">
        <v>406</v>
      </c>
      <c r="H38" s="576" t="s">
        <v>456</v>
      </c>
      <c r="I38" s="576" t="s">
        <v>455</v>
      </c>
      <c r="J38" s="569">
        <v>41148</v>
      </c>
      <c r="K38" s="525"/>
      <c r="L38" s="525"/>
    </row>
    <row r="39" spans="1:12" ht="42.75" hidden="1" x14ac:dyDescent="0.2">
      <c r="A39" s="568">
        <v>1</v>
      </c>
      <c r="B39" s="36">
        <v>37</v>
      </c>
      <c r="C39" s="569">
        <v>41145</v>
      </c>
      <c r="D39" s="560" t="s">
        <v>346</v>
      </c>
      <c r="E39" s="560" t="s">
        <v>353</v>
      </c>
      <c r="F39" s="498" t="s">
        <v>407</v>
      </c>
      <c r="G39" s="570" t="s">
        <v>408</v>
      </c>
      <c r="H39" s="570" t="s">
        <v>416</v>
      </c>
      <c r="I39" s="570" t="str">
        <f>Table1[[#This Row],[Staff]]</f>
        <v>Nicole</v>
      </c>
      <c r="J39" s="569">
        <f>Table1[[#This Row],[Date]]</f>
        <v>41145</v>
      </c>
      <c r="K39" s="525"/>
      <c r="L39" s="525"/>
    </row>
    <row r="40" spans="1:12" hidden="1" x14ac:dyDescent="0.2">
      <c r="A40" s="568">
        <v>1</v>
      </c>
      <c r="B40" s="36">
        <v>38</v>
      </c>
      <c r="C40" s="569">
        <v>41145</v>
      </c>
      <c r="D40" s="560" t="s">
        <v>346</v>
      </c>
      <c r="E40" s="560" t="s">
        <v>362</v>
      </c>
      <c r="F40" s="498" t="s">
        <v>409</v>
      </c>
      <c r="G40" s="570" t="s">
        <v>408</v>
      </c>
      <c r="H40" s="570" t="s">
        <v>415</v>
      </c>
      <c r="I40" s="570" t="str">
        <f>Table1[[#This Row],[Staff]]</f>
        <v>Nicole</v>
      </c>
      <c r="J40" s="569">
        <f>Table1[[#This Row],[Date]]</f>
        <v>41145</v>
      </c>
      <c r="K40" s="525"/>
      <c r="L40" s="525"/>
    </row>
    <row r="41" spans="1:12" hidden="1" x14ac:dyDescent="0.2">
      <c r="A41" s="568">
        <v>1</v>
      </c>
      <c r="B41" s="36">
        <v>39</v>
      </c>
      <c r="C41" s="569">
        <v>41145</v>
      </c>
      <c r="D41" s="560" t="s">
        <v>346</v>
      </c>
      <c r="E41" s="560" t="s">
        <v>362</v>
      </c>
      <c r="F41" s="498" t="s">
        <v>410</v>
      </c>
      <c r="G41" s="570" t="s">
        <v>408</v>
      </c>
      <c r="H41" s="570" t="s">
        <v>415</v>
      </c>
      <c r="I41" s="570" t="str">
        <f>Table1[[#This Row],[Staff]]</f>
        <v>Nicole</v>
      </c>
      <c r="J41" s="569">
        <f>Table1[[#This Row],[Date]]</f>
        <v>41145</v>
      </c>
      <c r="K41" s="525"/>
      <c r="L41" s="525"/>
    </row>
    <row r="42" spans="1:12" hidden="1" x14ac:dyDescent="0.2">
      <c r="A42" s="568">
        <v>1</v>
      </c>
      <c r="B42" s="36">
        <v>40</v>
      </c>
      <c r="C42" s="569">
        <v>41145</v>
      </c>
      <c r="D42" s="560" t="s">
        <v>346</v>
      </c>
      <c r="E42" s="560" t="s">
        <v>362</v>
      </c>
      <c r="F42" s="498" t="s">
        <v>411</v>
      </c>
      <c r="G42" s="570" t="s">
        <v>408</v>
      </c>
      <c r="H42" s="570" t="s">
        <v>415</v>
      </c>
      <c r="I42" s="570" t="str">
        <f>Table1[[#This Row],[Staff]]</f>
        <v>Nicole</v>
      </c>
      <c r="J42" s="569">
        <f>Table1[[#This Row],[Date]]</f>
        <v>41145</v>
      </c>
      <c r="K42" s="525"/>
      <c r="L42" s="525"/>
    </row>
    <row r="43" spans="1:12" hidden="1" x14ac:dyDescent="0.2">
      <c r="A43" s="568">
        <v>1</v>
      </c>
      <c r="B43" s="36">
        <v>41</v>
      </c>
      <c r="C43" s="569">
        <v>41145</v>
      </c>
      <c r="D43" s="560" t="s">
        <v>346</v>
      </c>
      <c r="E43" s="560" t="s">
        <v>362</v>
      </c>
      <c r="F43" s="498" t="s">
        <v>412</v>
      </c>
      <c r="G43" s="570" t="s">
        <v>408</v>
      </c>
      <c r="H43" s="570" t="s">
        <v>415</v>
      </c>
      <c r="I43" s="570" t="str">
        <f>Table1[[#This Row],[Staff]]</f>
        <v>Nicole</v>
      </c>
      <c r="J43" s="569">
        <f>Table1[[#This Row],[Date]]</f>
        <v>41145</v>
      </c>
      <c r="K43" s="525"/>
      <c r="L43" s="525"/>
    </row>
    <row r="44" spans="1:12" hidden="1" x14ac:dyDescent="0.2">
      <c r="A44" s="568">
        <v>1</v>
      </c>
      <c r="B44" s="36">
        <v>42</v>
      </c>
      <c r="C44" s="569">
        <v>41145</v>
      </c>
      <c r="D44" s="560" t="s">
        <v>346</v>
      </c>
      <c r="E44" s="560" t="s">
        <v>362</v>
      </c>
      <c r="F44" s="498" t="s">
        <v>413</v>
      </c>
      <c r="G44" s="570" t="s">
        <v>408</v>
      </c>
      <c r="H44" s="570" t="s">
        <v>415</v>
      </c>
      <c r="I44" s="570" t="str">
        <f>Table1[[#This Row],[Staff]]</f>
        <v>Nicole</v>
      </c>
      <c r="J44" s="569">
        <f>Table1[[#This Row],[Date]]</f>
        <v>41145</v>
      </c>
      <c r="K44" s="525"/>
      <c r="L44" s="525"/>
    </row>
    <row r="45" spans="1:12" hidden="1" x14ac:dyDescent="0.2">
      <c r="A45" s="568">
        <v>1</v>
      </c>
      <c r="B45" s="36">
        <v>43</v>
      </c>
      <c r="C45" s="569">
        <v>41145</v>
      </c>
      <c r="D45" s="560" t="s">
        <v>346</v>
      </c>
      <c r="E45" s="560" t="s">
        <v>362</v>
      </c>
      <c r="F45" s="498" t="s">
        <v>414</v>
      </c>
      <c r="G45" s="570" t="s">
        <v>408</v>
      </c>
      <c r="H45" s="570" t="s">
        <v>415</v>
      </c>
      <c r="I45" s="570" t="str">
        <f>Table1[[#This Row],[Staff]]</f>
        <v>Nicole</v>
      </c>
      <c r="J45" s="569">
        <f>Table1[[#This Row],[Date]]</f>
        <v>41145</v>
      </c>
      <c r="K45" s="525"/>
      <c r="L45" s="525"/>
    </row>
    <row r="46" spans="1:12" hidden="1" x14ac:dyDescent="0.2">
      <c r="A46" s="568">
        <v>1</v>
      </c>
      <c r="B46" s="36">
        <v>44</v>
      </c>
      <c r="C46" s="569">
        <v>41145</v>
      </c>
      <c r="D46" s="560" t="s">
        <v>346</v>
      </c>
      <c r="E46" s="560" t="s">
        <v>6</v>
      </c>
      <c r="F46" s="498" t="s">
        <v>417</v>
      </c>
      <c r="G46" s="570" t="s">
        <v>408</v>
      </c>
      <c r="H46" s="570" t="s">
        <v>415</v>
      </c>
      <c r="I46" s="570" t="str">
        <f>Table1[[#This Row],[Staff]]</f>
        <v>Nicole</v>
      </c>
      <c r="J46" s="569">
        <f>Table1[[#This Row],[Date]]</f>
        <v>41145</v>
      </c>
      <c r="K46" s="525"/>
      <c r="L46" s="525"/>
    </row>
    <row r="47" spans="1:12" hidden="1" x14ac:dyDescent="0.2">
      <c r="A47" s="568">
        <v>1</v>
      </c>
      <c r="B47" s="36">
        <v>45</v>
      </c>
      <c r="C47" s="569">
        <v>41145</v>
      </c>
      <c r="D47" s="560" t="s">
        <v>346</v>
      </c>
      <c r="E47" s="560" t="s">
        <v>6</v>
      </c>
      <c r="F47" s="498" t="s">
        <v>410</v>
      </c>
      <c r="G47" s="570" t="s">
        <v>408</v>
      </c>
      <c r="H47" s="570" t="s">
        <v>415</v>
      </c>
      <c r="I47" s="570" t="str">
        <f>Table1[[#This Row],[Staff]]</f>
        <v>Nicole</v>
      </c>
      <c r="J47" s="569">
        <f>Table1[[#This Row],[Date]]</f>
        <v>41145</v>
      </c>
      <c r="K47" s="525"/>
      <c r="L47" s="525"/>
    </row>
    <row r="48" spans="1:12" hidden="1" x14ac:dyDescent="0.2">
      <c r="A48" s="568">
        <v>1</v>
      </c>
      <c r="B48" s="36">
        <v>46</v>
      </c>
      <c r="C48" s="569">
        <v>41145</v>
      </c>
      <c r="D48" s="560" t="s">
        <v>346</v>
      </c>
      <c r="E48" s="560" t="s">
        <v>6</v>
      </c>
      <c r="F48" s="498" t="s">
        <v>411</v>
      </c>
      <c r="G48" s="570" t="s">
        <v>408</v>
      </c>
      <c r="H48" s="570" t="s">
        <v>415</v>
      </c>
      <c r="I48" s="570" t="str">
        <f>Table1[[#This Row],[Staff]]</f>
        <v>Nicole</v>
      </c>
      <c r="J48" s="569">
        <f>Table1[[#This Row],[Date]]</f>
        <v>41145</v>
      </c>
      <c r="K48" s="525"/>
      <c r="L48" s="525"/>
    </row>
    <row r="49" spans="1:12" hidden="1" x14ac:dyDescent="0.2">
      <c r="A49" s="568">
        <v>1</v>
      </c>
      <c r="B49" s="36">
        <v>47</v>
      </c>
      <c r="C49" s="569">
        <v>41145</v>
      </c>
      <c r="D49" s="560" t="s">
        <v>346</v>
      </c>
      <c r="E49" s="560" t="s">
        <v>6</v>
      </c>
      <c r="F49" s="498" t="s">
        <v>412</v>
      </c>
      <c r="G49" s="570" t="s">
        <v>408</v>
      </c>
      <c r="H49" s="570" t="s">
        <v>415</v>
      </c>
      <c r="I49" s="570" t="str">
        <f>Table1[[#This Row],[Staff]]</f>
        <v>Nicole</v>
      </c>
      <c r="J49" s="569">
        <f>Table1[[#This Row],[Date]]</f>
        <v>41145</v>
      </c>
      <c r="K49" s="525"/>
      <c r="L49" s="525"/>
    </row>
    <row r="50" spans="1:12" hidden="1" x14ac:dyDescent="0.2">
      <c r="A50" s="568">
        <v>1</v>
      </c>
      <c r="B50" s="36">
        <v>48</v>
      </c>
      <c r="C50" s="569">
        <v>41145</v>
      </c>
      <c r="D50" s="560" t="s">
        <v>346</v>
      </c>
      <c r="E50" s="560" t="s">
        <v>6</v>
      </c>
      <c r="F50" s="498" t="s">
        <v>409</v>
      </c>
      <c r="G50" s="570" t="s">
        <v>408</v>
      </c>
      <c r="H50" s="570" t="s">
        <v>415</v>
      </c>
      <c r="I50" s="570" t="str">
        <f>Table1[[#This Row],[Staff]]</f>
        <v>Nicole</v>
      </c>
      <c r="J50" s="569">
        <f>Table1[[#This Row],[Date]]</f>
        <v>41145</v>
      </c>
      <c r="K50" s="525"/>
      <c r="L50" s="525"/>
    </row>
    <row r="51" spans="1:12" ht="28.5" hidden="1" x14ac:dyDescent="0.2">
      <c r="A51" s="568">
        <v>1</v>
      </c>
      <c r="B51" s="36">
        <v>49</v>
      </c>
      <c r="C51" s="569">
        <v>41145</v>
      </c>
      <c r="D51" s="560" t="s">
        <v>346</v>
      </c>
      <c r="E51" s="560" t="s">
        <v>6</v>
      </c>
      <c r="F51" s="498" t="s">
        <v>419</v>
      </c>
      <c r="G51" s="570" t="s">
        <v>421</v>
      </c>
      <c r="H51" s="570" t="s">
        <v>422</v>
      </c>
      <c r="I51" s="570" t="str">
        <f>Table1[[#This Row],[Staff]]</f>
        <v>Nicole</v>
      </c>
      <c r="J51" s="569">
        <f>Table1[[#This Row],[Date]]</f>
        <v>41145</v>
      </c>
      <c r="K51" s="525"/>
      <c r="L51" s="525"/>
    </row>
    <row r="52" spans="1:12" ht="28.5" hidden="1" x14ac:dyDescent="0.2">
      <c r="A52" s="568">
        <v>1</v>
      </c>
      <c r="B52" s="36">
        <v>50</v>
      </c>
      <c r="C52" s="569">
        <v>41145</v>
      </c>
      <c r="D52" s="560" t="s">
        <v>346</v>
      </c>
      <c r="E52" s="560" t="s">
        <v>6</v>
      </c>
      <c r="F52" s="498" t="s">
        <v>420</v>
      </c>
      <c r="G52" s="570" t="s">
        <v>421</v>
      </c>
      <c r="H52" s="570" t="s">
        <v>423</v>
      </c>
      <c r="I52" s="570" t="str">
        <f>Table1[[#This Row],[Staff]]</f>
        <v>Nicole</v>
      </c>
      <c r="J52" s="569">
        <f>Table1[[#This Row],[Date]]</f>
        <v>41145</v>
      </c>
      <c r="K52" s="525"/>
      <c r="L52" s="525"/>
    </row>
    <row r="53" spans="1:12" hidden="1" x14ac:dyDescent="0.2">
      <c r="A53" s="568">
        <v>1</v>
      </c>
      <c r="B53" s="36">
        <v>51</v>
      </c>
      <c r="C53" s="569">
        <v>41145</v>
      </c>
      <c r="D53" s="560" t="s">
        <v>346</v>
      </c>
      <c r="E53" s="560" t="s">
        <v>369</v>
      </c>
      <c r="F53" s="498" t="s">
        <v>424</v>
      </c>
      <c r="G53" s="570" t="s">
        <v>408</v>
      </c>
      <c r="H53" s="570" t="s">
        <v>415</v>
      </c>
      <c r="I53" s="570" t="str">
        <f>Table1[[#This Row],[Staff]]</f>
        <v>Nicole</v>
      </c>
      <c r="J53" s="569">
        <f>Table1[[#This Row],[Date]]</f>
        <v>41145</v>
      </c>
      <c r="K53" s="525"/>
      <c r="L53" s="525"/>
    </row>
    <row r="54" spans="1:12" hidden="1" x14ac:dyDescent="0.2">
      <c r="A54" s="568">
        <v>1</v>
      </c>
      <c r="B54" s="36">
        <v>52</v>
      </c>
      <c r="C54" s="569">
        <v>41145</v>
      </c>
      <c r="D54" s="560" t="s">
        <v>346</v>
      </c>
      <c r="E54" s="560" t="s">
        <v>369</v>
      </c>
      <c r="F54" s="498" t="s">
        <v>425</v>
      </c>
      <c r="G54" s="570" t="s">
        <v>408</v>
      </c>
      <c r="H54" s="570" t="s">
        <v>415</v>
      </c>
      <c r="I54" s="570" t="str">
        <f>Table1[[#This Row],[Staff]]</f>
        <v>Nicole</v>
      </c>
      <c r="J54" s="569">
        <f>Table1[[#This Row],[Date]]</f>
        <v>41145</v>
      </c>
      <c r="K54" s="525"/>
      <c r="L54" s="525"/>
    </row>
    <row r="55" spans="1:12" hidden="1" x14ac:dyDescent="0.2">
      <c r="A55" s="568">
        <v>1</v>
      </c>
      <c r="B55" s="36">
        <v>53</v>
      </c>
      <c r="C55" s="569">
        <v>41145</v>
      </c>
      <c r="D55" s="560" t="s">
        <v>346</v>
      </c>
      <c r="E55" s="560" t="s">
        <v>369</v>
      </c>
      <c r="F55" s="498" t="s">
        <v>426</v>
      </c>
      <c r="G55" s="570" t="s">
        <v>408</v>
      </c>
      <c r="H55" s="570" t="s">
        <v>415</v>
      </c>
      <c r="I55" s="570" t="str">
        <f>Table1[[#This Row],[Staff]]</f>
        <v>Nicole</v>
      </c>
      <c r="J55" s="569">
        <f>Table1[[#This Row],[Date]]</f>
        <v>41145</v>
      </c>
      <c r="K55" s="525"/>
      <c r="L55" s="525"/>
    </row>
    <row r="56" spans="1:12" hidden="1" x14ac:dyDescent="0.2">
      <c r="A56" s="568">
        <v>1</v>
      </c>
      <c r="B56" s="36">
        <v>54</v>
      </c>
      <c r="C56" s="569">
        <v>41145</v>
      </c>
      <c r="D56" s="560" t="s">
        <v>346</v>
      </c>
      <c r="E56" s="560" t="s">
        <v>369</v>
      </c>
      <c r="F56" s="498" t="s">
        <v>427</v>
      </c>
      <c r="G56" s="570" t="s">
        <v>408</v>
      </c>
      <c r="H56" s="570" t="s">
        <v>415</v>
      </c>
      <c r="I56" s="570" t="str">
        <f>Table1[[#This Row],[Staff]]</f>
        <v>Nicole</v>
      </c>
      <c r="J56" s="569">
        <f>Table1[[#This Row],[Date]]</f>
        <v>41145</v>
      </c>
      <c r="K56" s="525"/>
      <c r="L56" s="525"/>
    </row>
    <row r="57" spans="1:12" hidden="1" x14ac:dyDescent="0.2">
      <c r="A57" s="568">
        <v>1</v>
      </c>
      <c r="B57" s="36">
        <v>55</v>
      </c>
      <c r="C57" s="569">
        <v>41145</v>
      </c>
      <c r="D57" s="560" t="s">
        <v>346</v>
      </c>
      <c r="E57" s="560" t="s">
        <v>369</v>
      </c>
      <c r="F57" s="498" t="s">
        <v>428</v>
      </c>
      <c r="G57" s="570" t="s">
        <v>408</v>
      </c>
      <c r="H57" s="570" t="s">
        <v>415</v>
      </c>
      <c r="I57" s="570" t="str">
        <f>Table1[[#This Row],[Staff]]</f>
        <v>Nicole</v>
      </c>
      <c r="J57" s="569">
        <f>Table1[[#This Row],[Date]]</f>
        <v>41145</v>
      </c>
      <c r="K57" s="525"/>
      <c r="L57" s="525"/>
    </row>
    <row r="58" spans="1:12" hidden="1" x14ac:dyDescent="0.2">
      <c r="A58" s="568">
        <v>1</v>
      </c>
      <c r="B58" s="36">
        <v>56</v>
      </c>
      <c r="C58" s="569">
        <v>41145</v>
      </c>
      <c r="D58" s="560" t="s">
        <v>346</v>
      </c>
      <c r="E58" s="560" t="s">
        <v>369</v>
      </c>
      <c r="F58" s="498" t="s">
        <v>429</v>
      </c>
      <c r="G58" s="570" t="s">
        <v>408</v>
      </c>
      <c r="H58" s="570" t="s">
        <v>415</v>
      </c>
      <c r="I58" s="570" t="str">
        <f>Table1[[#This Row],[Staff]]</f>
        <v>Nicole</v>
      </c>
      <c r="J58" s="569">
        <f>Table1[[#This Row],[Date]]</f>
        <v>41145</v>
      </c>
      <c r="K58" s="525"/>
      <c r="L58" s="525"/>
    </row>
    <row r="59" spans="1:12" hidden="1" x14ac:dyDescent="0.2">
      <c r="A59" s="568">
        <v>1</v>
      </c>
      <c r="B59" s="36">
        <v>57</v>
      </c>
      <c r="C59" s="569">
        <v>41145</v>
      </c>
      <c r="D59" s="560" t="s">
        <v>346</v>
      </c>
      <c r="E59" s="560" t="s">
        <v>369</v>
      </c>
      <c r="F59" s="498" t="s">
        <v>430</v>
      </c>
      <c r="G59" s="570" t="s">
        <v>408</v>
      </c>
      <c r="H59" s="570" t="s">
        <v>415</v>
      </c>
      <c r="I59" s="570" t="str">
        <f>Table1[[#This Row],[Staff]]</f>
        <v>Nicole</v>
      </c>
      <c r="J59" s="569">
        <f>Table1[[#This Row],[Date]]</f>
        <v>41145</v>
      </c>
      <c r="K59" s="525"/>
      <c r="L59" s="525"/>
    </row>
    <row r="60" spans="1:12" hidden="1" x14ac:dyDescent="0.2">
      <c r="A60" s="568">
        <v>1</v>
      </c>
      <c r="B60" s="36">
        <v>58</v>
      </c>
      <c r="C60" s="569">
        <v>41145</v>
      </c>
      <c r="D60" s="560" t="s">
        <v>346</v>
      </c>
      <c r="E60" s="560" t="s">
        <v>369</v>
      </c>
      <c r="F60" s="498" t="s">
        <v>431</v>
      </c>
      <c r="G60" s="570" t="s">
        <v>408</v>
      </c>
      <c r="H60" s="570" t="s">
        <v>415</v>
      </c>
      <c r="I60" s="570" t="str">
        <f>Table1[[#This Row],[Staff]]</f>
        <v>Nicole</v>
      </c>
      <c r="J60" s="569">
        <f>Table1[[#This Row],[Date]]</f>
        <v>41145</v>
      </c>
      <c r="K60" s="525"/>
      <c r="L60" s="525"/>
    </row>
    <row r="61" spans="1:12" hidden="1" x14ac:dyDescent="0.2">
      <c r="A61" s="568">
        <v>1</v>
      </c>
      <c r="B61" s="36">
        <v>59</v>
      </c>
      <c r="C61" s="569">
        <v>41145</v>
      </c>
      <c r="D61" s="560" t="s">
        <v>346</v>
      </c>
      <c r="E61" s="560" t="s">
        <v>369</v>
      </c>
      <c r="F61" s="498" t="s">
        <v>432</v>
      </c>
      <c r="G61" s="570" t="s">
        <v>408</v>
      </c>
      <c r="H61" s="570" t="s">
        <v>415</v>
      </c>
      <c r="I61" s="570" t="str">
        <f>Table1[[#This Row],[Staff]]</f>
        <v>Nicole</v>
      </c>
      <c r="J61" s="569">
        <f>Table1[[#This Row],[Date]]</f>
        <v>41145</v>
      </c>
      <c r="K61" s="525"/>
      <c r="L61" s="525"/>
    </row>
    <row r="62" spans="1:12" hidden="1" x14ac:dyDescent="0.2">
      <c r="A62" s="568">
        <v>1</v>
      </c>
      <c r="B62" s="36">
        <v>60</v>
      </c>
      <c r="C62" s="569">
        <v>41145</v>
      </c>
      <c r="D62" s="560" t="s">
        <v>346</v>
      </c>
      <c r="E62" s="560" t="s">
        <v>369</v>
      </c>
      <c r="F62" s="498" t="s">
        <v>433</v>
      </c>
      <c r="G62" s="570" t="s">
        <v>408</v>
      </c>
      <c r="H62" s="570" t="s">
        <v>415</v>
      </c>
      <c r="I62" s="570" t="str">
        <f>Table1[[#This Row],[Staff]]</f>
        <v>Nicole</v>
      </c>
      <c r="J62" s="569">
        <f>Table1[[#This Row],[Date]]</f>
        <v>41145</v>
      </c>
      <c r="K62" s="525"/>
      <c r="L62" s="525"/>
    </row>
    <row r="63" spans="1:12" hidden="1" x14ac:dyDescent="0.2">
      <c r="A63" s="568">
        <v>1</v>
      </c>
      <c r="B63" s="36">
        <v>61</v>
      </c>
      <c r="C63" s="569">
        <v>41145</v>
      </c>
      <c r="D63" s="560" t="s">
        <v>346</v>
      </c>
      <c r="E63" s="560" t="s">
        <v>372</v>
      </c>
      <c r="F63" s="498" t="s">
        <v>424</v>
      </c>
      <c r="G63" s="570" t="s">
        <v>408</v>
      </c>
      <c r="H63" s="570" t="s">
        <v>415</v>
      </c>
      <c r="I63" s="570" t="str">
        <f>Table1[[#This Row],[Staff]]</f>
        <v>Nicole</v>
      </c>
      <c r="J63" s="569">
        <f>Table1[[#This Row],[Date]]</f>
        <v>41145</v>
      </c>
      <c r="K63" s="525"/>
      <c r="L63" s="525"/>
    </row>
    <row r="64" spans="1:12" hidden="1" x14ac:dyDescent="0.2">
      <c r="A64" s="568">
        <v>1</v>
      </c>
      <c r="B64" s="36">
        <v>62</v>
      </c>
      <c r="C64" s="569">
        <v>41145</v>
      </c>
      <c r="D64" s="560" t="s">
        <v>346</v>
      </c>
      <c r="E64" s="560" t="s">
        <v>372</v>
      </c>
      <c r="F64" s="498" t="s">
        <v>434</v>
      </c>
      <c r="G64" s="570" t="s">
        <v>408</v>
      </c>
      <c r="H64" s="570" t="s">
        <v>415</v>
      </c>
      <c r="I64" s="570" t="str">
        <f>Table1[[#This Row],[Staff]]</f>
        <v>Nicole</v>
      </c>
      <c r="J64" s="569">
        <f>Table1[[#This Row],[Date]]</f>
        <v>41145</v>
      </c>
      <c r="K64" s="525"/>
      <c r="L64" s="525"/>
    </row>
    <row r="65" spans="1:12" hidden="1" x14ac:dyDescent="0.2">
      <c r="A65" s="568">
        <v>1</v>
      </c>
      <c r="B65" s="36">
        <v>63</v>
      </c>
      <c r="C65" s="569">
        <v>41145</v>
      </c>
      <c r="D65" s="560" t="s">
        <v>346</v>
      </c>
      <c r="E65" s="560" t="s">
        <v>372</v>
      </c>
      <c r="F65" s="498" t="s">
        <v>435</v>
      </c>
      <c r="G65" s="570" t="s">
        <v>408</v>
      </c>
      <c r="H65" s="570" t="s">
        <v>415</v>
      </c>
      <c r="I65" s="570" t="str">
        <f>Table1[[#This Row],[Staff]]</f>
        <v>Nicole</v>
      </c>
      <c r="J65" s="569">
        <f>Table1[[#This Row],[Date]]</f>
        <v>41145</v>
      </c>
      <c r="K65" s="525"/>
      <c r="L65" s="525"/>
    </row>
    <row r="66" spans="1:12" hidden="1" x14ac:dyDescent="0.2">
      <c r="A66" s="568">
        <v>1</v>
      </c>
      <c r="B66" s="36">
        <v>64</v>
      </c>
      <c r="C66" s="569">
        <v>41145</v>
      </c>
      <c r="D66" s="560" t="s">
        <v>346</v>
      </c>
      <c r="E66" s="560" t="s">
        <v>372</v>
      </c>
      <c r="F66" s="498" t="s">
        <v>436</v>
      </c>
      <c r="G66" s="570" t="s">
        <v>408</v>
      </c>
      <c r="H66" s="570" t="s">
        <v>415</v>
      </c>
      <c r="I66" s="570" t="str">
        <f>Table1[[#This Row],[Staff]]</f>
        <v>Nicole</v>
      </c>
      <c r="J66" s="569">
        <f>Table1[[#This Row],[Date]]</f>
        <v>41145</v>
      </c>
      <c r="K66" s="525"/>
      <c r="L66" s="525"/>
    </row>
    <row r="67" spans="1:12" hidden="1" x14ac:dyDescent="0.2">
      <c r="A67" s="568">
        <v>1</v>
      </c>
      <c r="B67" s="36">
        <v>65</v>
      </c>
      <c r="C67" s="569">
        <v>41145</v>
      </c>
      <c r="D67" s="560" t="s">
        <v>346</v>
      </c>
      <c r="E67" s="560" t="s">
        <v>372</v>
      </c>
      <c r="F67" s="498" t="s">
        <v>437</v>
      </c>
      <c r="G67" s="570" t="s">
        <v>408</v>
      </c>
      <c r="H67" s="570" t="s">
        <v>415</v>
      </c>
      <c r="I67" s="570" t="str">
        <f>Table1[[#This Row],[Staff]]</f>
        <v>Nicole</v>
      </c>
      <c r="J67" s="569">
        <f>Table1[[#This Row],[Date]]</f>
        <v>41145</v>
      </c>
      <c r="K67" s="525"/>
      <c r="L67" s="525"/>
    </row>
    <row r="68" spans="1:12" hidden="1" x14ac:dyDescent="0.2">
      <c r="A68" s="568">
        <v>1</v>
      </c>
      <c r="B68" s="36">
        <v>66</v>
      </c>
      <c r="C68" s="569">
        <v>41145</v>
      </c>
      <c r="D68" s="560" t="s">
        <v>346</v>
      </c>
      <c r="E68" s="560" t="s">
        <v>372</v>
      </c>
      <c r="F68" s="498" t="s">
        <v>438</v>
      </c>
      <c r="G68" s="570" t="s">
        <v>408</v>
      </c>
      <c r="H68" s="570" t="s">
        <v>415</v>
      </c>
      <c r="I68" s="570" t="str">
        <f>Table1[[#This Row],[Staff]]</f>
        <v>Nicole</v>
      </c>
      <c r="J68" s="569">
        <f>Table1[[#This Row],[Date]]</f>
        <v>41145</v>
      </c>
      <c r="K68" s="525"/>
      <c r="L68" s="525"/>
    </row>
    <row r="69" spans="1:12" hidden="1" x14ac:dyDescent="0.2">
      <c r="A69" s="568">
        <v>1</v>
      </c>
      <c r="B69" s="36">
        <v>67</v>
      </c>
      <c r="C69" s="569">
        <v>41145</v>
      </c>
      <c r="D69" s="560" t="s">
        <v>346</v>
      </c>
      <c r="E69" s="560" t="s">
        <v>372</v>
      </c>
      <c r="F69" s="498" t="s">
        <v>439</v>
      </c>
      <c r="G69" s="570" t="s">
        <v>408</v>
      </c>
      <c r="H69" s="570" t="s">
        <v>415</v>
      </c>
      <c r="I69" s="570" t="str">
        <f>Table1[[#This Row],[Staff]]</f>
        <v>Nicole</v>
      </c>
      <c r="J69" s="569">
        <f>Table1[[#This Row],[Date]]</f>
        <v>41145</v>
      </c>
      <c r="K69" s="525"/>
      <c r="L69" s="525"/>
    </row>
    <row r="70" spans="1:12" hidden="1" x14ac:dyDescent="0.2">
      <c r="A70" s="568">
        <v>1</v>
      </c>
      <c r="B70" s="36">
        <v>68</v>
      </c>
      <c r="C70" s="569">
        <v>41145</v>
      </c>
      <c r="D70" s="560" t="s">
        <v>346</v>
      </c>
      <c r="E70" s="560" t="s">
        <v>372</v>
      </c>
      <c r="F70" s="498" t="s">
        <v>440</v>
      </c>
      <c r="G70" s="570" t="s">
        <v>408</v>
      </c>
      <c r="H70" s="570" t="s">
        <v>415</v>
      </c>
      <c r="I70" s="570" t="str">
        <f>Table1[[#This Row],[Staff]]</f>
        <v>Nicole</v>
      </c>
      <c r="J70" s="569">
        <f>Table1[[#This Row],[Date]]</f>
        <v>41145</v>
      </c>
      <c r="K70" s="525"/>
      <c r="L70" s="525"/>
    </row>
    <row r="71" spans="1:12" hidden="1" x14ac:dyDescent="0.2">
      <c r="A71" s="568">
        <v>1</v>
      </c>
      <c r="B71" s="36">
        <v>69</v>
      </c>
      <c r="C71" s="569">
        <v>41145</v>
      </c>
      <c r="D71" s="560" t="s">
        <v>346</v>
      </c>
      <c r="E71" s="560" t="s">
        <v>369</v>
      </c>
      <c r="F71" s="498" t="s">
        <v>441</v>
      </c>
      <c r="G71" s="570" t="s">
        <v>442</v>
      </c>
      <c r="H71" s="570" t="s">
        <v>443</v>
      </c>
      <c r="I71" s="570" t="str">
        <f>Table1[[#This Row],[Staff]]</f>
        <v>Nicole</v>
      </c>
      <c r="J71" s="569">
        <f>Table1[[#This Row],[Date]]</f>
        <v>41145</v>
      </c>
      <c r="K71" s="525"/>
      <c r="L71" s="525"/>
    </row>
    <row r="72" spans="1:12" hidden="1" x14ac:dyDescent="0.2">
      <c r="A72" s="568">
        <v>1</v>
      </c>
      <c r="B72" s="36">
        <v>70</v>
      </c>
      <c r="C72" s="569">
        <v>41145</v>
      </c>
      <c r="D72" s="560" t="s">
        <v>346</v>
      </c>
      <c r="E72" s="560" t="s">
        <v>58</v>
      </c>
      <c r="F72" s="498" t="s">
        <v>409</v>
      </c>
      <c r="G72" s="570" t="s">
        <v>408</v>
      </c>
      <c r="H72" s="570" t="s">
        <v>415</v>
      </c>
      <c r="I72" s="570" t="str">
        <f>Table1[[#This Row],[Staff]]</f>
        <v>Nicole</v>
      </c>
      <c r="J72" s="569">
        <f>Table1[[#This Row],[Date]]</f>
        <v>41145</v>
      </c>
      <c r="K72" s="525"/>
      <c r="L72" s="525"/>
    </row>
    <row r="73" spans="1:12" hidden="1" x14ac:dyDescent="0.2">
      <c r="A73" s="568">
        <v>1</v>
      </c>
      <c r="B73" s="36">
        <v>71</v>
      </c>
      <c r="C73" s="569">
        <v>41145</v>
      </c>
      <c r="D73" s="560" t="s">
        <v>346</v>
      </c>
      <c r="E73" s="560" t="s">
        <v>58</v>
      </c>
      <c r="F73" s="498" t="s">
        <v>444</v>
      </c>
      <c r="G73" s="570" t="s">
        <v>408</v>
      </c>
      <c r="H73" s="570" t="s">
        <v>415</v>
      </c>
      <c r="I73" s="570" t="str">
        <f>Table1[[#This Row],[Staff]]</f>
        <v>Nicole</v>
      </c>
      <c r="J73" s="569">
        <f>Table1[[#This Row],[Date]]</f>
        <v>41145</v>
      </c>
      <c r="K73" s="525"/>
      <c r="L73" s="525"/>
    </row>
    <row r="74" spans="1:12" hidden="1" x14ac:dyDescent="0.2">
      <c r="A74" s="568">
        <v>1</v>
      </c>
      <c r="B74" s="36">
        <v>72</v>
      </c>
      <c r="C74" s="569">
        <v>41145</v>
      </c>
      <c r="D74" s="560" t="s">
        <v>346</v>
      </c>
      <c r="E74" s="560" t="s">
        <v>58</v>
      </c>
      <c r="F74" s="498" t="s">
        <v>445</v>
      </c>
      <c r="G74" s="570" t="s">
        <v>408</v>
      </c>
      <c r="H74" s="570" t="s">
        <v>415</v>
      </c>
      <c r="I74" s="570" t="str">
        <f>Table1[[#This Row],[Staff]]</f>
        <v>Nicole</v>
      </c>
      <c r="J74" s="569">
        <f>Table1[[#This Row],[Date]]</f>
        <v>41145</v>
      </c>
      <c r="K74" s="525"/>
      <c r="L74" s="525"/>
    </row>
    <row r="75" spans="1:12" hidden="1" x14ac:dyDescent="0.2">
      <c r="A75" s="568">
        <v>1</v>
      </c>
      <c r="B75" s="36">
        <v>73</v>
      </c>
      <c r="C75" s="569">
        <v>41145</v>
      </c>
      <c r="D75" s="560" t="s">
        <v>346</v>
      </c>
      <c r="E75" s="560" t="s">
        <v>58</v>
      </c>
      <c r="F75" s="498" t="s">
        <v>446</v>
      </c>
      <c r="G75" s="570" t="s">
        <v>408</v>
      </c>
      <c r="H75" s="570" t="s">
        <v>415</v>
      </c>
      <c r="I75" s="570" t="str">
        <f>Table1[[#This Row],[Staff]]</f>
        <v>Nicole</v>
      </c>
      <c r="J75" s="569">
        <f>Table1[[#This Row],[Date]]</f>
        <v>41145</v>
      </c>
      <c r="K75" s="525"/>
      <c r="L75" s="525"/>
    </row>
    <row r="76" spans="1:12" hidden="1" x14ac:dyDescent="0.2">
      <c r="A76" s="568">
        <v>1</v>
      </c>
      <c r="B76" s="36">
        <v>74</v>
      </c>
      <c r="C76" s="569">
        <v>41145</v>
      </c>
      <c r="D76" s="560" t="s">
        <v>346</v>
      </c>
      <c r="E76" s="560" t="s">
        <v>58</v>
      </c>
      <c r="F76" s="498" t="s">
        <v>447</v>
      </c>
      <c r="G76" s="570" t="s">
        <v>408</v>
      </c>
      <c r="H76" s="570" t="s">
        <v>415</v>
      </c>
      <c r="I76" s="570" t="str">
        <f>Table1[[#This Row],[Staff]]</f>
        <v>Nicole</v>
      </c>
      <c r="J76" s="569">
        <f>Table1[[#This Row],[Date]]</f>
        <v>41145</v>
      </c>
      <c r="K76" s="525"/>
      <c r="L76" s="525"/>
    </row>
    <row r="77" spans="1:12" hidden="1" x14ac:dyDescent="0.2">
      <c r="A77" s="568">
        <v>1</v>
      </c>
      <c r="B77" s="36">
        <v>75</v>
      </c>
      <c r="C77" s="569">
        <v>41145</v>
      </c>
      <c r="D77" s="560" t="s">
        <v>346</v>
      </c>
      <c r="E77" s="560" t="s">
        <v>58</v>
      </c>
      <c r="F77" s="498" t="s">
        <v>448</v>
      </c>
      <c r="G77" s="570" t="s">
        <v>408</v>
      </c>
      <c r="H77" s="570" t="s">
        <v>415</v>
      </c>
      <c r="I77" s="570" t="str">
        <f>Table1[[#This Row],[Staff]]</f>
        <v>Nicole</v>
      </c>
      <c r="J77" s="569">
        <f>Table1[[#This Row],[Date]]</f>
        <v>41145</v>
      </c>
      <c r="K77" s="525"/>
      <c r="L77" s="525"/>
    </row>
    <row r="78" spans="1:12" hidden="1" x14ac:dyDescent="0.2">
      <c r="A78" s="568">
        <v>1</v>
      </c>
      <c r="B78" s="36">
        <v>76</v>
      </c>
      <c r="C78" s="569">
        <v>41145</v>
      </c>
      <c r="D78" s="573" t="s">
        <v>346</v>
      </c>
      <c r="E78" s="560" t="s">
        <v>377</v>
      </c>
      <c r="F78" s="498" t="s">
        <v>449</v>
      </c>
      <c r="G78" s="570" t="s">
        <v>408</v>
      </c>
      <c r="H78" s="570" t="s">
        <v>415</v>
      </c>
      <c r="I78" s="570" t="str">
        <f>Table1[[#This Row],[Staff]]</f>
        <v>Nicole</v>
      </c>
      <c r="J78" s="569">
        <f>Table1[[#This Row],[Date]]</f>
        <v>41145</v>
      </c>
      <c r="K78" s="525"/>
      <c r="L78" s="525"/>
    </row>
    <row r="79" spans="1:12" hidden="1" x14ac:dyDescent="0.2">
      <c r="A79" s="568">
        <v>1</v>
      </c>
      <c r="B79" s="36">
        <v>77</v>
      </c>
      <c r="C79" s="569">
        <v>41145</v>
      </c>
      <c r="D79" s="573" t="s">
        <v>346</v>
      </c>
      <c r="E79" s="560" t="s">
        <v>377</v>
      </c>
      <c r="F79" s="498" t="s">
        <v>450</v>
      </c>
      <c r="G79" s="570" t="s">
        <v>408</v>
      </c>
      <c r="H79" s="570" t="s">
        <v>415</v>
      </c>
      <c r="I79" s="570" t="str">
        <f>Table1[[#This Row],[Staff]]</f>
        <v>Nicole</v>
      </c>
      <c r="J79" s="569">
        <f>Table1[[#This Row],[Date]]</f>
        <v>41145</v>
      </c>
      <c r="K79" s="525"/>
      <c r="L79" s="525"/>
    </row>
    <row r="80" spans="1:12" hidden="1" x14ac:dyDescent="0.2">
      <c r="A80" s="568">
        <v>1</v>
      </c>
      <c r="B80" s="36">
        <v>78</v>
      </c>
      <c r="C80" s="569">
        <v>41145</v>
      </c>
      <c r="D80" s="573" t="s">
        <v>346</v>
      </c>
      <c r="E80" s="560" t="s">
        <v>377</v>
      </c>
      <c r="F80" s="498" t="s">
        <v>411</v>
      </c>
      <c r="G80" s="570" t="s">
        <v>408</v>
      </c>
      <c r="H80" s="570" t="s">
        <v>415</v>
      </c>
      <c r="I80" s="570" t="str">
        <f>Table1[[#This Row],[Staff]]</f>
        <v>Nicole</v>
      </c>
      <c r="J80" s="569">
        <f>Table1[[#This Row],[Date]]</f>
        <v>41145</v>
      </c>
      <c r="K80" s="525"/>
      <c r="L80" s="525"/>
    </row>
    <row r="81" spans="1:35" hidden="1" x14ac:dyDescent="0.2">
      <c r="A81" s="568">
        <v>1</v>
      </c>
      <c r="B81" s="36">
        <v>79</v>
      </c>
      <c r="C81" s="569">
        <v>41145</v>
      </c>
      <c r="D81" s="573" t="s">
        <v>346</v>
      </c>
      <c r="E81" s="560" t="s">
        <v>377</v>
      </c>
      <c r="F81" s="498" t="s">
        <v>451</v>
      </c>
      <c r="G81" s="570" t="s">
        <v>408</v>
      </c>
      <c r="H81" s="570" t="s">
        <v>415</v>
      </c>
      <c r="I81" s="570" t="str">
        <f>Table1[[#This Row],[Staff]]</f>
        <v>Nicole</v>
      </c>
      <c r="J81" s="569">
        <f>Table1[[#This Row],[Date]]</f>
        <v>41145</v>
      </c>
      <c r="K81" s="525"/>
      <c r="L81" s="525"/>
    </row>
    <row r="82" spans="1:35" hidden="1" x14ac:dyDescent="0.2">
      <c r="A82" s="568">
        <v>1</v>
      </c>
      <c r="B82" s="36">
        <v>80</v>
      </c>
      <c r="C82" s="569">
        <v>41145</v>
      </c>
      <c r="D82" s="573" t="s">
        <v>346</v>
      </c>
      <c r="E82" s="560" t="s">
        <v>377</v>
      </c>
      <c r="F82" s="498" t="s">
        <v>452</v>
      </c>
      <c r="G82" s="570" t="s">
        <v>408</v>
      </c>
      <c r="H82" s="570" t="s">
        <v>415</v>
      </c>
      <c r="I82" s="570" t="str">
        <f>Table1[[#This Row],[Staff]]</f>
        <v>Nicole</v>
      </c>
      <c r="J82" s="569">
        <f>Table1[[#This Row],[Date]]</f>
        <v>41145</v>
      </c>
      <c r="K82" s="525"/>
      <c r="L82" s="525"/>
    </row>
    <row r="83" spans="1:35" hidden="1" x14ac:dyDescent="0.2">
      <c r="A83" s="568">
        <v>1</v>
      </c>
      <c r="B83" s="36">
        <v>81</v>
      </c>
      <c r="C83" s="569">
        <v>41145</v>
      </c>
      <c r="D83" s="573" t="s">
        <v>346</v>
      </c>
      <c r="E83" s="560" t="s">
        <v>377</v>
      </c>
      <c r="F83" s="498" t="s">
        <v>453</v>
      </c>
      <c r="G83" s="570" t="s">
        <v>408</v>
      </c>
      <c r="H83" s="570" t="s">
        <v>415</v>
      </c>
      <c r="I83" s="570" t="str">
        <f>Table1[[#This Row],[Staff]]</f>
        <v>Nicole</v>
      </c>
      <c r="J83" s="569">
        <f>Table1[[#This Row],[Date]]</f>
        <v>41145</v>
      </c>
      <c r="K83" s="525"/>
      <c r="L83" s="525"/>
    </row>
    <row r="84" spans="1:35" hidden="1" x14ac:dyDescent="0.2">
      <c r="A84" s="568">
        <v>1</v>
      </c>
      <c r="B84" s="36">
        <v>82</v>
      </c>
      <c r="C84" s="569">
        <v>41148</v>
      </c>
      <c r="D84" s="575" t="s">
        <v>346</v>
      </c>
      <c r="E84" s="575" t="s">
        <v>379</v>
      </c>
      <c r="F84" s="498" t="s">
        <v>449</v>
      </c>
      <c r="G84" s="570" t="s">
        <v>408</v>
      </c>
      <c r="H84" s="570" t="s">
        <v>415</v>
      </c>
      <c r="I84" s="570" t="str">
        <f>Table1[[#This Row],[Staff]]</f>
        <v>Nicole</v>
      </c>
      <c r="J84" s="569">
        <f>Table1[[#This Row],[Date]]</f>
        <v>41148</v>
      </c>
      <c r="K84" s="525"/>
      <c r="L84" s="525"/>
    </row>
    <row r="85" spans="1:35" s="573" customFormat="1" hidden="1" x14ac:dyDescent="0.2">
      <c r="A85" s="568">
        <v>1</v>
      </c>
      <c r="B85" s="36">
        <v>83</v>
      </c>
      <c r="C85" s="569">
        <v>41148</v>
      </c>
      <c r="D85" s="575" t="s">
        <v>346</v>
      </c>
      <c r="E85" s="575" t="s">
        <v>379</v>
      </c>
      <c r="F85" s="498" t="s">
        <v>458</v>
      </c>
      <c r="G85" s="570" t="s">
        <v>408</v>
      </c>
      <c r="H85" s="570" t="s">
        <v>415</v>
      </c>
      <c r="I85" s="570" t="str">
        <f>Table1[[#This Row],[Staff]]</f>
        <v>Nicole</v>
      </c>
      <c r="J85" s="569">
        <f>Table1[[#This Row],[Date]]</f>
        <v>41148</v>
      </c>
      <c r="K85" s="525"/>
      <c r="L85" s="525"/>
      <c r="AF85" s="498"/>
      <c r="AG85" s="498"/>
      <c r="AH85" s="498"/>
      <c r="AI85" s="498"/>
    </row>
    <row r="86" spans="1:35" s="573" customFormat="1" hidden="1" x14ac:dyDescent="0.2">
      <c r="A86" s="568">
        <v>1</v>
      </c>
      <c r="B86" s="36">
        <v>84</v>
      </c>
      <c r="C86" s="569">
        <v>41148</v>
      </c>
      <c r="D86" s="575" t="s">
        <v>346</v>
      </c>
      <c r="E86" s="575" t="s">
        <v>379</v>
      </c>
      <c r="F86" s="498" t="s">
        <v>450</v>
      </c>
      <c r="G86" s="570" t="s">
        <v>408</v>
      </c>
      <c r="H86" s="570" t="s">
        <v>415</v>
      </c>
      <c r="I86" s="570" t="str">
        <f>Table1[[#This Row],[Staff]]</f>
        <v>Nicole</v>
      </c>
      <c r="J86" s="569">
        <f>Table1[[#This Row],[Date]]</f>
        <v>41148</v>
      </c>
      <c r="K86" s="525"/>
      <c r="L86" s="525"/>
      <c r="AF86" s="498"/>
      <c r="AG86" s="498"/>
      <c r="AH86" s="498"/>
      <c r="AI86" s="498"/>
    </row>
    <row r="87" spans="1:35" s="573" customFormat="1" hidden="1" x14ac:dyDescent="0.2">
      <c r="A87" s="568">
        <v>1</v>
      </c>
      <c r="B87" s="36">
        <v>85</v>
      </c>
      <c r="C87" s="569">
        <v>41148</v>
      </c>
      <c r="D87" s="575" t="s">
        <v>346</v>
      </c>
      <c r="E87" s="575" t="s">
        <v>379</v>
      </c>
      <c r="F87" s="498" t="s">
        <v>411</v>
      </c>
      <c r="G87" s="570" t="s">
        <v>408</v>
      </c>
      <c r="H87" s="570" t="s">
        <v>415</v>
      </c>
      <c r="I87" s="570" t="str">
        <f>Table1[[#This Row],[Staff]]</f>
        <v>Nicole</v>
      </c>
      <c r="J87" s="569">
        <f>Table1[[#This Row],[Date]]</f>
        <v>41148</v>
      </c>
      <c r="K87" s="525"/>
      <c r="L87" s="525"/>
      <c r="AF87" s="498"/>
      <c r="AG87" s="498"/>
      <c r="AH87" s="498"/>
      <c r="AI87" s="498"/>
    </row>
    <row r="88" spans="1:35" s="573" customFormat="1" hidden="1" x14ac:dyDescent="0.2">
      <c r="A88" s="568">
        <v>1</v>
      </c>
      <c r="B88" s="36">
        <v>86</v>
      </c>
      <c r="C88" s="569">
        <v>41148</v>
      </c>
      <c r="D88" s="575" t="s">
        <v>346</v>
      </c>
      <c r="E88" s="575" t="s">
        <v>379</v>
      </c>
      <c r="F88" s="498" t="s">
        <v>451</v>
      </c>
      <c r="G88" s="570" t="s">
        <v>408</v>
      </c>
      <c r="H88" s="570" t="s">
        <v>415</v>
      </c>
      <c r="I88" s="570" t="str">
        <f>Table1[[#This Row],[Staff]]</f>
        <v>Nicole</v>
      </c>
      <c r="J88" s="569">
        <f>Table1[[#This Row],[Date]]</f>
        <v>41148</v>
      </c>
      <c r="K88" s="525"/>
      <c r="L88" s="525"/>
      <c r="AF88" s="498"/>
      <c r="AG88" s="498"/>
      <c r="AH88" s="498"/>
      <c r="AI88" s="498"/>
    </row>
    <row r="89" spans="1:35" s="573" customFormat="1" hidden="1" x14ac:dyDescent="0.2">
      <c r="A89" s="568">
        <v>1</v>
      </c>
      <c r="B89" s="36">
        <v>87</v>
      </c>
      <c r="C89" s="569">
        <v>41148</v>
      </c>
      <c r="D89" s="575" t="s">
        <v>346</v>
      </c>
      <c r="E89" s="575" t="s">
        <v>379</v>
      </c>
      <c r="F89" s="498" t="s">
        <v>452</v>
      </c>
      <c r="G89" s="570" t="s">
        <v>408</v>
      </c>
      <c r="H89" s="570" t="s">
        <v>415</v>
      </c>
      <c r="I89" s="570" t="str">
        <f>Table1[[#This Row],[Staff]]</f>
        <v>Nicole</v>
      </c>
      <c r="J89" s="569">
        <f>Table1[[#This Row],[Date]]</f>
        <v>41148</v>
      </c>
      <c r="K89" s="525"/>
      <c r="L89" s="525"/>
      <c r="AF89" s="498"/>
      <c r="AG89" s="498"/>
      <c r="AH89" s="498"/>
      <c r="AI89" s="498"/>
    </row>
    <row r="90" spans="1:35" s="573" customFormat="1" hidden="1" x14ac:dyDescent="0.2">
      <c r="A90" s="568">
        <v>1</v>
      </c>
      <c r="B90" s="36">
        <v>88</v>
      </c>
      <c r="C90" s="569">
        <v>41148</v>
      </c>
      <c r="D90" s="575" t="s">
        <v>346</v>
      </c>
      <c r="E90" s="575" t="s">
        <v>379</v>
      </c>
      <c r="F90" s="498" t="s">
        <v>453</v>
      </c>
      <c r="G90" s="570" t="s">
        <v>408</v>
      </c>
      <c r="H90" s="570" t="s">
        <v>415</v>
      </c>
      <c r="I90" s="570" t="str">
        <f>Table1[[#This Row],[Staff]]</f>
        <v>Nicole</v>
      </c>
      <c r="J90" s="569">
        <f>Table1[[#This Row],[Date]]</f>
        <v>41148</v>
      </c>
      <c r="K90" s="525"/>
      <c r="L90" s="525"/>
      <c r="AF90" s="498"/>
      <c r="AG90" s="498"/>
      <c r="AH90" s="498"/>
      <c r="AI90" s="498"/>
    </row>
    <row r="91" spans="1:35" s="573" customFormat="1" hidden="1" x14ac:dyDescent="0.2">
      <c r="A91" s="568">
        <v>1</v>
      </c>
      <c r="B91" s="36">
        <v>89</v>
      </c>
      <c r="C91" s="569">
        <v>41148</v>
      </c>
      <c r="D91" s="575" t="s">
        <v>346</v>
      </c>
      <c r="E91" s="575" t="s">
        <v>385</v>
      </c>
      <c r="F91" s="498" t="s">
        <v>449</v>
      </c>
      <c r="G91" s="570" t="s">
        <v>408</v>
      </c>
      <c r="H91" s="570" t="s">
        <v>415</v>
      </c>
      <c r="I91" s="570" t="str">
        <f>Table1[[#This Row],[Staff]]</f>
        <v>Nicole</v>
      </c>
      <c r="J91" s="569">
        <f>Table1[[#This Row],[Date]]</f>
        <v>41148</v>
      </c>
      <c r="K91" s="525"/>
      <c r="L91" s="525"/>
      <c r="AF91" s="498"/>
      <c r="AG91" s="498"/>
      <c r="AH91" s="498"/>
      <c r="AI91" s="498"/>
    </row>
    <row r="92" spans="1:35" s="573" customFormat="1" hidden="1" x14ac:dyDescent="0.2">
      <c r="A92" s="568">
        <v>1</v>
      </c>
      <c r="B92" s="36">
        <v>90</v>
      </c>
      <c r="C92" s="569">
        <v>41148</v>
      </c>
      <c r="D92" s="575" t="s">
        <v>346</v>
      </c>
      <c r="E92" s="575" t="s">
        <v>385</v>
      </c>
      <c r="F92" s="498" t="s">
        <v>450</v>
      </c>
      <c r="G92" s="570" t="s">
        <v>408</v>
      </c>
      <c r="H92" s="570" t="s">
        <v>415</v>
      </c>
      <c r="I92" s="570" t="str">
        <f>Table1[[#This Row],[Staff]]</f>
        <v>Nicole</v>
      </c>
      <c r="J92" s="569">
        <f>Table1[[#This Row],[Date]]</f>
        <v>41148</v>
      </c>
      <c r="K92" s="525"/>
      <c r="L92" s="525"/>
      <c r="AF92" s="498"/>
      <c r="AG92" s="498"/>
      <c r="AH92" s="498"/>
      <c r="AI92" s="498"/>
    </row>
    <row r="93" spans="1:35" s="573" customFormat="1" hidden="1" x14ac:dyDescent="0.2">
      <c r="A93" s="568">
        <v>1</v>
      </c>
      <c r="B93" s="36">
        <v>91</v>
      </c>
      <c r="C93" s="569">
        <v>41148</v>
      </c>
      <c r="D93" s="575" t="s">
        <v>346</v>
      </c>
      <c r="E93" s="575" t="s">
        <v>385</v>
      </c>
      <c r="F93" s="498" t="s">
        <v>411</v>
      </c>
      <c r="G93" s="570" t="s">
        <v>408</v>
      </c>
      <c r="H93" s="570" t="s">
        <v>415</v>
      </c>
      <c r="I93" s="570" t="str">
        <f>Table1[[#This Row],[Staff]]</f>
        <v>Nicole</v>
      </c>
      <c r="J93" s="569">
        <f>Table1[[#This Row],[Date]]</f>
        <v>41148</v>
      </c>
      <c r="K93" s="525"/>
      <c r="L93" s="525"/>
      <c r="AF93" s="498"/>
      <c r="AG93" s="498"/>
      <c r="AH93" s="498"/>
      <c r="AI93" s="498"/>
    </row>
    <row r="94" spans="1:35" s="573" customFormat="1" hidden="1" x14ac:dyDescent="0.2">
      <c r="A94" s="568">
        <v>1</v>
      </c>
      <c r="B94" s="36">
        <v>92</v>
      </c>
      <c r="C94" s="569">
        <v>41148</v>
      </c>
      <c r="D94" s="575" t="s">
        <v>346</v>
      </c>
      <c r="E94" s="575" t="s">
        <v>385</v>
      </c>
      <c r="F94" s="498" t="s">
        <v>451</v>
      </c>
      <c r="G94" s="570" t="s">
        <v>408</v>
      </c>
      <c r="H94" s="570" t="s">
        <v>415</v>
      </c>
      <c r="I94" s="570" t="str">
        <f>Table1[[#This Row],[Staff]]</f>
        <v>Nicole</v>
      </c>
      <c r="J94" s="569">
        <f>Table1[[#This Row],[Date]]</f>
        <v>41148</v>
      </c>
      <c r="K94" s="525"/>
      <c r="L94" s="525"/>
      <c r="AF94" s="498"/>
      <c r="AG94" s="498"/>
      <c r="AH94" s="498"/>
      <c r="AI94" s="498"/>
    </row>
    <row r="95" spans="1:35" s="573" customFormat="1" hidden="1" x14ac:dyDescent="0.2">
      <c r="A95" s="568">
        <v>1</v>
      </c>
      <c r="B95" s="36">
        <v>93</v>
      </c>
      <c r="C95" s="569">
        <v>41148</v>
      </c>
      <c r="D95" s="575" t="s">
        <v>346</v>
      </c>
      <c r="E95" s="575" t="s">
        <v>385</v>
      </c>
      <c r="F95" s="498" t="s">
        <v>452</v>
      </c>
      <c r="G95" s="570" t="s">
        <v>408</v>
      </c>
      <c r="H95" s="570" t="s">
        <v>415</v>
      </c>
      <c r="I95" s="570" t="str">
        <f>Table1[[#This Row],[Staff]]</f>
        <v>Nicole</v>
      </c>
      <c r="J95" s="569">
        <f>Table1[[#This Row],[Date]]</f>
        <v>41148</v>
      </c>
      <c r="K95" s="525"/>
      <c r="L95" s="525"/>
      <c r="AF95" s="498"/>
      <c r="AG95" s="498"/>
      <c r="AH95" s="498"/>
      <c r="AI95" s="498"/>
    </row>
    <row r="96" spans="1:35" s="573" customFormat="1" hidden="1" x14ac:dyDescent="0.2">
      <c r="A96" s="568">
        <v>1</v>
      </c>
      <c r="B96" s="36">
        <v>94</v>
      </c>
      <c r="C96" s="569">
        <v>41148</v>
      </c>
      <c r="D96" s="575" t="s">
        <v>346</v>
      </c>
      <c r="E96" s="575" t="s">
        <v>385</v>
      </c>
      <c r="F96" s="498" t="s">
        <v>453</v>
      </c>
      <c r="G96" s="570" t="s">
        <v>408</v>
      </c>
      <c r="H96" s="570" t="s">
        <v>415</v>
      </c>
      <c r="I96" s="570" t="str">
        <f>Table1[[#This Row],[Staff]]</f>
        <v>Nicole</v>
      </c>
      <c r="J96" s="569">
        <f>Table1[[#This Row],[Date]]</f>
        <v>41148</v>
      </c>
      <c r="K96" s="525"/>
      <c r="L96" s="525"/>
      <c r="AF96" s="498"/>
      <c r="AG96" s="498"/>
      <c r="AH96" s="498"/>
      <c r="AI96" s="498"/>
    </row>
    <row r="97" spans="1:35" s="573" customFormat="1" hidden="1" x14ac:dyDescent="0.2">
      <c r="A97" s="568">
        <v>1</v>
      </c>
      <c r="B97" s="36">
        <v>95</v>
      </c>
      <c r="C97" s="569">
        <v>41148</v>
      </c>
      <c r="D97" s="575" t="s">
        <v>346</v>
      </c>
      <c r="E97" s="575" t="s">
        <v>385</v>
      </c>
      <c r="F97" s="498" t="s">
        <v>459</v>
      </c>
      <c r="G97" s="570" t="s">
        <v>408</v>
      </c>
      <c r="H97" s="570" t="s">
        <v>415</v>
      </c>
      <c r="I97" s="570" t="str">
        <f>Table1[[#This Row],[Staff]]</f>
        <v>Nicole</v>
      </c>
      <c r="J97" s="569">
        <f>Table1[[#This Row],[Date]]</f>
        <v>41148</v>
      </c>
      <c r="K97" s="525"/>
      <c r="L97" s="525"/>
      <c r="AF97" s="498"/>
      <c r="AG97" s="498"/>
      <c r="AH97" s="498"/>
      <c r="AI97" s="498"/>
    </row>
    <row r="98" spans="1:35" s="573" customFormat="1" hidden="1" x14ac:dyDescent="0.2">
      <c r="A98" s="568">
        <v>1</v>
      </c>
      <c r="B98" s="36">
        <v>96</v>
      </c>
      <c r="C98" s="569">
        <v>41148</v>
      </c>
      <c r="D98" s="575" t="s">
        <v>346</v>
      </c>
      <c r="E98" s="575" t="s">
        <v>385</v>
      </c>
      <c r="F98" s="498" t="s">
        <v>460</v>
      </c>
      <c r="G98" s="570" t="s">
        <v>408</v>
      </c>
      <c r="H98" s="570" t="s">
        <v>415</v>
      </c>
      <c r="I98" s="570" t="str">
        <f>Table1[[#This Row],[Staff]]</f>
        <v>Nicole</v>
      </c>
      <c r="J98" s="569">
        <f>Table1[[#This Row],[Date]]</f>
        <v>41148</v>
      </c>
      <c r="K98" s="525"/>
      <c r="L98" s="525"/>
      <c r="AF98" s="498"/>
      <c r="AG98" s="498"/>
      <c r="AH98" s="498"/>
      <c r="AI98" s="498"/>
    </row>
    <row r="99" spans="1:35" s="573" customFormat="1" hidden="1" x14ac:dyDescent="0.2">
      <c r="A99" s="568">
        <v>1</v>
      </c>
      <c r="B99" s="36">
        <v>97</v>
      </c>
      <c r="C99" s="569">
        <v>41148</v>
      </c>
      <c r="D99" s="575" t="s">
        <v>346</v>
      </c>
      <c r="E99" s="578" t="s">
        <v>390</v>
      </c>
      <c r="F99" s="498" t="s">
        <v>449</v>
      </c>
      <c r="G99" s="570" t="s">
        <v>408</v>
      </c>
      <c r="H99" s="570" t="s">
        <v>415</v>
      </c>
      <c r="I99" s="570" t="str">
        <f>Table1[[#This Row],[Staff]]</f>
        <v>Nicole</v>
      </c>
      <c r="J99" s="569">
        <f>Table1[[#This Row],[Date]]</f>
        <v>41148</v>
      </c>
      <c r="K99" s="525"/>
      <c r="L99" s="525"/>
      <c r="AF99" s="498"/>
      <c r="AG99" s="498"/>
      <c r="AH99" s="498"/>
      <c r="AI99" s="498"/>
    </row>
    <row r="100" spans="1:35" s="573" customFormat="1" hidden="1" x14ac:dyDescent="0.2">
      <c r="A100" s="568">
        <v>1</v>
      </c>
      <c r="B100" s="36">
        <v>98</v>
      </c>
      <c r="C100" s="569">
        <v>41148</v>
      </c>
      <c r="D100" s="575" t="s">
        <v>346</v>
      </c>
      <c r="E100" s="578" t="s">
        <v>390</v>
      </c>
      <c r="F100" s="498" t="s">
        <v>450</v>
      </c>
      <c r="G100" s="570" t="s">
        <v>408</v>
      </c>
      <c r="H100" s="570" t="s">
        <v>415</v>
      </c>
      <c r="I100" s="570" t="str">
        <f>Table1[[#This Row],[Staff]]</f>
        <v>Nicole</v>
      </c>
      <c r="J100" s="569">
        <f>Table1[[#This Row],[Date]]</f>
        <v>41148</v>
      </c>
      <c r="K100" s="525"/>
      <c r="L100" s="525"/>
      <c r="AF100" s="498"/>
      <c r="AG100" s="498"/>
      <c r="AH100" s="498"/>
      <c r="AI100" s="498"/>
    </row>
    <row r="101" spans="1:35" s="573" customFormat="1" hidden="1" x14ac:dyDescent="0.2">
      <c r="A101" s="568">
        <v>1</v>
      </c>
      <c r="B101" s="36">
        <v>99</v>
      </c>
      <c r="C101" s="569">
        <v>41148</v>
      </c>
      <c r="D101" s="578" t="s">
        <v>346</v>
      </c>
      <c r="E101" s="578" t="s">
        <v>390</v>
      </c>
      <c r="F101" s="498" t="s">
        <v>411</v>
      </c>
      <c r="G101" s="570" t="s">
        <v>408</v>
      </c>
      <c r="H101" s="570" t="s">
        <v>415</v>
      </c>
      <c r="I101" s="570" t="str">
        <f>Table1[[#This Row],[Staff]]</f>
        <v>Nicole</v>
      </c>
      <c r="J101" s="569">
        <f>Table1[[#This Row],[Date]]</f>
        <v>41148</v>
      </c>
      <c r="K101" s="525"/>
      <c r="L101" s="525"/>
      <c r="AF101" s="498"/>
      <c r="AG101" s="498"/>
      <c r="AH101" s="498"/>
      <c r="AI101" s="498"/>
    </row>
    <row r="102" spans="1:35" s="573" customFormat="1" hidden="1" x14ac:dyDescent="0.2">
      <c r="A102" s="568">
        <v>1</v>
      </c>
      <c r="B102" s="36">
        <v>100</v>
      </c>
      <c r="C102" s="569">
        <v>41148</v>
      </c>
      <c r="D102" s="578" t="s">
        <v>346</v>
      </c>
      <c r="E102" s="578" t="s">
        <v>390</v>
      </c>
      <c r="F102" s="498" t="s">
        <v>451</v>
      </c>
      <c r="G102" s="570" t="s">
        <v>408</v>
      </c>
      <c r="H102" s="570" t="s">
        <v>415</v>
      </c>
      <c r="I102" s="570" t="str">
        <f>Table1[[#This Row],[Staff]]</f>
        <v>Nicole</v>
      </c>
      <c r="J102" s="569">
        <f>Table1[[#This Row],[Date]]</f>
        <v>41148</v>
      </c>
      <c r="K102" s="525"/>
      <c r="L102" s="525"/>
      <c r="AF102" s="498"/>
      <c r="AG102" s="498"/>
      <c r="AH102" s="498"/>
      <c r="AI102" s="498"/>
    </row>
    <row r="103" spans="1:35" s="573" customFormat="1" hidden="1" x14ac:dyDescent="0.2">
      <c r="A103" s="568">
        <v>1</v>
      </c>
      <c r="B103" s="36">
        <v>101</v>
      </c>
      <c r="C103" s="569">
        <v>41148</v>
      </c>
      <c r="D103" s="578" t="s">
        <v>346</v>
      </c>
      <c r="E103" s="578" t="s">
        <v>390</v>
      </c>
      <c r="F103" s="498" t="s">
        <v>452</v>
      </c>
      <c r="G103" s="570" t="s">
        <v>408</v>
      </c>
      <c r="H103" s="570" t="s">
        <v>415</v>
      </c>
      <c r="I103" s="570" t="str">
        <f>Table1[[#This Row],[Staff]]</f>
        <v>Nicole</v>
      </c>
      <c r="J103" s="569">
        <f>Table1[[#This Row],[Date]]</f>
        <v>41148</v>
      </c>
      <c r="K103" s="525"/>
      <c r="L103" s="525"/>
      <c r="AF103" s="498"/>
      <c r="AG103" s="498"/>
      <c r="AH103" s="498"/>
      <c r="AI103" s="498"/>
    </row>
    <row r="104" spans="1:35" s="573" customFormat="1" hidden="1" x14ac:dyDescent="0.2">
      <c r="A104" s="568">
        <v>1</v>
      </c>
      <c r="B104" s="36">
        <v>102</v>
      </c>
      <c r="C104" s="569">
        <v>41148</v>
      </c>
      <c r="D104" s="578" t="s">
        <v>346</v>
      </c>
      <c r="E104" s="578" t="s">
        <v>390</v>
      </c>
      <c r="F104" s="498" t="s">
        <v>453</v>
      </c>
      <c r="G104" s="570" t="s">
        <v>408</v>
      </c>
      <c r="H104" s="570" t="s">
        <v>415</v>
      </c>
      <c r="I104" s="570" t="str">
        <f>Table1[[#This Row],[Staff]]</f>
        <v>Nicole</v>
      </c>
      <c r="J104" s="569">
        <f>Table1[[#This Row],[Date]]</f>
        <v>41148</v>
      </c>
      <c r="K104" s="525"/>
      <c r="L104" s="525"/>
      <c r="AF104" s="498"/>
      <c r="AG104" s="498"/>
      <c r="AH104" s="498"/>
      <c r="AI104" s="498"/>
    </row>
    <row r="105" spans="1:35" s="573" customFormat="1" hidden="1" x14ac:dyDescent="0.2">
      <c r="A105" s="568">
        <v>1</v>
      </c>
      <c r="B105" s="36">
        <v>103</v>
      </c>
      <c r="C105" s="569">
        <v>41148</v>
      </c>
      <c r="D105" s="578" t="s">
        <v>346</v>
      </c>
      <c r="E105" s="578" t="s">
        <v>393</v>
      </c>
      <c r="F105" s="498" t="s">
        <v>449</v>
      </c>
      <c r="G105" s="570" t="s">
        <v>408</v>
      </c>
      <c r="H105" s="570" t="s">
        <v>415</v>
      </c>
      <c r="I105" s="570" t="str">
        <f>Table1[[#This Row],[Staff]]</f>
        <v>Nicole</v>
      </c>
      <c r="J105" s="569">
        <f>Table1[[#This Row],[Date]]</f>
        <v>41148</v>
      </c>
      <c r="K105" s="525"/>
      <c r="L105" s="525"/>
      <c r="AF105" s="498"/>
      <c r="AG105" s="498"/>
      <c r="AH105" s="498"/>
      <c r="AI105" s="498"/>
    </row>
    <row r="106" spans="1:35" s="573" customFormat="1" hidden="1" x14ac:dyDescent="0.2">
      <c r="A106" s="568">
        <v>1</v>
      </c>
      <c r="B106" s="36">
        <v>104</v>
      </c>
      <c r="C106" s="569">
        <v>41148</v>
      </c>
      <c r="D106" s="578" t="s">
        <v>346</v>
      </c>
      <c r="E106" s="578" t="s">
        <v>393</v>
      </c>
      <c r="F106" s="498" t="s">
        <v>450</v>
      </c>
      <c r="G106" s="570" t="s">
        <v>408</v>
      </c>
      <c r="H106" s="570" t="s">
        <v>415</v>
      </c>
      <c r="I106" s="570" t="str">
        <f>Table1[[#This Row],[Staff]]</f>
        <v>Nicole</v>
      </c>
      <c r="J106" s="569">
        <f>Table1[[#This Row],[Date]]</f>
        <v>41148</v>
      </c>
      <c r="K106" s="525"/>
      <c r="L106" s="525"/>
      <c r="AF106" s="498"/>
      <c r="AG106" s="498"/>
      <c r="AH106" s="498"/>
      <c r="AI106" s="498"/>
    </row>
    <row r="107" spans="1:35" s="573" customFormat="1" hidden="1" x14ac:dyDescent="0.2">
      <c r="A107" s="568">
        <v>1</v>
      </c>
      <c r="B107" s="36">
        <v>105</v>
      </c>
      <c r="C107" s="569">
        <v>41148</v>
      </c>
      <c r="D107" s="578" t="s">
        <v>346</v>
      </c>
      <c r="E107" s="578" t="s">
        <v>73</v>
      </c>
      <c r="F107" s="498" t="s">
        <v>458</v>
      </c>
      <c r="G107" s="570" t="s">
        <v>408</v>
      </c>
      <c r="H107" s="570" t="s">
        <v>415</v>
      </c>
      <c r="I107" s="570" t="str">
        <f>Table1[[#This Row],[Staff]]</f>
        <v>Nicole</v>
      </c>
      <c r="J107" s="569">
        <f>Table1[[#This Row],[Date]]</f>
        <v>41148</v>
      </c>
      <c r="K107" s="525"/>
      <c r="L107" s="525"/>
      <c r="AF107" s="498"/>
      <c r="AG107" s="498"/>
      <c r="AH107" s="498"/>
      <c r="AI107" s="498"/>
    </row>
    <row r="108" spans="1:35" s="573" customFormat="1" hidden="1" x14ac:dyDescent="0.2">
      <c r="A108" s="568">
        <v>1</v>
      </c>
      <c r="B108" s="36">
        <v>106</v>
      </c>
      <c r="C108" s="569">
        <v>41148</v>
      </c>
      <c r="D108" s="578" t="s">
        <v>346</v>
      </c>
      <c r="E108" s="578" t="s">
        <v>73</v>
      </c>
      <c r="F108" s="498" t="s">
        <v>461</v>
      </c>
      <c r="G108" s="570" t="s">
        <v>408</v>
      </c>
      <c r="H108" s="570" t="s">
        <v>415</v>
      </c>
      <c r="I108" s="570" t="str">
        <f>Table1[[#This Row],[Staff]]</f>
        <v>Nicole</v>
      </c>
      <c r="J108" s="569">
        <f>Table1[[#This Row],[Date]]</f>
        <v>41148</v>
      </c>
      <c r="K108" s="525"/>
      <c r="L108" s="525"/>
      <c r="AF108" s="498"/>
      <c r="AG108" s="498"/>
      <c r="AH108" s="498"/>
      <c r="AI108" s="498"/>
    </row>
    <row r="109" spans="1:35" s="573" customFormat="1" hidden="1" x14ac:dyDescent="0.2">
      <c r="A109" s="568">
        <v>1</v>
      </c>
      <c r="B109" s="36">
        <v>107</v>
      </c>
      <c r="C109" s="569">
        <v>41148</v>
      </c>
      <c r="D109" s="578" t="s">
        <v>346</v>
      </c>
      <c r="E109" s="578" t="s">
        <v>73</v>
      </c>
      <c r="F109" s="498" t="s">
        <v>462</v>
      </c>
      <c r="G109" s="570" t="s">
        <v>408</v>
      </c>
      <c r="H109" s="570" t="s">
        <v>415</v>
      </c>
      <c r="I109" s="570" t="str">
        <f>Table1[[#This Row],[Staff]]</f>
        <v>Nicole</v>
      </c>
      <c r="J109" s="569">
        <f>Table1[[#This Row],[Date]]</f>
        <v>41148</v>
      </c>
      <c r="K109" s="525"/>
      <c r="L109" s="525"/>
      <c r="AF109" s="498"/>
      <c r="AG109" s="498"/>
      <c r="AH109" s="498"/>
      <c r="AI109" s="498"/>
    </row>
    <row r="110" spans="1:35" s="573" customFormat="1" hidden="1" x14ac:dyDescent="0.2">
      <c r="A110" s="568">
        <v>1</v>
      </c>
      <c r="B110" s="36">
        <v>108</v>
      </c>
      <c r="C110" s="569">
        <v>41148</v>
      </c>
      <c r="D110" s="578" t="s">
        <v>346</v>
      </c>
      <c r="E110" s="578" t="s">
        <v>73</v>
      </c>
      <c r="F110" s="498" t="s">
        <v>463</v>
      </c>
      <c r="G110" s="570" t="s">
        <v>408</v>
      </c>
      <c r="H110" s="570" t="s">
        <v>415</v>
      </c>
      <c r="I110" s="570" t="str">
        <f>Table1[[#This Row],[Staff]]</f>
        <v>Nicole</v>
      </c>
      <c r="J110" s="569">
        <f>Table1[[#This Row],[Date]]</f>
        <v>41148</v>
      </c>
      <c r="K110" s="525"/>
      <c r="L110" s="525"/>
      <c r="AF110" s="498"/>
      <c r="AG110" s="498"/>
      <c r="AH110" s="498"/>
      <c r="AI110" s="498"/>
    </row>
    <row r="111" spans="1:35" hidden="1" x14ac:dyDescent="0.2">
      <c r="A111" s="568">
        <v>1</v>
      </c>
      <c r="B111" s="36">
        <v>109</v>
      </c>
      <c r="C111" s="569">
        <v>41148</v>
      </c>
      <c r="D111" s="578" t="s">
        <v>346</v>
      </c>
      <c r="E111" s="578" t="s">
        <v>73</v>
      </c>
      <c r="F111" s="498" t="s">
        <v>464</v>
      </c>
      <c r="G111" s="570" t="s">
        <v>408</v>
      </c>
      <c r="H111" s="570" t="s">
        <v>415</v>
      </c>
      <c r="I111" s="570" t="str">
        <f>Table1[[#This Row],[Staff]]</f>
        <v>Nicole</v>
      </c>
      <c r="J111" s="569">
        <f>Table1[[#This Row],[Date]]</f>
        <v>41148</v>
      </c>
      <c r="K111" s="525"/>
      <c r="L111" s="525"/>
    </row>
    <row r="112" spans="1:35" hidden="1" x14ac:dyDescent="0.2">
      <c r="A112" s="568">
        <v>1</v>
      </c>
      <c r="B112" s="36">
        <v>110</v>
      </c>
      <c r="C112" s="569">
        <v>41148</v>
      </c>
      <c r="D112" s="578" t="s">
        <v>346</v>
      </c>
      <c r="E112" s="578" t="s">
        <v>73</v>
      </c>
      <c r="F112" s="498" t="s">
        <v>465</v>
      </c>
      <c r="G112" s="570" t="s">
        <v>408</v>
      </c>
      <c r="H112" s="570" t="s">
        <v>415</v>
      </c>
      <c r="I112" s="570" t="str">
        <f>Table1[[#This Row],[Staff]]</f>
        <v>Nicole</v>
      </c>
      <c r="J112" s="569">
        <f>Table1[[#This Row],[Date]]</f>
        <v>41148</v>
      </c>
      <c r="K112" s="525"/>
      <c r="L112" s="525"/>
    </row>
    <row r="113" spans="1:35" s="573" customFormat="1" hidden="1" x14ac:dyDescent="0.2">
      <c r="A113" s="568">
        <v>1</v>
      </c>
      <c r="B113" s="36">
        <v>111</v>
      </c>
      <c r="C113" s="569">
        <v>41148</v>
      </c>
      <c r="D113" s="578" t="s">
        <v>346</v>
      </c>
      <c r="E113" s="578" t="s">
        <v>82</v>
      </c>
      <c r="F113" s="498" t="s">
        <v>449</v>
      </c>
      <c r="G113" s="570" t="s">
        <v>408</v>
      </c>
      <c r="H113" s="570" t="s">
        <v>415</v>
      </c>
      <c r="I113" s="570" t="str">
        <f>Table1[[#This Row],[Staff]]</f>
        <v>Nicole</v>
      </c>
      <c r="J113" s="569">
        <f>Table1[[#This Row],[Date]]</f>
        <v>41148</v>
      </c>
      <c r="K113" s="525"/>
      <c r="L113" s="525"/>
      <c r="AF113" s="498"/>
      <c r="AG113" s="498"/>
      <c r="AH113" s="498"/>
      <c r="AI113" s="498"/>
    </row>
    <row r="114" spans="1:35" s="573" customFormat="1" hidden="1" x14ac:dyDescent="0.2">
      <c r="A114" s="568">
        <v>1</v>
      </c>
      <c r="B114" s="36">
        <v>112</v>
      </c>
      <c r="C114" s="569">
        <v>41148</v>
      </c>
      <c r="D114" s="578" t="s">
        <v>346</v>
      </c>
      <c r="E114" s="578" t="s">
        <v>82</v>
      </c>
      <c r="F114" s="498" t="s">
        <v>450</v>
      </c>
      <c r="G114" s="570" t="s">
        <v>408</v>
      </c>
      <c r="H114" s="570" t="s">
        <v>415</v>
      </c>
      <c r="I114" s="570" t="str">
        <f>Table1[[#This Row],[Staff]]</f>
        <v>Nicole</v>
      </c>
      <c r="J114" s="569">
        <f>Table1[[#This Row],[Date]]</f>
        <v>41148</v>
      </c>
      <c r="K114" s="525"/>
      <c r="L114" s="525"/>
      <c r="AF114" s="498"/>
      <c r="AG114" s="498"/>
      <c r="AH114" s="498"/>
      <c r="AI114" s="498"/>
    </row>
    <row r="115" spans="1:35" s="573" customFormat="1" hidden="1" x14ac:dyDescent="0.2">
      <c r="A115" s="568">
        <v>1</v>
      </c>
      <c r="B115" s="36">
        <v>113</v>
      </c>
      <c r="C115" s="569">
        <v>41148</v>
      </c>
      <c r="D115" s="578" t="s">
        <v>346</v>
      </c>
      <c r="E115" s="578" t="s">
        <v>82</v>
      </c>
      <c r="F115" s="498" t="s">
        <v>411</v>
      </c>
      <c r="G115" s="570" t="s">
        <v>408</v>
      </c>
      <c r="H115" s="570" t="s">
        <v>415</v>
      </c>
      <c r="I115" s="570" t="str">
        <f>Table1[[#This Row],[Staff]]</f>
        <v>Nicole</v>
      </c>
      <c r="J115" s="569">
        <f>Table1[[#This Row],[Date]]</f>
        <v>41148</v>
      </c>
      <c r="K115" s="525"/>
      <c r="L115" s="525"/>
      <c r="AF115" s="498"/>
      <c r="AG115" s="498"/>
      <c r="AH115" s="498"/>
      <c r="AI115" s="498"/>
    </row>
    <row r="116" spans="1:35" s="573" customFormat="1" hidden="1" x14ac:dyDescent="0.2">
      <c r="A116" s="568">
        <v>1</v>
      </c>
      <c r="B116" s="36">
        <v>114</v>
      </c>
      <c r="C116" s="569">
        <v>41148</v>
      </c>
      <c r="D116" s="578" t="s">
        <v>346</v>
      </c>
      <c r="E116" s="578" t="s">
        <v>82</v>
      </c>
      <c r="F116" s="498" t="s">
        <v>451</v>
      </c>
      <c r="G116" s="570" t="s">
        <v>408</v>
      </c>
      <c r="H116" s="570" t="s">
        <v>415</v>
      </c>
      <c r="I116" s="570" t="str">
        <f>Table1[[#This Row],[Staff]]</f>
        <v>Nicole</v>
      </c>
      <c r="J116" s="569">
        <f>Table1[[#This Row],[Date]]</f>
        <v>41148</v>
      </c>
      <c r="K116" s="525"/>
      <c r="L116" s="525"/>
      <c r="AF116" s="498"/>
      <c r="AG116" s="498"/>
      <c r="AH116" s="498"/>
      <c r="AI116" s="498"/>
    </row>
    <row r="117" spans="1:35" s="573" customFormat="1" hidden="1" x14ac:dyDescent="0.2">
      <c r="A117" s="568">
        <v>1</v>
      </c>
      <c r="B117" s="36">
        <v>115</v>
      </c>
      <c r="C117" s="569">
        <v>41148</v>
      </c>
      <c r="D117" s="578" t="s">
        <v>346</v>
      </c>
      <c r="E117" s="578" t="s">
        <v>82</v>
      </c>
      <c r="F117" s="498" t="s">
        <v>452</v>
      </c>
      <c r="G117" s="570" t="s">
        <v>408</v>
      </c>
      <c r="H117" s="570" t="s">
        <v>415</v>
      </c>
      <c r="I117" s="570" t="str">
        <f>Table1[[#This Row],[Staff]]</f>
        <v>Nicole</v>
      </c>
      <c r="J117" s="569">
        <f>Table1[[#This Row],[Date]]</f>
        <v>41148</v>
      </c>
      <c r="K117" s="525"/>
      <c r="L117" s="525"/>
      <c r="AF117" s="498"/>
      <c r="AG117" s="498"/>
      <c r="AH117" s="498"/>
      <c r="AI117" s="498"/>
    </row>
    <row r="118" spans="1:35" s="573" customFormat="1" hidden="1" x14ac:dyDescent="0.2">
      <c r="A118" s="568">
        <v>1</v>
      </c>
      <c r="B118" s="36">
        <v>116</v>
      </c>
      <c r="C118" s="569">
        <v>41148</v>
      </c>
      <c r="D118" s="578" t="s">
        <v>346</v>
      </c>
      <c r="E118" s="578" t="s">
        <v>82</v>
      </c>
      <c r="F118" s="498" t="s">
        <v>453</v>
      </c>
      <c r="G118" s="570" t="s">
        <v>408</v>
      </c>
      <c r="H118" s="570" t="s">
        <v>415</v>
      </c>
      <c r="I118" s="570" t="str">
        <f>Table1[[#This Row],[Staff]]</f>
        <v>Nicole</v>
      </c>
      <c r="J118" s="569">
        <f>Table1[[#This Row],[Date]]</f>
        <v>41148</v>
      </c>
      <c r="K118" s="525"/>
      <c r="L118" s="525"/>
      <c r="AF118" s="498"/>
      <c r="AG118" s="498"/>
      <c r="AH118" s="498"/>
      <c r="AI118" s="498"/>
    </row>
    <row r="119" spans="1:35" s="573" customFormat="1" hidden="1" x14ac:dyDescent="0.2">
      <c r="A119" s="568">
        <v>1</v>
      </c>
      <c r="B119" s="36">
        <v>117</v>
      </c>
      <c r="C119" s="569">
        <v>41148</v>
      </c>
      <c r="D119" s="578" t="s">
        <v>346</v>
      </c>
      <c r="E119" s="578" t="s">
        <v>82</v>
      </c>
      <c r="F119" s="498" t="s">
        <v>459</v>
      </c>
      <c r="G119" s="570" t="s">
        <v>408</v>
      </c>
      <c r="H119" s="570" t="s">
        <v>415</v>
      </c>
      <c r="I119" s="570" t="str">
        <f>Table1[[#This Row],[Staff]]</f>
        <v>Nicole</v>
      </c>
      <c r="J119" s="569">
        <f>Table1[[#This Row],[Date]]</f>
        <v>41148</v>
      </c>
      <c r="K119" s="525"/>
      <c r="L119" s="525"/>
      <c r="AF119" s="498"/>
      <c r="AG119" s="498"/>
      <c r="AH119" s="498"/>
      <c r="AI119" s="498"/>
    </row>
    <row r="120" spans="1:35" s="573" customFormat="1" hidden="1" x14ac:dyDescent="0.2">
      <c r="A120" s="568">
        <v>1</v>
      </c>
      <c r="B120" s="36">
        <v>118</v>
      </c>
      <c r="C120" s="569">
        <v>41148</v>
      </c>
      <c r="D120" s="578" t="s">
        <v>346</v>
      </c>
      <c r="E120" s="578" t="s">
        <v>82</v>
      </c>
      <c r="F120" s="498" t="s">
        <v>460</v>
      </c>
      <c r="G120" s="570" t="s">
        <v>408</v>
      </c>
      <c r="H120" s="570" t="s">
        <v>415</v>
      </c>
      <c r="I120" s="570" t="str">
        <f>Table1[[#This Row],[Staff]]</f>
        <v>Nicole</v>
      </c>
      <c r="J120" s="569">
        <f>Table1[[#This Row],[Date]]</f>
        <v>41148</v>
      </c>
      <c r="K120" s="525"/>
      <c r="L120" s="525"/>
      <c r="AF120" s="498"/>
      <c r="AG120" s="498"/>
      <c r="AH120" s="498"/>
      <c r="AI120" s="498"/>
    </row>
    <row r="121" spans="1:35" s="573" customFormat="1" hidden="1" x14ac:dyDescent="0.2">
      <c r="A121" s="568">
        <v>1</v>
      </c>
      <c r="B121" s="36">
        <v>119</v>
      </c>
      <c r="C121" s="569">
        <v>41148</v>
      </c>
      <c r="D121" s="578" t="s">
        <v>346</v>
      </c>
      <c r="E121" s="578" t="s">
        <v>82</v>
      </c>
      <c r="F121" s="498" t="s">
        <v>466</v>
      </c>
      <c r="G121" s="570" t="s">
        <v>408</v>
      </c>
      <c r="H121" s="570" t="s">
        <v>415</v>
      </c>
      <c r="I121" s="570" t="str">
        <f>Table1[[#This Row],[Staff]]</f>
        <v>Nicole</v>
      </c>
      <c r="J121" s="569">
        <f>Table1[[#This Row],[Date]]</f>
        <v>41148</v>
      </c>
      <c r="K121" s="525"/>
      <c r="L121" s="525"/>
      <c r="AF121" s="498"/>
      <c r="AG121" s="498"/>
      <c r="AH121" s="498"/>
      <c r="AI121" s="498"/>
    </row>
    <row r="122" spans="1:35" s="573" customFormat="1" hidden="1" x14ac:dyDescent="0.2">
      <c r="A122" s="568">
        <v>1</v>
      </c>
      <c r="B122" s="36">
        <v>120</v>
      </c>
      <c r="C122" s="569">
        <v>41148</v>
      </c>
      <c r="D122" s="578" t="s">
        <v>346</v>
      </c>
      <c r="E122" s="578" t="s">
        <v>82</v>
      </c>
      <c r="F122" s="498" t="s">
        <v>467</v>
      </c>
      <c r="G122" s="570" t="s">
        <v>408</v>
      </c>
      <c r="H122" s="570" t="s">
        <v>415</v>
      </c>
      <c r="I122" s="570" t="str">
        <f>Table1[[#This Row],[Staff]]</f>
        <v>Nicole</v>
      </c>
      <c r="J122" s="569">
        <f>Table1[[#This Row],[Date]]</f>
        <v>41148</v>
      </c>
      <c r="K122" s="525"/>
      <c r="L122" s="525"/>
      <c r="AF122" s="498"/>
      <c r="AG122" s="498"/>
      <c r="AH122" s="498"/>
      <c r="AI122" s="498"/>
    </row>
    <row r="123" spans="1:35" s="573" customFormat="1" hidden="1" x14ac:dyDescent="0.2">
      <c r="A123" s="568">
        <v>1</v>
      </c>
      <c r="B123" s="36">
        <v>121</v>
      </c>
      <c r="C123" s="569">
        <v>41148</v>
      </c>
      <c r="D123" s="578" t="s">
        <v>346</v>
      </c>
      <c r="E123" s="578" t="s">
        <v>82</v>
      </c>
      <c r="F123" s="498" t="s">
        <v>468</v>
      </c>
      <c r="G123" s="570" t="s">
        <v>408</v>
      </c>
      <c r="H123" s="570" t="s">
        <v>415</v>
      </c>
      <c r="I123" s="570" t="str">
        <f>Table1[[#This Row],[Staff]]</f>
        <v>Nicole</v>
      </c>
      <c r="J123" s="569">
        <f>Table1[[#This Row],[Date]]</f>
        <v>41148</v>
      </c>
      <c r="K123" s="525"/>
      <c r="L123" s="525"/>
      <c r="AF123" s="498"/>
      <c r="AG123" s="498"/>
      <c r="AH123" s="498"/>
      <c r="AI123" s="498"/>
    </row>
    <row r="124" spans="1:35" s="573" customFormat="1" hidden="1" x14ac:dyDescent="0.2">
      <c r="A124" s="568">
        <v>1</v>
      </c>
      <c r="B124" s="36">
        <v>122</v>
      </c>
      <c r="C124" s="569">
        <v>41148</v>
      </c>
      <c r="D124" s="578" t="s">
        <v>346</v>
      </c>
      <c r="E124" s="578" t="s">
        <v>82</v>
      </c>
      <c r="F124" s="498" t="s">
        <v>469</v>
      </c>
      <c r="G124" s="570" t="s">
        <v>408</v>
      </c>
      <c r="H124" s="570" t="s">
        <v>415</v>
      </c>
      <c r="I124" s="570" t="str">
        <f>Table1[[#This Row],[Staff]]</f>
        <v>Nicole</v>
      </c>
      <c r="J124" s="569">
        <f>Table1[[#This Row],[Date]]</f>
        <v>41148</v>
      </c>
      <c r="K124" s="525"/>
      <c r="L124" s="525"/>
      <c r="AF124" s="498"/>
      <c r="AG124" s="498"/>
      <c r="AH124" s="498"/>
      <c r="AI124" s="498"/>
    </row>
    <row r="125" spans="1:35" s="573" customFormat="1" hidden="1" x14ac:dyDescent="0.2">
      <c r="A125" s="568">
        <v>1</v>
      </c>
      <c r="B125" s="36">
        <v>123</v>
      </c>
      <c r="C125" s="569">
        <v>41148</v>
      </c>
      <c r="D125" s="578" t="s">
        <v>346</v>
      </c>
      <c r="E125" s="578" t="s">
        <v>397</v>
      </c>
      <c r="F125" s="498" t="s">
        <v>470</v>
      </c>
      <c r="G125" s="570" t="s">
        <v>408</v>
      </c>
      <c r="H125" s="570" t="s">
        <v>415</v>
      </c>
      <c r="I125" s="570" t="str">
        <f>Table1[[#This Row],[Staff]]</f>
        <v>Nicole</v>
      </c>
      <c r="J125" s="569">
        <f>Table1[[#This Row],[Date]]</f>
        <v>41148</v>
      </c>
      <c r="K125" s="525"/>
      <c r="L125" s="525"/>
      <c r="AF125" s="498"/>
      <c r="AG125" s="498"/>
      <c r="AH125" s="498"/>
      <c r="AI125" s="498"/>
    </row>
    <row r="126" spans="1:35" s="573" customFormat="1" hidden="1" x14ac:dyDescent="0.2">
      <c r="A126" s="568">
        <v>1</v>
      </c>
      <c r="B126" s="36">
        <v>124</v>
      </c>
      <c r="C126" s="569">
        <v>41148</v>
      </c>
      <c r="D126" s="578" t="s">
        <v>346</v>
      </c>
      <c r="E126" s="578" t="s">
        <v>397</v>
      </c>
      <c r="F126" s="498" t="s">
        <v>471</v>
      </c>
      <c r="G126" s="570" t="s">
        <v>408</v>
      </c>
      <c r="H126" s="570" t="s">
        <v>415</v>
      </c>
      <c r="I126" s="570" t="str">
        <f>Table1[[#This Row],[Staff]]</f>
        <v>Nicole</v>
      </c>
      <c r="J126" s="569">
        <f>Table1[[#This Row],[Date]]</f>
        <v>41148</v>
      </c>
      <c r="K126" s="525"/>
      <c r="L126" s="525"/>
      <c r="AF126" s="498"/>
      <c r="AG126" s="498"/>
      <c r="AH126" s="498"/>
      <c r="AI126" s="498"/>
    </row>
    <row r="127" spans="1:35" s="573" customFormat="1" hidden="1" x14ac:dyDescent="0.2">
      <c r="A127" s="568">
        <v>1</v>
      </c>
      <c r="B127" s="36">
        <v>125</v>
      </c>
      <c r="C127" s="569">
        <v>41148</v>
      </c>
      <c r="D127" s="578" t="s">
        <v>346</v>
      </c>
      <c r="E127" s="578" t="s">
        <v>397</v>
      </c>
      <c r="F127" s="498" t="s">
        <v>472</v>
      </c>
      <c r="G127" s="570" t="s">
        <v>408</v>
      </c>
      <c r="H127" s="570" t="s">
        <v>415</v>
      </c>
      <c r="I127" s="570" t="str">
        <f>Table1[[#This Row],[Staff]]</f>
        <v>Nicole</v>
      </c>
      <c r="J127" s="569">
        <f>Table1[[#This Row],[Date]]</f>
        <v>41148</v>
      </c>
      <c r="K127" s="525"/>
      <c r="L127" s="525"/>
      <c r="AF127" s="498"/>
      <c r="AG127" s="498"/>
      <c r="AH127" s="498"/>
      <c r="AI127" s="498"/>
    </row>
    <row r="128" spans="1:35" s="573" customFormat="1" hidden="1" x14ac:dyDescent="0.2">
      <c r="A128" s="568">
        <v>1</v>
      </c>
      <c r="B128" s="36">
        <v>126</v>
      </c>
      <c r="C128" s="569">
        <v>41148</v>
      </c>
      <c r="D128" s="578" t="s">
        <v>346</v>
      </c>
      <c r="E128" s="578" t="s">
        <v>397</v>
      </c>
      <c r="F128" s="498" t="s">
        <v>473</v>
      </c>
      <c r="G128" s="570" t="s">
        <v>408</v>
      </c>
      <c r="H128" s="570" t="s">
        <v>415</v>
      </c>
      <c r="I128" s="570" t="str">
        <f>Table1[[#This Row],[Staff]]</f>
        <v>Nicole</v>
      </c>
      <c r="J128" s="569">
        <f>Table1[[#This Row],[Date]]</f>
        <v>41148</v>
      </c>
      <c r="K128" s="525"/>
      <c r="L128" s="525"/>
      <c r="AF128" s="498"/>
      <c r="AG128" s="498"/>
      <c r="AH128" s="498"/>
      <c r="AI128" s="498"/>
    </row>
    <row r="129" spans="1:35" s="573" customFormat="1" hidden="1" x14ac:dyDescent="0.2">
      <c r="A129" s="568">
        <v>1</v>
      </c>
      <c r="B129" s="36">
        <v>127</v>
      </c>
      <c r="C129" s="569">
        <v>41148</v>
      </c>
      <c r="D129" s="578" t="s">
        <v>346</v>
      </c>
      <c r="E129" s="578" t="s">
        <v>397</v>
      </c>
      <c r="F129" s="498" t="s">
        <v>474</v>
      </c>
      <c r="G129" s="570" t="s">
        <v>408</v>
      </c>
      <c r="H129" s="570" t="s">
        <v>415</v>
      </c>
      <c r="I129" s="570" t="str">
        <f>Table1[[#This Row],[Staff]]</f>
        <v>Nicole</v>
      </c>
      <c r="J129" s="569">
        <f>Table1[[#This Row],[Date]]</f>
        <v>41148</v>
      </c>
      <c r="K129" s="525"/>
      <c r="L129" s="525"/>
      <c r="AF129" s="498"/>
      <c r="AG129" s="498"/>
      <c r="AH129" s="498"/>
      <c r="AI129" s="498"/>
    </row>
    <row r="130" spans="1:35" s="573" customFormat="1" hidden="1" x14ac:dyDescent="0.2">
      <c r="A130" s="568">
        <v>1</v>
      </c>
      <c r="B130" s="36">
        <v>128</v>
      </c>
      <c r="C130" s="569">
        <v>41148</v>
      </c>
      <c r="D130" s="578" t="s">
        <v>346</v>
      </c>
      <c r="E130" s="578" t="s">
        <v>397</v>
      </c>
      <c r="F130" s="498" t="s">
        <v>475</v>
      </c>
      <c r="G130" s="570" t="s">
        <v>408</v>
      </c>
      <c r="H130" s="570" t="s">
        <v>415</v>
      </c>
      <c r="I130" s="570" t="str">
        <f>Table1[[#This Row],[Staff]]</f>
        <v>Nicole</v>
      </c>
      <c r="J130" s="569">
        <f>Table1[[#This Row],[Date]]</f>
        <v>41148</v>
      </c>
      <c r="K130" s="525"/>
      <c r="L130" s="525"/>
      <c r="AF130" s="498"/>
      <c r="AG130" s="498"/>
      <c r="AH130" s="498"/>
      <c r="AI130" s="498"/>
    </row>
    <row r="131" spans="1:35" s="573" customFormat="1" hidden="1" x14ac:dyDescent="0.2">
      <c r="A131" s="568">
        <v>1</v>
      </c>
      <c r="B131" s="36">
        <v>129</v>
      </c>
      <c r="C131" s="569">
        <v>41148</v>
      </c>
      <c r="D131" s="578" t="s">
        <v>346</v>
      </c>
      <c r="E131" s="578" t="s">
        <v>397</v>
      </c>
      <c r="F131" s="498" t="s">
        <v>476</v>
      </c>
      <c r="G131" s="570" t="s">
        <v>408</v>
      </c>
      <c r="H131" s="570" t="s">
        <v>415</v>
      </c>
      <c r="I131" s="570" t="str">
        <f>Table1[[#This Row],[Staff]]</f>
        <v>Nicole</v>
      </c>
      <c r="J131" s="569">
        <f>Table1[[#This Row],[Date]]</f>
        <v>41148</v>
      </c>
      <c r="K131" s="525"/>
      <c r="L131" s="525"/>
      <c r="AF131" s="498"/>
      <c r="AG131" s="498"/>
      <c r="AH131" s="498"/>
      <c r="AI131" s="498"/>
    </row>
    <row r="132" spans="1:35" s="573" customFormat="1" hidden="1" x14ac:dyDescent="0.2">
      <c r="A132" s="568">
        <v>1</v>
      </c>
      <c r="B132" s="36">
        <v>130</v>
      </c>
      <c r="C132" s="569">
        <v>41148</v>
      </c>
      <c r="D132" s="578" t="s">
        <v>346</v>
      </c>
      <c r="E132" s="578" t="s">
        <v>397</v>
      </c>
      <c r="F132" s="498" t="s">
        <v>477</v>
      </c>
      <c r="G132" s="570" t="s">
        <v>408</v>
      </c>
      <c r="H132" s="570" t="s">
        <v>415</v>
      </c>
      <c r="I132" s="570" t="str">
        <f>Table1[[#This Row],[Staff]]</f>
        <v>Nicole</v>
      </c>
      <c r="J132" s="569">
        <f>Table1[[#This Row],[Date]]</f>
        <v>41148</v>
      </c>
      <c r="K132" s="525"/>
      <c r="L132" s="525"/>
      <c r="AF132" s="498"/>
      <c r="AG132" s="498"/>
      <c r="AH132" s="498"/>
      <c r="AI132" s="498"/>
    </row>
    <row r="133" spans="1:35" s="573" customFormat="1" hidden="1" x14ac:dyDescent="0.2">
      <c r="A133" s="568">
        <v>1</v>
      </c>
      <c r="B133" s="36">
        <v>131</v>
      </c>
      <c r="C133" s="569">
        <v>41148</v>
      </c>
      <c r="D133" s="578" t="s">
        <v>346</v>
      </c>
      <c r="E133" s="578" t="s">
        <v>397</v>
      </c>
      <c r="F133" s="498" t="s">
        <v>478</v>
      </c>
      <c r="G133" s="570" t="s">
        <v>479</v>
      </c>
      <c r="H133" s="570" t="s">
        <v>480</v>
      </c>
      <c r="I133" s="570" t="str">
        <f>Table1[[#This Row],[Staff]]</f>
        <v>Nicole</v>
      </c>
      <c r="J133" s="569">
        <f>Table1[[#This Row],[Date]]</f>
        <v>41148</v>
      </c>
      <c r="K133" s="525"/>
      <c r="L133" s="525"/>
      <c r="AF133" s="498"/>
      <c r="AG133" s="498"/>
      <c r="AH133" s="498"/>
      <c r="AI133" s="498"/>
    </row>
    <row r="134" spans="1:35" s="573" customFormat="1" ht="28.5" hidden="1" x14ac:dyDescent="0.2">
      <c r="A134" s="568">
        <v>1</v>
      </c>
      <c r="B134" s="36">
        <v>132</v>
      </c>
      <c r="C134" s="569">
        <v>41148</v>
      </c>
      <c r="D134" s="578" t="s">
        <v>346</v>
      </c>
      <c r="E134" s="578" t="s">
        <v>82</v>
      </c>
      <c r="F134" s="498" t="s">
        <v>481</v>
      </c>
      <c r="G134" s="570" t="s">
        <v>483</v>
      </c>
      <c r="H134" s="570" t="s">
        <v>482</v>
      </c>
      <c r="I134" s="570" t="str">
        <f>Table1[[#This Row],[Staff]]</f>
        <v>Nicole</v>
      </c>
      <c r="J134" s="569">
        <f>Table1[[#This Row],[Date]]</f>
        <v>41148</v>
      </c>
      <c r="K134" s="525"/>
      <c r="L134" s="525"/>
      <c r="AF134" s="498"/>
      <c r="AG134" s="498"/>
      <c r="AH134" s="498"/>
      <c r="AI134" s="498"/>
    </row>
    <row r="135" spans="1:35" s="573" customFormat="1" ht="28.5" hidden="1" x14ac:dyDescent="0.2">
      <c r="A135" s="568">
        <v>1</v>
      </c>
      <c r="B135" s="36">
        <v>133</v>
      </c>
      <c r="C135" s="569">
        <v>41148</v>
      </c>
      <c r="D135" s="578" t="s">
        <v>346</v>
      </c>
      <c r="E135" s="578" t="s">
        <v>82</v>
      </c>
      <c r="F135" s="498" t="s">
        <v>484</v>
      </c>
      <c r="G135" s="570" t="s">
        <v>485</v>
      </c>
      <c r="H135" s="570" t="s">
        <v>486</v>
      </c>
      <c r="I135" s="570" t="str">
        <f>Table1[[#This Row],[Staff]]</f>
        <v>Nicole</v>
      </c>
      <c r="J135" s="569">
        <f>Table1[[#This Row],[Date]]</f>
        <v>41148</v>
      </c>
      <c r="K135" s="525"/>
      <c r="L135" s="525"/>
      <c r="AF135" s="498"/>
      <c r="AG135" s="498"/>
      <c r="AH135" s="498"/>
      <c r="AI135" s="498"/>
    </row>
    <row r="136" spans="1:35" s="573" customFormat="1" hidden="1" x14ac:dyDescent="0.2">
      <c r="A136" s="568">
        <v>1</v>
      </c>
      <c r="B136" s="36">
        <v>134</v>
      </c>
      <c r="C136" s="569">
        <v>41148</v>
      </c>
      <c r="D136" s="578" t="s">
        <v>346</v>
      </c>
      <c r="E136" s="578" t="s">
        <v>82</v>
      </c>
      <c r="F136" s="498" t="s">
        <v>487</v>
      </c>
      <c r="G136" s="570" t="s">
        <v>479</v>
      </c>
      <c r="H136" s="570" t="s">
        <v>488</v>
      </c>
      <c r="I136" s="570" t="str">
        <f>Table1[[#This Row],[Staff]]</f>
        <v>Nicole</v>
      </c>
      <c r="J136" s="569">
        <f>Table1[[#This Row],[Date]]</f>
        <v>41148</v>
      </c>
      <c r="K136" s="525"/>
      <c r="L136" s="525"/>
      <c r="AF136" s="498"/>
      <c r="AG136" s="498"/>
      <c r="AH136" s="498"/>
      <c r="AI136" s="498"/>
    </row>
    <row r="137" spans="1:35" s="573" customFormat="1" ht="28.5" hidden="1" x14ac:dyDescent="0.2">
      <c r="A137" s="568">
        <v>1</v>
      </c>
      <c r="B137" s="36">
        <v>135</v>
      </c>
      <c r="C137" s="569">
        <v>41148</v>
      </c>
      <c r="D137" s="578" t="s">
        <v>346</v>
      </c>
      <c r="E137" s="578" t="s">
        <v>82</v>
      </c>
      <c r="F137" s="498" t="s">
        <v>490</v>
      </c>
      <c r="G137" s="570" t="s">
        <v>491</v>
      </c>
      <c r="H137" s="570" t="s">
        <v>492</v>
      </c>
      <c r="I137" s="570" t="str">
        <f>Table1[[#This Row],[Staff]]</f>
        <v>Nicole</v>
      </c>
      <c r="J137" s="569">
        <f>Table1[[#This Row],[Date]]</f>
        <v>41148</v>
      </c>
      <c r="K137" s="525"/>
      <c r="L137" s="525"/>
      <c r="AF137" s="498"/>
      <c r="AG137" s="498"/>
      <c r="AH137" s="498"/>
      <c r="AI137" s="498"/>
    </row>
    <row r="138" spans="1:35" s="573" customFormat="1" ht="28.5" hidden="1" x14ac:dyDescent="0.2">
      <c r="A138" s="568">
        <v>1</v>
      </c>
      <c r="B138" s="36">
        <v>136</v>
      </c>
      <c r="C138" s="569">
        <v>41148</v>
      </c>
      <c r="D138" s="578" t="s">
        <v>346</v>
      </c>
      <c r="E138" s="578" t="s">
        <v>73</v>
      </c>
      <c r="F138" s="498" t="s">
        <v>493</v>
      </c>
      <c r="G138" s="570" t="s">
        <v>483</v>
      </c>
      <c r="H138" s="570" t="s">
        <v>482</v>
      </c>
      <c r="I138" s="570" t="str">
        <f>Table1[[#This Row],[Staff]]</f>
        <v>Nicole</v>
      </c>
      <c r="J138" s="569">
        <f>Table1[[#This Row],[Date]]</f>
        <v>41148</v>
      </c>
      <c r="K138" s="525"/>
      <c r="L138" s="525"/>
      <c r="AF138" s="498"/>
      <c r="AG138" s="498"/>
      <c r="AH138" s="498"/>
      <c r="AI138" s="498"/>
    </row>
    <row r="139" spans="1:35" s="573" customFormat="1" ht="28.5" hidden="1" x14ac:dyDescent="0.2">
      <c r="A139" s="568">
        <v>1</v>
      </c>
      <c r="B139" s="36">
        <v>137</v>
      </c>
      <c r="C139" s="569">
        <v>41148</v>
      </c>
      <c r="D139" s="578" t="s">
        <v>346</v>
      </c>
      <c r="E139" s="578" t="s">
        <v>73</v>
      </c>
      <c r="F139" s="498" t="s">
        <v>495</v>
      </c>
      <c r="G139" s="570" t="s">
        <v>497</v>
      </c>
      <c r="H139" s="570" t="s">
        <v>496</v>
      </c>
      <c r="I139" s="570" t="str">
        <f>Table1[[#This Row],[Staff]]</f>
        <v>Nicole</v>
      </c>
      <c r="J139" s="569">
        <f>Table1[[#This Row],[Date]]</f>
        <v>41148</v>
      </c>
      <c r="K139" s="525"/>
      <c r="L139" s="525"/>
      <c r="AF139" s="498"/>
      <c r="AG139" s="498"/>
      <c r="AH139" s="498"/>
      <c r="AI139" s="498"/>
    </row>
    <row r="140" spans="1:35" s="573" customFormat="1" ht="28.5" hidden="1" x14ac:dyDescent="0.2">
      <c r="A140" s="568">
        <v>1</v>
      </c>
      <c r="B140" s="36">
        <v>138</v>
      </c>
      <c r="C140" s="569">
        <v>41148</v>
      </c>
      <c r="D140" s="578" t="s">
        <v>346</v>
      </c>
      <c r="E140" s="578" t="s">
        <v>73</v>
      </c>
      <c r="F140" s="498" t="s">
        <v>498</v>
      </c>
      <c r="G140" s="570" t="s">
        <v>497</v>
      </c>
      <c r="H140" s="570" t="s">
        <v>496</v>
      </c>
      <c r="I140" s="570" t="str">
        <f>Table1[[#This Row],[Staff]]</f>
        <v>Nicole</v>
      </c>
      <c r="J140" s="569">
        <f>Table1[[#This Row],[Date]]</f>
        <v>41148</v>
      </c>
      <c r="K140" s="525"/>
      <c r="L140" s="525"/>
      <c r="AF140" s="498"/>
      <c r="AG140" s="498"/>
      <c r="AH140" s="498"/>
      <c r="AI140" s="498"/>
    </row>
    <row r="141" spans="1:35" s="573" customFormat="1" ht="42.75" hidden="1" x14ac:dyDescent="0.2">
      <c r="A141" s="568">
        <v>1</v>
      </c>
      <c r="B141" s="36">
        <v>139</v>
      </c>
      <c r="C141" s="569">
        <v>41148</v>
      </c>
      <c r="D141" s="578" t="s">
        <v>346</v>
      </c>
      <c r="E141" s="578" t="s">
        <v>73</v>
      </c>
      <c r="F141" s="498" t="s">
        <v>499</v>
      </c>
      <c r="G141" s="570" t="s">
        <v>500</v>
      </c>
      <c r="H141" s="570" t="s">
        <v>501</v>
      </c>
      <c r="I141" s="570" t="str">
        <f>Table1[[#This Row],[Staff]]</f>
        <v>Nicole</v>
      </c>
      <c r="J141" s="569">
        <f>Table1[[#This Row],[Date]]</f>
        <v>41148</v>
      </c>
      <c r="K141" s="525"/>
      <c r="L141" s="525"/>
      <c r="AF141" s="498"/>
      <c r="AG141" s="498"/>
      <c r="AH141" s="498"/>
      <c r="AI141" s="498"/>
    </row>
    <row r="142" spans="1:35" s="573" customFormat="1" ht="28.5" hidden="1" x14ac:dyDescent="0.2">
      <c r="A142" s="568">
        <v>1</v>
      </c>
      <c r="B142" s="36">
        <v>140</v>
      </c>
      <c r="C142" s="569">
        <v>41148</v>
      </c>
      <c r="D142" s="578" t="s">
        <v>346</v>
      </c>
      <c r="E142" s="578" t="s">
        <v>393</v>
      </c>
      <c r="F142" s="498" t="s">
        <v>490</v>
      </c>
      <c r="G142" s="570" t="s">
        <v>491</v>
      </c>
      <c r="H142" s="570" t="s">
        <v>503</v>
      </c>
      <c r="I142" s="570" t="str">
        <f>Table1[[#This Row],[Staff]]</f>
        <v>Nicole</v>
      </c>
      <c r="J142" s="569">
        <f>Table1[[#This Row],[Date]]</f>
        <v>41148</v>
      </c>
      <c r="K142" s="525"/>
      <c r="L142" s="525"/>
      <c r="AF142" s="498"/>
      <c r="AG142" s="498"/>
      <c r="AH142" s="498"/>
      <c r="AI142" s="498"/>
    </row>
    <row r="143" spans="1:35" s="573" customFormat="1" ht="28.5" hidden="1" x14ac:dyDescent="0.2">
      <c r="A143" s="568">
        <v>1</v>
      </c>
      <c r="B143" s="36">
        <v>141</v>
      </c>
      <c r="C143" s="569">
        <v>41148</v>
      </c>
      <c r="D143" s="578" t="s">
        <v>346</v>
      </c>
      <c r="E143" s="578" t="s">
        <v>393</v>
      </c>
      <c r="F143" s="498" t="s">
        <v>481</v>
      </c>
      <c r="G143" s="570" t="s">
        <v>483</v>
      </c>
      <c r="H143" s="570" t="s">
        <v>482</v>
      </c>
      <c r="I143" s="570" t="str">
        <f>Table1[[#This Row],[Staff]]</f>
        <v>Nicole</v>
      </c>
      <c r="J143" s="569">
        <f>Table1[[#This Row],[Date]]</f>
        <v>41148</v>
      </c>
      <c r="K143" s="525"/>
      <c r="L143" s="525"/>
      <c r="AF143" s="498"/>
      <c r="AG143" s="498"/>
      <c r="AH143" s="498"/>
      <c r="AI143" s="498"/>
    </row>
    <row r="144" spans="1:35" s="573" customFormat="1" ht="28.5" hidden="1" x14ac:dyDescent="0.2">
      <c r="A144" s="568">
        <v>1</v>
      </c>
      <c r="B144" s="36">
        <v>142</v>
      </c>
      <c r="C144" s="569">
        <v>41148</v>
      </c>
      <c r="D144" s="578" t="s">
        <v>346</v>
      </c>
      <c r="E144" s="578" t="s">
        <v>82</v>
      </c>
      <c r="F144" s="498" t="s">
        <v>490</v>
      </c>
      <c r="G144" s="570" t="s">
        <v>485</v>
      </c>
      <c r="H144" s="570" t="s">
        <v>486</v>
      </c>
      <c r="I144" s="570" t="str">
        <f>Table1[[#This Row],[Staff]]</f>
        <v>Nicole</v>
      </c>
      <c r="J144" s="569">
        <f>Table1[[#This Row],[Date]]</f>
        <v>41148</v>
      </c>
      <c r="K144" s="525"/>
      <c r="L144" s="525"/>
      <c r="AF144" s="498"/>
      <c r="AG144" s="498"/>
      <c r="AH144" s="498"/>
      <c r="AI144" s="498"/>
    </row>
    <row r="145" spans="1:35" s="573" customFormat="1" ht="28.5" hidden="1" x14ac:dyDescent="0.2">
      <c r="A145" s="568">
        <v>1</v>
      </c>
      <c r="B145" s="36">
        <v>143</v>
      </c>
      <c r="C145" s="569">
        <v>41148</v>
      </c>
      <c r="D145" s="578" t="s">
        <v>346</v>
      </c>
      <c r="E145" s="578" t="s">
        <v>73</v>
      </c>
      <c r="F145" s="498" t="s">
        <v>490</v>
      </c>
      <c r="G145" s="570" t="s">
        <v>485</v>
      </c>
      <c r="H145" s="570" t="s">
        <v>486</v>
      </c>
      <c r="I145" s="570" t="str">
        <f>Table1[[#This Row],[Staff]]</f>
        <v>Nicole</v>
      </c>
      <c r="J145" s="569">
        <f>Table1[[#This Row],[Date]]</f>
        <v>41148</v>
      </c>
      <c r="K145" s="525"/>
      <c r="L145" s="525"/>
      <c r="AF145" s="498"/>
      <c r="AG145" s="498"/>
      <c r="AH145" s="498"/>
      <c r="AI145" s="498"/>
    </row>
    <row r="146" spans="1:35" s="573" customFormat="1" ht="28.5" hidden="1" x14ac:dyDescent="0.2">
      <c r="A146" s="568">
        <v>1</v>
      </c>
      <c r="B146" s="36">
        <v>144</v>
      </c>
      <c r="C146" s="569">
        <v>41148</v>
      </c>
      <c r="D146" s="578" t="s">
        <v>346</v>
      </c>
      <c r="E146" s="578" t="s">
        <v>73</v>
      </c>
      <c r="F146" s="498" t="s">
        <v>481</v>
      </c>
      <c r="G146" s="570" t="s">
        <v>504</v>
      </c>
      <c r="H146" s="570" t="s">
        <v>486</v>
      </c>
      <c r="I146" s="570" t="str">
        <f>Table1[[#This Row],[Staff]]</f>
        <v>Nicole</v>
      </c>
      <c r="J146" s="569">
        <f>Table1[[#This Row],[Date]]</f>
        <v>41148</v>
      </c>
      <c r="K146" s="525"/>
      <c r="L146" s="525"/>
      <c r="AF146" s="498"/>
      <c r="AG146" s="498"/>
      <c r="AH146" s="498"/>
      <c r="AI146" s="498"/>
    </row>
    <row r="147" spans="1:35" s="573" customFormat="1" ht="28.5" hidden="1" x14ac:dyDescent="0.2">
      <c r="A147" s="568">
        <v>1</v>
      </c>
      <c r="B147" s="36">
        <v>145</v>
      </c>
      <c r="C147" s="569">
        <v>41148</v>
      </c>
      <c r="D147" s="578" t="s">
        <v>346</v>
      </c>
      <c r="E147" s="578" t="s">
        <v>393</v>
      </c>
      <c r="F147" s="498" t="s">
        <v>490</v>
      </c>
      <c r="G147" s="570" t="s">
        <v>485</v>
      </c>
      <c r="H147" s="570" t="s">
        <v>486</v>
      </c>
      <c r="I147" s="570" t="str">
        <f>Table1[[#This Row],[Staff]]</f>
        <v>Nicole</v>
      </c>
      <c r="J147" s="569">
        <f>Table1[[#This Row],[Date]]</f>
        <v>41148</v>
      </c>
      <c r="K147" s="525"/>
      <c r="L147" s="525"/>
      <c r="AF147" s="498"/>
      <c r="AG147" s="498"/>
      <c r="AH147" s="498"/>
      <c r="AI147" s="498"/>
    </row>
    <row r="148" spans="1:35" s="573" customFormat="1" ht="28.5" hidden="1" x14ac:dyDescent="0.2">
      <c r="A148" s="568">
        <v>1</v>
      </c>
      <c r="B148" s="36">
        <v>146</v>
      </c>
      <c r="C148" s="569">
        <v>41148</v>
      </c>
      <c r="D148" s="578" t="s">
        <v>346</v>
      </c>
      <c r="E148" s="578" t="s">
        <v>393</v>
      </c>
      <c r="F148" s="498" t="s">
        <v>481</v>
      </c>
      <c r="G148" s="570" t="s">
        <v>483</v>
      </c>
      <c r="H148" s="570" t="s">
        <v>482</v>
      </c>
      <c r="I148" s="570" t="str">
        <f>Table1[[#This Row],[Staff]]</f>
        <v>Nicole</v>
      </c>
      <c r="J148" s="569">
        <f>Table1[[#This Row],[Date]]</f>
        <v>41148</v>
      </c>
      <c r="K148" s="525"/>
      <c r="L148" s="525"/>
      <c r="AF148" s="498"/>
      <c r="AG148" s="498"/>
      <c r="AH148" s="498"/>
      <c r="AI148" s="498"/>
    </row>
    <row r="149" spans="1:35" s="573" customFormat="1" ht="28.5" hidden="1" x14ac:dyDescent="0.2">
      <c r="A149" s="568">
        <v>1</v>
      </c>
      <c r="B149" s="36">
        <v>147</v>
      </c>
      <c r="C149" s="569">
        <v>41148</v>
      </c>
      <c r="D149" s="578" t="s">
        <v>346</v>
      </c>
      <c r="E149" s="578" t="s">
        <v>390</v>
      </c>
      <c r="F149" s="498" t="s">
        <v>484</v>
      </c>
      <c r="G149" s="570" t="s">
        <v>485</v>
      </c>
      <c r="H149" s="570" t="s">
        <v>486</v>
      </c>
      <c r="I149" s="570" t="str">
        <f>Table1[[#This Row],[Staff]]</f>
        <v>Nicole</v>
      </c>
      <c r="J149" s="569">
        <f>Table1[[#This Row],[Date]]</f>
        <v>41148</v>
      </c>
      <c r="K149" s="525"/>
      <c r="L149" s="525"/>
      <c r="AF149" s="498"/>
      <c r="AG149" s="498"/>
      <c r="AH149" s="498"/>
      <c r="AI149" s="498"/>
    </row>
    <row r="150" spans="1:35" s="573" customFormat="1" ht="28.5" hidden="1" x14ac:dyDescent="0.2">
      <c r="A150" s="568">
        <v>1</v>
      </c>
      <c r="B150" s="36">
        <v>148</v>
      </c>
      <c r="C150" s="569">
        <v>41148</v>
      </c>
      <c r="D150" s="578" t="s">
        <v>346</v>
      </c>
      <c r="E150" s="578" t="s">
        <v>390</v>
      </c>
      <c r="F150" s="498" t="s">
        <v>490</v>
      </c>
      <c r="G150" s="570" t="s">
        <v>504</v>
      </c>
      <c r="H150" s="570" t="s">
        <v>486</v>
      </c>
      <c r="I150" s="570" t="str">
        <f>Table1[[#This Row],[Staff]]</f>
        <v>Nicole</v>
      </c>
      <c r="J150" s="569">
        <f>Table1[[#This Row],[Date]]</f>
        <v>41148</v>
      </c>
      <c r="K150" s="525"/>
      <c r="L150" s="525"/>
      <c r="AF150" s="498"/>
      <c r="AG150" s="498"/>
      <c r="AH150" s="498"/>
      <c r="AI150" s="498"/>
    </row>
    <row r="151" spans="1:35" s="573" customFormat="1" ht="28.5" hidden="1" x14ac:dyDescent="0.2">
      <c r="A151" s="568">
        <v>1</v>
      </c>
      <c r="B151" s="36">
        <v>149</v>
      </c>
      <c r="C151" s="569">
        <v>41148</v>
      </c>
      <c r="D151" s="578" t="s">
        <v>346</v>
      </c>
      <c r="E151" s="578" t="s">
        <v>390</v>
      </c>
      <c r="F151" s="498" t="s">
        <v>490</v>
      </c>
      <c r="G151" s="570" t="s">
        <v>491</v>
      </c>
      <c r="H151" s="570" t="s">
        <v>506</v>
      </c>
      <c r="I151" s="570" t="str">
        <f>Table1[[#This Row],[Staff]]</f>
        <v>Nicole</v>
      </c>
      <c r="J151" s="569">
        <f>Table1[[#This Row],[Date]]</f>
        <v>41148</v>
      </c>
      <c r="K151" s="525"/>
      <c r="L151" s="525"/>
      <c r="AF151" s="498"/>
      <c r="AG151" s="498"/>
      <c r="AH151" s="498"/>
      <c r="AI151" s="498"/>
    </row>
    <row r="152" spans="1:35" s="573" customFormat="1" ht="28.5" hidden="1" x14ac:dyDescent="0.2">
      <c r="A152" s="568">
        <v>1</v>
      </c>
      <c r="B152" s="36">
        <v>150</v>
      </c>
      <c r="C152" s="569">
        <v>41148</v>
      </c>
      <c r="D152" s="578" t="s">
        <v>346</v>
      </c>
      <c r="E152" s="578" t="s">
        <v>390</v>
      </c>
      <c r="F152" s="498" t="s">
        <v>481</v>
      </c>
      <c r="G152" s="570" t="s">
        <v>483</v>
      </c>
      <c r="H152" s="570" t="s">
        <v>482</v>
      </c>
      <c r="I152" s="570" t="str">
        <f>Table1[[#This Row],[Staff]]</f>
        <v>Nicole</v>
      </c>
      <c r="J152" s="569">
        <f>Table1[[#This Row],[Date]]</f>
        <v>41148</v>
      </c>
      <c r="K152" s="525"/>
      <c r="L152" s="525"/>
      <c r="AF152" s="498"/>
      <c r="AG152" s="498"/>
      <c r="AH152" s="498"/>
      <c r="AI152" s="498"/>
    </row>
    <row r="153" spans="1:35" s="573" customFormat="1" ht="28.5" hidden="1" x14ac:dyDescent="0.2">
      <c r="A153" s="568">
        <v>1</v>
      </c>
      <c r="B153" s="36">
        <v>151</v>
      </c>
      <c r="C153" s="569">
        <v>41148</v>
      </c>
      <c r="D153" s="578" t="s">
        <v>346</v>
      </c>
      <c r="E153" s="578" t="s">
        <v>390</v>
      </c>
      <c r="F153" s="498" t="s">
        <v>507</v>
      </c>
      <c r="G153" s="570" t="s">
        <v>510</v>
      </c>
      <c r="H153" s="570" t="s">
        <v>508</v>
      </c>
      <c r="I153" s="570" t="str">
        <f>Table1[[#This Row],[Staff]]</f>
        <v>Nicole</v>
      </c>
      <c r="J153" s="569">
        <f>Table1[[#This Row],[Date]]</f>
        <v>41148</v>
      </c>
      <c r="K153" s="525"/>
      <c r="L153" s="525"/>
      <c r="AF153" s="498"/>
      <c r="AG153" s="498"/>
      <c r="AH153" s="498"/>
      <c r="AI153" s="498"/>
    </row>
    <row r="154" spans="1:35" s="573" customFormat="1" ht="28.5" hidden="1" x14ac:dyDescent="0.2">
      <c r="A154" s="568">
        <v>1</v>
      </c>
      <c r="B154" s="36">
        <v>152</v>
      </c>
      <c r="C154" s="569">
        <v>41148</v>
      </c>
      <c r="D154" s="578" t="s">
        <v>346</v>
      </c>
      <c r="E154" s="578" t="s">
        <v>390</v>
      </c>
      <c r="F154" s="498" t="s">
        <v>509</v>
      </c>
      <c r="G154" s="570" t="s">
        <v>510</v>
      </c>
      <c r="H154" s="570" t="s">
        <v>508</v>
      </c>
      <c r="I154" s="570" t="str">
        <f>Table1[[#This Row],[Staff]]</f>
        <v>Nicole</v>
      </c>
      <c r="J154" s="569">
        <f>Table1[[#This Row],[Date]]</f>
        <v>41148</v>
      </c>
      <c r="K154" s="525"/>
      <c r="L154" s="525"/>
      <c r="AF154" s="498"/>
      <c r="AG154" s="498"/>
      <c r="AH154" s="498"/>
      <c r="AI154" s="498"/>
    </row>
    <row r="155" spans="1:35" s="573" customFormat="1" ht="28.5" hidden="1" x14ac:dyDescent="0.2">
      <c r="A155" s="568">
        <v>1</v>
      </c>
      <c r="B155" s="36">
        <v>153</v>
      </c>
      <c r="C155" s="569">
        <v>41148</v>
      </c>
      <c r="D155" s="578" t="s">
        <v>346</v>
      </c>
      <c r="E155" s="578" t="s">
        <v>385</v>
      </c>
      <c r="F155" s="498" t="s">
        <v>490</v>
      </c>
      <c r="G155" s="570" t="s">
        <v>491</v>
      </c>
      <c r="H155" s="570" t="s">
        <v>512</v>
      </c>
      <c r="I155" s="570" t="str">
        <f>Table1[[#This Row],[Staff]]</f>
        <v>Nicole</v>
      </c>
      <c r="J155" s="569">
        <f>Table1[[#This Row],[Date]]</f>
        <v>41148</v>
      </c>
      <c r="K155" s="525"/>
      <c r="L155" s="525"/>
      <c r="AF155" s="498"/>
      <c r="AG155" s="498"/>
      <c r="AH155" s="498"/>
      <c r="AI155" s="498"/>
    </row>
    <row r="156" spans="1:35" s="573" customFormat="1" ht="28.5" hidden="1" x14ac:dyDescent="0.2">
      <c r="A156" s="568">
        <v>1</v>
      </c>
      <c r="B156" s="36">
        <v>154</v>
      </c>
      <c r="C156" s="569">
        <v>41148</v>
      </c>
      <c r="D156" s="578" t="s">
        <v>346</v>
      </c>
      <c r="E156" s="578" t="s">
        <v>385</v>
      </c>
      <c r="F156" s="498" t="s">
        <v>481</v>
      </c>
      <c r="G156" s="570" t="s">
        <v>483</v>
      </c>
      <c r="H156" s="570" t="s">
        <v>482</v>
      </c>
      <c r="I156" s="570" t="str">
        <f>Table1[[#This Row],[Staff]]</f>
        <v>Nicole</v>
      </c>
      <c r="J156" s="569">
        <f>Table1[[#This Row],[Date]]</f>
        <v>41148</v>
      </c>
      <c r="K156" s="525"/>
      <c r="L156" s="525"/>
      <c r="AF156" s="498"/>
      <c r="AG156" s="498"/>
      <c r="AH156" s="498"/>
      <c r="AI156" s="498"/>
    </row>
    <row r="157" spans="1:35" s="573" customFormat="1" ht="28.5" hidden="1" x14ac:dyDescent="0.2">
      <c r="A157" s="568">
        <v>1</v>
      </c>
      <c r="B157" s="36">
        <v>155</v>
      </c>
      <c r="C157" s="569">
        <v>41148</v>
      </c>
      <c r="D157" s="578" t="s">
        <v>346</v>
      </c>
      <c r="E157" s="578" t="s">
        <v>385</v>
      </c>
      <c r="F157" s="498" t="s">
        <v>484</v>
      </c>
      <c r="G157" s="570" t="s">
        <v>504</v>
      </c>
      <c r="H157" s="570" t="s">
        <v>486</v>
      </c>
      <c r="I157" s="570" t="str">
        <f>Table1[[#This Row],[Staff]]</f>
        <v>Nicole</v>
      </c>
      <c r="J157" s="569">
        <f>Table1[[#This Row],[Date]]</f>
        <v>41148</v>
      </c>
      <c r="K157" s="525"/>
      <c r="L157" s="525"/>
      <c r="AF157" s="498"/>
      <c r="AG157" s="498"/>
      <c r="AH157" s="498"/>
      <c r="AI157" s="498"/>
    </row>
    <row r="158" spans="1:35" s="573" customFormat="1" ht="28.5" hidden="1" x14ac:dyDescent="0.2">
      <c r="A158" s="568">
        <v>1</v>
      </c>
      <c r="B158" s="36">
        <v>156</v>
      </c>
      <c r="C158" s="569">
        <v>41148</v>
      </c>
      <c r="D158" s="578" t="s">
        <v>346</v>
      </c>
      <c r="E158" s="578" t="s">
        <v>385</v>
      </c>
      <c r="F158" s="498" t="s">
        <v>490</v>
      </c>
      <c r="G158" s="570" t="s">
        <v>504</v>
      </c>
      <c r="H158" s="570" t="s">
        <v>486</v>
      </c>
      <c r="I158" s="570" t="str">
        <f>Table1[[#This Row],[Staff]]</f>
        <v>Nicole</v>
      </c>
      <c r="J158" s="569">
        <f>Table1[[#This Row],[Date]]</f>
        <v>41148</v>
      </c>
      <c r="K158" s="525"/>
      <c r="L158" s="525"/>
      <c r="AF158" s="498"/>
      <c r="AG158" s="498"/>
      <c r="AH158" s="498"/>
      <c r="AI158" s="498"/>
    </row>
    <row r="159" spans="1:35" s="573" customFormat="1" ht="28.5" hidden="1" x14ac:dyDescent="0.2">
      <c r="A159" s="568">
        <v>1</v>
      </c>
      <c r="B159" s="36">
        <v>157</v>
      </c>
      <c r="C159" s="569">
        <v>41148</v>
      </c>
      <c r="D159" s="578" t="s">
        <v>346</v>
      </c>
      <c r="E159" s="578" t="s">
        <v>379</v>
      </c>
      <c r="F159" s="498" t="s">
        <v>484</v>
      </c>
      <c r="G159" s="570" t="s">
        <v>504</v>
      </c>
      <c r="H159" s="570" t="s">
        <v>486</v>
      </c>
      <c r="I159" s="570" t="str">
        <f>Table1[[#This Row],[Staff]]</f>
        <v>Nicole</v>
      </c>
      <c r="J159" s="569">
        <f>Table1[[#This Row],[Date]]</f>
        <v>41148</v>
      </c>
      <c r="K159" s="525"/>
      <c r="L159" s="525"/>
      <c r="AF159" s="498"/>
      <c r="AG159" s="498"/>
      <c r="AH159" s="498"/>
      <c r="AI159" s="498"/>
    </row>
    <row r="160" spans="1:35" s="573" customFormat="1" ht="28.5" hidden="1" x14ac:dyDescent="0.2">
      <c r="A160" s="568">
        <v>1</v>
      </c>
      <c r="B160" s="36">
        <v>158</v>
      </c>
      <c r="C160" s="569">
        <v>41148</v>
      </c>
      <c r="D160" s="578" t="s">
        <v>346</v>
      </c>
      <c r="E160" s="578" t="s">
        <v>379</v>
      </c>
      <c r="F160" s="498" t="s">
        <v>490</v>
      </c>
      <c r="G160" s="570" t="s">
        <v>491</v>
      </c>
      <c r="H160" s="570" t="s">
        <v>514</v>
      </c>
      <c r="I160" s="570" t="str">
        <f>Table1[[#This Row],[Staff]]</f>
        <v>Nicole</v>
      </c>
      <c r="J160" s="569">
        <f>Table1[[#This Row],[Date]]</f>
        <v>41148</v>
      </c>
      <c r="K160" s="525"/>
      <c r="L160" s="525"/>
      <c r="AF160" s="498"/>
      <c r="AG160" s="498"/>
      <c r="AH160" s="498"/>
      <c r="AI160" s="498"/>
    </row>
    <row r="161" spans="1:12" ht="28.5" hidden="1" x14ac:dyDescent="0.2">
      <c r="A161" s="568">
        <v>1</v>
      </c>
      <c r="B161" s="36">
        <v>159</v>
      </c>
      <c r="C161" s="569">
        <v>41148</v>
      </c>
      <c r="D161" s="578" t="s">
        <v>346</v>
      </c>
      <c r="E161" s="578" t="s">
        <v>379</v>
      </c>
      <c r="F161" s="498" t="s">
        <v>490</v>
      </c>
      <c r="G161" s="570" t="s">
        <v>504</v>
      </c>
      <c r="H161" s="570" t="s">
        <v>486</v>
      </c>
      <c r="I161" s="570" t="s">
        <v>0</v>
      </c>
      <c r="J161" s="569">
        <f>Table1[[#This Row],[Date]]</f>
        <v>41148</v>
      </c>
      <c r="K161" s="525"/>
      <c r="L161" s="525"/>
    </row>
    <row r="162" spans="1:12" ht="28.5" hidden="1" x14ac:dyDescent="0.2">
      <c r="A162" s="568">
        <v>1</v>
      </c>
      <c r="B162" s="36">
        <v>160</v>
      </c>
      <c r="C162" s="569">
        <v>41148</v>
      </c>
      <c r="D162" s="578" t="s">
        <v>346</v>
      </c>
      <c r="E162" s="578" t="s">
        <v>379</v>
      </c>
      <c r="F162" s="498" t="s">
        <v>481</v>
      </c>
      <c r="G162" s="570" t="s">
        <v>483</v>
      </c>
      <c r="H162" s="570" t="s">
        <v>482</v>
      </c>
      <c r="I162" s="570" t="s">
        <v>0</v>
      </c>
      <c r="J162" s="569">
        <f>Table1[[#This Row],[Date]]</f>
        <v>41148</v>
      </c>
      <c r="K162" s="525"/>
      <c r="L162" s="525"/>
    </row>
    <row r="163" spans="1:12" ht="28.5" hidden="1" x14ac:dyDescent="0.2">
      <c r="A163" s="568">
        <v>1</v>
      </c>
      <c r="B163" s="36">
        <v>161</v>
      </c>
      <c r="C163" s="569">
        <v>41148</v>
      </c>
      <c r="D163" s="578" t="s">
        <v>346</v>
      </c>
      <c r="E163" s="578" t="s">
        <v>377</v>
      </c>
      <c r="F163" s="498" t="s">
        <v>484</v>
      </c>
      <c r="G163" s="570" t="s">
        <v>504</v>
      </c>
      <c r="H163" s="570" t="s">
        <v>486</v>
      </c>
      <c r="I163" s="570" t="s">
        <v>0</v>
      </c>
      <c r="J163" s="569">
        <f>Table1[[#This Row],[Date]]</f>
        <v>41148</v>
      </c>
      <c r="K163" s="525"/>
      <c r="L163" s="525"/>
    </row>
    <row r="164" spans="1:12" ht="28.5" hidden="1" x14ac:dyDescent="0.2">
      <c r="A164" s="568">
        <v>1</v>
      </c>
      <c r="B164" s="36">
        <v>162</v>
      </c>
      <c r="C164" s="569">
        <v>41148</v>
      </c>
      <c r="D164" s="578" t="s">
        <v>346</v>
      </c>
      <c r="E164" s="578" t="s">
        <v>377</v>
      </c>
      <c r="F164" s="498" t="s">
        <v>490</v>
      </c>
      <c r="G164" s="570" t="s">
        <v>504</v>
      </c>
      <c r="H164" s="570" t="s">
        <v>486</v>
      </c>
      <c r="I164" s="570" t="s">
        <v>0</v>
      </c>
      <c r="J164" s="569">
        <f>Table1[[#This Row],[Date]]</f>
        <v>41148</v>
      </c>
      <c r="K164" s="525"/>
      <c r="L164" s="525"/>
    </row>
    <row r="165" spans="1:12" ht="28.5" hidden="1" x14ac:dyDescent="0.2">
      <c r="A165" s="568">
        <v>1</v>
      </c>
      <c r="B165" s="36">
        <v>163</v>
      </c>
      <c r="C165" s="569">
        <v>41148</v>
      </c>
      <c r="D165" s="578" t="s">
        <v>346</v>
      </c>
      <c r="E165" s="578" t="s">
        <v>377</v>
      </c>
      <c r="F165" s="498" t="s">
        <v>481</v>
      </c>
      <c r="G165" s="570" t="s">
        <v>483</v>
      </c>
      <c r="H165" s="570" t="s">
        <v>482</v>
      </c>
      <c r="I165" s="570" t="s">
        <v>0</v>
      </c>
      <c r="J165" s="569">
        <f>Table1[[#This Row],[Date]]</f>
        <v>41148</v>
      </c>
      <c r="K165" s="525"/>
      <c r="L165" s="525"/>
    </row>
    <row r="166" spans="1:12" ht="28.5" hidden="1" x14ac:dyDescent="0.2">
      <c r="A166" s="568">
        <v>1</v>
      </c>
      <c r="B166" s="36">
        <v>164</v>
      </c>
      <c r="C166" s="569">
        <v>41148</v>
      </c>
      <c r="D166" s="578" t="s">
        <v>346</v>
      </c>
      <c r="E166" s="578" t="s">
        <v>58</v>
      </c>
      <c r="F166" s="498" t="s">
        <v>484</v>
      </c>
      <c r="G166" s="570" t="s">
        <v>504</v>
      </c>
      <c r="H166" s="570" t="s">
        <v>486</v>
      </c>
      <c r="I166" s="570" t="s">
        <v>0</v>
      </c>
      <c r="J166" s="569">
        <f>Table1[[#This Row],[Date]]</f>
        <v>41148</v>
      </c>
      <c r="K166" s="525"/>
      <c r="L166" s="525"/>
    </row>
    <row r="167" spans="1:12" ht="28.5" hidden="1" x14ac:dyDescent="0.2">
      <c r="A167" s="568">
        <v>1</v>
      </c>
      <c r="B167" s="36">
        <v>165</v>
      </c>
      <c r="C167" s="569">
        <v>41148</v>
      </c>
      <c r="D167" s="578" t="s">
        <v>346</v>
      </c>
      <c r="E167" s="578" t="s">
        <v>372</v>
      </c>
      <c r="F167" s="498" t="s">
        <v>484</v>
      </c>
      <c r="G167" s="570" t="s">
        <v>504</v>
      </c>
      <c r="H167" s="570" t="s">
        <v>486</v>
      </c>
      <c r="I167" s="570" t="s">
        <v>0</v>
      </c>
      <c r="J167" s="569">
        <f>Table1[[#This Row],[Date]]</f>
        <v>41148</v>
      </c>
      <c r="K167" s="525"/>
      <c r="L167" s="525"/>
    </row>
    <row r="168" spans="1:12" ht="28.5" hidden="1" x14ac:dyDescent="0.2">
      <c r="A168" s="568">
        <v>1</v>
      </c>
      <c r="B168" s="36">
        <v>166</v>
      </c>
      <c r="C168" s="569">
        <v>41148</v>
      </c>
      <c r="D168" s="578" t="s">
        <v>346</v>
      </c>
      <c r="E168" s="578" t="s">
        <v>369</v>
      </c>
      <c r="F168" s="498" t="s">
        <v>507</v>
      </c>
      <c r="G168" s="570" t="s">
        <v>515</v>
      </c>
      <c r="H168" s="570" t="s">
        <v>516</v>
      </c>
      <c r="I168" s="570" t="s">
        <v>0</v>
      </c>
      <c r="J168" s="569">
        <f>Table1[[#This Row],[Date]]</f>
        <v>41148</v>
      </c>
      <c r="K168" s="525"/>
      <c r="L168" s="525"/>
    </row>
    <row r="169" spans="1:12" ht="28.5" hidden="1" x14ac:dyDescent="0.2">
      <c r="A169" s="568">
        <v>1</v>
      </c>
      <c r="B169" s="36">
        <v>167</v>
      </c>
      <c r="C169" s="569">
        <v>41148</v>
      </c>
      <c r="D169" s="578" t="s">
        <v>346</v>
      </c>
      <c r="E169" s="578" t="s">
        <v>369</v>
      </c>
      <c r="F169" s="498" t="s">
        <v>517</v>
      </c>
      <c r="G169" s="570" t="s">
        <v>515</v>
      </c>
      <c r="H169" s="570" t="s">
        <v>516</v>
      </c>
      <c r="I169" s="570" t="s">
        <v>0</v>
      </c>
      <c r="J169" s="569">
        <f>Table1[[#This Row],[Date]]</f>
        <v>41148</v>
      </c>
      <c r="K169" s="525"/>
      <c r="L169" s="525"/>
    </row>
    <row r="170" spans="1:12" ht="28.5" hidden="1" x14ac:dyDescent="0.2">
      <c r="A170" s="568">
        <v>1</v>
      </c>
      <c r="B170" s="36">
        <v>168</v>
      </c>
      <c r="C170" s="569">
        <v>41148</v>
      </c>
      <c r="D170" s="578" t="s">
        <v>346</v>
      </c>
      <c r="E170" s="578" t="s">
        <v>369</v>
      </c>
      <c r="F170" s="498" t="s">
        <v>518</v>
      </c>
      <c r="G170" s="570" t="s">
        <v>515</v>
      </c>
      <c r="H170" s="570" t="s">
        <v>516</v>
      </c>
      <c r="I170" s="570" t="s">
        <v>0</v>
      </c>
      <c r="J170" s="569">
        <f>Table1[[#This Row],[Date]]</f>
        <v>41148</v>
      </c>
      <c r="K170" s="525"/>
      <c r="L170" s="525"/>
    </row>
    <row r="171" spans="1:12" ht="28.5" hidden="1" x14ac:dyDescent="0.2">
      <c r="A171" s="568">
        <v>1</v>
      </c>
      <c r="B171" s="36">
        <v>169</v>
      </c>
      <c r="C171" s="569">
        <v>41148</v>
      </c>
      <c r="D171" s="578" t="s">
        <v>346</v>
      </c>
      <c r="E171" s="578" t="s">
        <v>369</v>
      </c>
      <c r="F171" s="498" t="s">
        <v>519</v>
      </c>
      <c r="G171" s="570" t="s">
        <v>515</v>
      </c>
      <c r="H171" s="570" t="s">
        <v>516</v>
      </c>
      <c r="I171" s="570" t="s">
        <v>0</v>
      </c>
      <c r="J171" s="569">
        <f>Table1[[#This Row],[Date]]</f>
        <v>41148</v>
      </c>
      <c r="K171" s="525"/>
      <c r="L171" s="525"/>
    </row>
    <row r="172" spans="1:12" ht="28.5" hidden="1" x14ac:dyDescent="0.2">
      <c r="A172" s="568">
        <v>1</v>
      </c>
      <c r="B172" s="36">
        <v>170</v>
      </c>
      <c r="C172" s="569">
        <v>41148</v>
      </c>
      <c r="D172" s="578" t="s">
        <v>346</v>
      </c>
      <c r="E172" s="578" t="s">
        <v>369</v>
      </c>
      <c r="F172" s="498" t="s">
        <v>520</v>
      </c>
      <c r="G172" s="570" t="s">
        <v>515</v>
      </c>
      <c r="H172" s="570" t="s">
        <v>516</v>
      </c>
      <c r="I172" s="570" t="s">
        <v>0</v>
      </c>
      <c r="J172" s="569">
        <f>Table1[[#This Row],[Date]]</f>
        <v>41148</v>
      </c>
      <c r="K172" s="525"/>
      <c r="L172" s="525"/>
    </row>
    <row r="173" spans="1:12" ht="28.5" hidden="1" x14ac:dyDescent="0.2">
      <c r="A173" s="568">
        <v>1</v>
      </c>
      <c r="B173" s="36">
        <v>171</v>
      </c>
      <c r="C173" s="569">
        <v>41148</v>
      </c>
      <c r="D173" s="578" t="s">
        <v>346</v>
      </c>
      <c r="E173" s="578" t="s">
        <v>369</v>
      </c>
      <c r="F173" s="498" t="s">
        <v>521</v>
      </c>
      <c r="G173" s="570" t="s">
        <v>515</v>
      </c>
      <c r="H173" s="570" t="s">
        <v>516</v>
      </c>
      <c r="I173" s="570" t="s">
        <v>0</v>
      </c>
      <c r="J173" s="569">
        <f>Table1[[#This Row],[Date]]</f>
        <v>41148</v>
      </c>
      <c r="K173" s="525"/>
      <c r="L173" s="525"/>
    </row>
    <row r="174" spans="1:12" ht="28.5" hidden="1" x14ac:dyDescent="0.2">
      <c r="A174" s="568">
        <v>1</v>
      </c>
      <c r="B174" s="36">
        <v>172</v>
      </c>
      <c r="C174" s="569">
        <v>41148</v>
      </c>
      <c r="D174" s="578" t="s">
        <v>346</v>
      </c>
      <c r="E174" s="578" t="s">
        <v>369</v>
      </c>
      <c r="F174" s="498" t="s">
        <v>522</v>
      </c>
      <c r="G174" s="570" t="s">
        <v>523</v>
      </c>
      <c r="H174" s="570" t="s">
        <v>524</v>
      </c>
      <c r="I174" s="580" t="str">
        <f>Table1[[#This Row],[Staff]]</f>
        <v>Nicole</v>
      </c>
      <c r="J174" s="569">
        <f>Table1[[#This Row],[Date]]</f>
        <v>41148</v>
      </c>
      <c r="K174" s="525"/>
      <c r="L174" s="525"/>
    </row>
    <row r="175" spans="1:12" ht="28.5" hidden="1" x14ac:dyDescent="0.2">
      <c r="A175" s="568">
        <v>1</v>
      </c>
      <c r="B175" s="36">
        <v>173</v>
      </c>
      <c r="C175" s="569">
        <v>41148</v>
      </c>
      <c r="D175" s="578" t="s">
        <v>346</v>
      </c>
      <c r="E175" s="578" t="s">
        <v>369</v>
      </c>
      <c r="F175" s="498" t="s">
        <v>525</v>
      </c>
      <c r="G175" s="570" t="s">
        <v>523</v>
      </c>
      <c r="H175" s="570" t="s">
        <v>524</v>
      </c>
      <c r="I175" s="580" t="str">
        <f>Table1[[#This Row],[Staff]]</f>
        <v>Nicole</v>
      </c>
      <c r="J175" s="569">
        <f>Table1[[#This Row],[Date]]</f>
        <v>41148</v>
      </c>
      <c r="K175" s="525"/>
      <c r="L175" s="525"/>
    </row>
    <row r="176" spans="1:12" ht="28.5" hidden="1" x14ac:dyDescent="0.2">
      <c r="A176" s="568">
        <v>1</v>
      </c>
      <c r="B176" s="36">
        <v>174</v>
      </c>
      <c r="C176" s="569">
        <v>41148</v>
      </c>
      <c r="D176" s="578" t="s">
        <v>346</v>
      </c>
      <c r="E176" s="578" t="s">
        <v>369</v>
      </c>
      <c r="F176" s="498" t="s">
        <v>526</v>
      </c>
      <c r="G176" s="570" t="s">
        <v>523</v>
      </c>
      <c r="H176" s="570" t="s">
        <v>524</v>
      </c>
      <c r="I176" s="580" t="str">
        <f>Table1[[#This Row],[Staff]]</f>
        <v>Nicole</v>
      </c>
      <c r="J176" s="569">
        <f>Table1[[#This Row],[Date]]</f>
        <v>41148</v>
      </c>
      <c r="K176" s="525"/>
      <c r="L176" s="525"/>
    </row>
    <row r="177" spans="1:12" ht="28.5" hidden="1" x14ac:dyDescent="0.2">
      <c r="A177" s="568">
        <v>1</v>
      </c>
      <c r="B177" s="36">
        <v>175</v>
      </c>
      <c r="C177" s="569">
        <v>41148</v>
      </c>
      <c r="D177" s="578" t="s">
        <v>346</v>
      </c>
      <c r="E177" s="578" t="s">
        <v>369</v>
      </c>
      <c r="F177" s="498" t="s">
        <v>527</v>
      </c>
      <c r="G177" s="570" t="s">
        <v>523</v>
      </c>
      <c r="H177" s="570" t="s">
        <v>524</v>
      </c>
      <c r="I177" s="580" t="str">
        <f>Table1[[#This Row],[Staff]]</f>
        <v>Nicole</v>
      </c>
      <c r="J177" s="569">
        <f>Table1[[#This Row],[Date]]</f>
        <v>41148</v>
      </c>
      <c r="K177" s="525"/>
      <c r="L177" s="525"/>
    </row>
    <row r="178" spans="1:12" ht="28.5" hidden="1" x14ac:dyDescent="0.2">
      <c r="A178" s="568">
        <v>1</v>
      </c>
      <c r="B178" s="36">
        <v>176</v>
      </c>
      <c r="C178" s="569">
        <v>41148</v>
      </c>
      <c r="D178" s="578" t="s">
        <v>346</v>
      </c>
      <c r="E178" s="578" t="s">
        <v>362</v>
      </c>
      <c r="F178" s="498" t="s">
        <v>528</v>
      </c>
      <c r="G178" s="570" t="s">
        <v>529</v>
      </c>
      <c r="H178" s="570" t="s">
        <v>486</v>
      </c>
      <c r="I178" s="580" t="str">
        <f>Table1[[#This Row],[Staff]]</f>
        <v>Nicole</v>
      </c>
      <c r="J178" s="569">
        <f>Table1[[#This Row],[Date]]</f>
        <v>41148</v>
      </c>
      <c r="K178" s="525"/>
      <c r="L178" s="525"/>
    </row>
    <row r="179" spans="1:12" ht="28.5" hidden="1" x14ac:dyDescent="0.2">
      <c r="A179" s="568">
        <v>1</v>
      </c>
      <c r="B179" s="36">
        <v>177</v>
      </c>
      <c r="C179" s="569">
        <v>41148</v>
      </c>
      <c r="D179" s="578" t="s">
        <v>346</v>
      </c>
      <c r="E179" s="578" t="s">
        <v>362</v>
      </c>
      <c r="F179" s="498" t="s">
        <v>530</v>
      </c>
      <c r="G179" s="570" t="s">
        <v>531</v>
      </c>
      <c r="H179" s="570" t="s">
        <v>532</v>
      </c>
      <c r="I179" s="580" t="str">
        <f>Table1[[#This Row],[Staff]]</f>
        <v>Nicole</v>
      </c>
      <c r="J179" s="569">
        <f>Table1[[#This Row],[Date]]</f>
        <v>41148</v>
      </c>
      <c r="K179" s="525"/>
      <c r="L179" s="525"/>
    </row>
    <row r="180" spans="1:12" ht="28.5" hidden="1" x14ac:dyDescent="0.2">
      <c r="A180" s="568">
        <v>1</v>
      </c>
      <c r="B180" s="36">
        <v>178</v>
      </c>
      <c r="C180" s="569">
        <v>41148</v>
      </c>
      <c r="D180" s="578" t="s">
        <v>346</v>
      </c>
      <c r="E180" s="578" t="s">
        <v>362</v>
      </c>
      <c r="F180" s="498" t="s">
        <v>533</v>
      </c>
      <c r="G180" s="570" t="s">
        <v>534</v>
      </c>
      <c r="H180" s="570" t="s">
        <v>535</v>
      </c>
      <c r="I180" s="580" t="str">
        <f>Table1[[#This Row],[Staff]]</f>
        <v>Nicole</v>
      </c>
      <c r="J180" s="569">
        <f>Table1[[#This Row],[Date]]</f>
        <v>41148</v>
      </c>
      <c r="K180" s="525"/>
      <c r="L180" s="525"/>
    </row>
    <row r="181" spans="1:12" ht="28.5" hidden="1" x14ac:dyDescent="0.2">
      <c r="A181" s="568">
        <v>1</v>
      </c>
      <c r="B181" s="36">
        <v>179</v>
      </c>
      <c r="C181" s="569">
        <v>41148</v>
      </c>
      <c r="D181" s="579" t="s">
        <v>346</v>
      </c>
      <c r="E181" s="579" t="s">
        <v>153</v>
      </c>
      <c r="F181" s="498" t="s">
        <v>490</v>
      </c>
      <c r="G181" s="570" t="s">
        <v>536</v>
      </c>
      <c r="H181" s="570" t="s">
        <v>537</v>
      </c>
      <c r="I181" s="580" t="str">
        <f>Table1[[#This Row],[Staff]]</f>
        <v>Nicole</v>
      </c>
      <c r="J181" s="569">
        <f>Table1[[#This Row],[Date]]</f>
        <v>41148</v>
      </c>
      <c r="K181" s="525"/>
      <c r="L181" s="525"/>
    </row>
    <row r="182" spans="1:12" ht="28.5" hidden="1" x14ac:dyDescent="0.2">
      <c r="A182" s="568">
        <v>1</v>
      </c>
      <c r="B182" s="36">
        <v>180</v>
      </c>
      <c r="C182" s="569">
        <v>41148</v>
      </c>
      <c r="D182" s="579" t="s">
        <v>346</v>
      </c>
      <c r="E182" s="579" t="s">
        <v>153</v>
      </c>
      <c r="F182" s="498" t="s">
        <v>507</v>
      </c>
      <c r="G182" s="570" t="s">
        <v>536</v>
      </c>
      <c r="H182" s="570" t="s">
        <v>537</v>
      </c>
      <c r="I182" s="580" t="str">
        <f>Table1[[#This Row],[Staff]]</f>
        <v>Nicole</v>
      </c>
      <c r="J182" s="569">
        <f>Table1[[#This Row],[Date]]</f>
        <v>41148</v>
      </c>
      <c r="K182" s="525"/>
      <c r="L182" s="525"/>
    </row>
    <row r="183" spans="1:12" ht="28.5" hidden="1" x14ac:dyDescent="0.2">
      <c r="A183" s="568">
        <v>1</v>
      </c>
      <c r="B183" s="36">
        <v>181</v>
      </c>
      <c r="C183" s="569">
        <v>41148</v>
      </c>
      <c r="D183" s="579" t="s">
        <v>346</v>
      </c>
      <c r="E183" s="579" t="s">
        <v>153</v>
      </c>
      <c r="F183" s="498" t="s">
        <v>521</v>
      </c>
      <c r="G183" s="570" t="s">
        <v>536</v>
      </c>
      <c r="H183" s="570" t="s">
        <v>537</v>
      </c>
      <c r="I183" s="580" t="str">
        <f>Table1[[#This Row],[Staff]]</f>
        <v>Nicole</v>
      </c>
      <c r="J183" s="569">
        <f>Table1[[#This Row],[Date]]</f>
        <v>41148</v>
      </c>
      <c r="K183" s="525"/>
      <c r="L183" s="525"/>
    </row>
    <row r="184" spans="1:12" ht="28.5" hidden="1" x14ac:dyDescent="0.2">
      <c r="A184" s="568">
        <v>1</v>
      </c>
      <c r="B184" s="36">
        <v>182</v>
      </c>
      <c r="C184" s="569">
        <v>41148</v>
      </c>
      <c r="D184" s="579" t="s">
        <v>346</v>
      </c>
      <c r="E184" s="579" t="s">
        <v>362</v>
      </c>
      <c r="F184" s="498" t="s">
        <v>499</v>
      </c>
      <c r="G184" s="570" t="s">
        <v>539</v>
      </c>
      <c r="H184" s="570" t="s">
        <v>456</v>
      </c>
      <c r="I184" s="580" t="str">
        <f>Table1[[#This Row],[Staff]]</f>
        <v>Nicole</v>
      </c>
      <c r="J184" s="569">
        <f>Table1[[#This Row],[Date]]</f>
        <v>41148</v>
      </c>
      <c r="K184" s="525"/>
      <c r="L184" s="525"/>
    </row>
    <row r="185" spans="1:12" hidden="1" x14ac:dyDescent="0.2">
      <c r="A185" s="568">
        <v>1</v>
      </c>
      <c r="B185" s="36">
        <v>183</v>
      </c>
      <c r="C185" s="569">
        <v>41148</v>
      </c>
      <c r="D185" s="579" t="s">
        <v>346</v>
      </c>
      <c r="E185" s="579" t="s">
        <v>153</v>
      </c>
      <c r="F185" s="498" t="s">
        <v>543</v>
      </c>
      <c r="G185" s="570" t="s">
        <v>544</v>
      </c>
      <c r="H185" s="570" t="s">
        <v>545</v>
      </c>
      <c r="I185" s="580" t="str">
        <f>Table1[[#This Row],[Staff]]</f>
        <v>Nicole</v>
      </c>
      <c r="J185" s="569">
        <f>Table1[[#This Row],[Date]]</f>
        <v>41148</v>
      </c>
      <c r="K185" s="525"/>
      <c r="L185" s="525"/>
    </row>
    <row r="186" spans="1:12" hidden="1" x14ac:dyDescent="0.2">
      <c r="A186" s="568">
        <v>1</v>
      </c>
      <c r="B186" s="36">
        <v>184</v>
      </c>
      <c r="C186" s="569">
        <v>41148</v>
      </c>
      <c r="D186" s="579" t="s">
        <v>346</v>
      </c>
      <c r="E186" s="579" t="s">
        <v>362</v>
      </c>
      <c r="F186" s="498" t="s">
        <v>546</v>
      </c>
      <c r="G186" s="570" t="s">
        <v>544</v>
      </c>
      <c r="H186" s="570" t="s">
        <v>545</v>
      </c>
      <c r="I186" s="580" t="str">
        <f>Table1[[#This Row],[Staff]]</f>
        <v>Nicole</v>
      </c>
      <c r="J186" s="569">
        <f>Table1[[#This Row],[Date]]</f>
        <v>41148</v>
      </c>
      <c r="K186" s="525"/>
      <c r="L186" s="525"/>
    </row>
    <row r="187" spans="1:12" hidden="1" x14ac:dyDescent="0.2">
      <c r="A187" s="568">
        <v>1</v>
      </c>
      <c r="B187" s="36">
        <v>185</v>
      </c>
      <c r="C187" s="569">
        <v>41148</v>
      </c>
      <c r="D187" s="579" t="s">
        <v>346</v>
      </c>
      <c r="E187" s="579" t="s">
        <v>6</v>
      </c>
      <c r="F187" s="498" t="s">
        <v>546</v>
      </c>
      <c r="G187" s="570" t="s">
        <v>544</v>
      </c>
      <c r="H187" s="570" t="s">
        <v>545</v>
      </c>
      <c r="I187" s="580" t="str">
        <f>Table1[[#This Row],[Staff]]</f>
        <v>Nicole</v>
      </c>
      <c r="J187" s="569">
        <f>Table1[[#This Row],[Date]]</f>
        <v>41148</v>
      </c>
      <c r="K187" s="525"/>
      <c r="L187" s="525"/>
    </row>
    <row r="188" spans="1:12" hidden="1" x14ac:dyDescent="0.2">
      <c r="A188" s="568">
        <v>1</v>
      </c>
      <c r="B188" s="36">
        <v>186</v>
      </c>
      <c r="C188" s="569">
        <v>41148</v>
      </c>
      <c r="D188" s="579" t="s">
        <v>346</v>
      </c>
      <c r="E188" s="579" t="s">
        <v>369</v>
      </c>
      <c r="F188" s="498" t="s">
        <v>546</v>
      </c>
      <c r="G188" s="570" t="s">
        <v>544</v>
      </c>
      <c r="H188" s="570" t="s">
        <v>545</v>
      </c>
      <c r="I188" s="580" t="str">
        <f>Table1[[#This Row],[Staff]]</f>
        <v>Nicole</v>
      </c>
      <c r="J188" s="569">
        <f>Table1[[#This Row],[Date]]</f>
        <v>41148</v>
      </c>
      <c r="K188" s="525"/>
      <c r="L188" s="525"/>
    </row>
    <row r="189" spans="1:12" hidden="1" x14ac:dyDescent="0.2">
      <c r="A189" s="568">
        <v>1</v>
      </c>
      <c r="B189" s="36">
        <v>187</v>
      </c>
      <c r="C189" s="569">
        <v>41148</v>
      </c>
      <c r="D189" s="579" t="s">
        <v>346</v>
      </c>
      <c r="E189" s="579" t="s">
        <v>372</v>
      </c>
      <c r="F189" s="498" t="s">
        <v>546</v>
      </c>
      <c r="G189" s="570" t="s">
        <v>544</v>
      </c>
      <c r="H189" s="570" t="s">
        <v>545</v>
      </c>
      <c r="I189" s="580" t="str">
        <f>Table1[[#This Row],[Staff]]</f>
        <v>Nicole</v>
      </c>
      <c r="J189" s="569">
        <f>Table1[[#This Row],[Date]]</f>
        <v>41148</v>
      </c>
      <c r="K189" s="525"/>
      <c r="L189" s="525"/>
    </row>
    <row r="190" spans="1:12" hidden="1" x14ac:dyDescent="0.2">
      <c r="A190" s="568">
        <v>1</v>
      </c>
      <c r="B190" s="36">
        <v>188</v>
      </c>
      <c r="C190" s="569">
        <v>41148</v>
      </c>
      <c r="D190" s="579" t="s">
        <v>346</v>
      </c>
      <c r="E190" s="579" t="s">
        <v>58</v>
      </c>
      <c r="F190" s="498" t="s">
        <v>546</v>
      </c>
      <c r="G190" s="570" t="s">
        <v>544</v>
      </c>
      <c r="H190" s="570" t="s">
        <v>545</v>
      </c>
      <c r="I190" s="580" t="str">
        <f>Table1[[#This Row],[Staff]]</f>
        <v>Nicole</v>
      </c>
      <c r="J190" s="569">
        <f>Table1[[#This Row],[Date]]</f>
        <v>41148</v>
      </c>
      <c r="K190" s="525"/>
      <c r="L190" s="525"/>
    </row>
    <row r="191" spans="1:12" hidden="1" x14ac:dyDescent="0.2">
      <c r="A191" s="568">
        <v>1</v>
      </c>
      <c r="B191" s="36">
        <v>189</v>
      </c>
      <c r="C191" s="569">
        <v>41148</v>
      </c>
      <c r="D191" s="579" t="s">
        <v>346</v>
      </c>
      <c r="E191" s="579" t="s">
        <v>377</v>
      </c>
      <c r="F191" s="498" t="s">
        <v>546</v>
      </c>
      <c r="G191" s="570" t="s">
        <v>544</v>
      </c>
      <c r="H191" s="570" t="s">
        <v>545</v>
      </c>
      <c r="I191" s="580" t="str">
        <f>Table1[[#This Row],[Staff]]</f>
        <v>Nicole</v>
      </c>
      <c r="J191" s="569">
        <f>Table1[[#This Row],[Date]]</f>
        <v>41148</v>
      </c>
      <c r="K191" s="525"/>
      <c r="L191" s="525"/>
    </row>
    <row r="192" spans="1:12" hidden="1" x14ac:dyDescent="0.2">
      <c r="A192" s="568">
        <v>1</v>
      </c>
      <c r="B192" s="36">
        <v>190</v>
      </c>
      <c r="C192" s="569">
        <v>41148</v>
      </c>
      <c r="D192" s="579" t="s">
        <v>346</v>
      </c>
      <c r="E192" s="579" t="s">
        <v>379</v>
      </c>
      <c r="F192" s="498" t="s">
        <v>546</v>
      </c>
      <c r="G192" s="570" t="s">
        <v>544</v>
      </c>
      <c r="H192" s="570" t="s">
        <v>545</v>
      </c>
      <c r="I192" s="580" t="str">
        <f>Table1[[#This Row],[Staff]]</f>
        <v>Nicole</v>
      </c>
      <c r="J192" s="569">
        <f>Table1[[#This Row],[Date]]</f>
        <v>41148</v>
      </c>
      <c r="K192" s="525"/>
      <c r="L192" s="525"/>
    </row>
    <row r="193" spans="1:12" hidden="1" x14ac:dyDescent="0.2">
      <c r="A193" s="568">
        <v>1</v>
      </c>
      <c r="B193" s="36">
        <v>191</v>
      </c>
      <c r="C193" s="569">
        <v>41148</v>
      </c>
      <c r="D193" s="579" t="s">
        <v>346</v>
      </c>
      <c r="E193" s="579" t="s">
        <v>385</v>
      </c>
      <c r="F193" s="498" t="s">
        <v>546</v>
      </c>
      <c r="G193" s="570" t="s">
        <v>544</v>
      </c>
      <c r="H193" s="570" t="s">
        <v>545</v>
      </c>
      <c r="I193" s="580" t="str">
        <f>Table1[[#This Row],[Staff]]</f>
        <v>Nicole</v>
      </c>
      <c r="J193" s="569">
        <f>Table1[[#This Row],[Date]]</f>
        <v>41148</v>
      </c>
      <c r="K193" s="525"/>
      <c r="L193" s="525"/>
    </row>
    <row r="194" spans="1:12" hidden="1" x14ac:dyDescent="0.2">
      <c r="A194" s="568">
        <v>1</v>
      </c>
      <c r="B194" s="36">
        <v>192</v>
      </c>
      <c r="C194" s="569">
        <v>41148</v>
      </c>
      <c r="D194" s="579" t="s">
        <v>346</v>
      </c>
      <c r="E194" s="579" t="s">
        <v>390</v>
      </c>
      <c r="F194" s="498" t="s">
        <v>546</v>
      </c>
      <c r="G194" s="570" t="s">
        <v>544</v>
      </c>
      <c r="H194" s="570" t="s">
        <v>545</v>
      </c>
      <c r="I194" s="580" t="str">
        <f>Table1[[#This Row],[Staff]]</f>
        <v>Nicole</v>
      </c>
      <c r="J194" s="569">
        <f>Table1[[#This Row],[Date]]</f>
        <v>41148</v>
      </c>
      <c r="K194" s="525"/>
      <c r="L194" s="525"/>
    </row>
    <row r="195" spans="1:12" hidden="1" x14ac:dyDescent="0.2">
      <c r="A195" s="568">
        <v>1</v>
      </c>
      <c r="B195" s="36">
        <v>193</v>
      </c>
      <c r="C195" s="569">
        <v>41148</v>
      </c>
      <c r="D195" s="579" t="s">
        <v>346</v>
      </c>
      <c r="E195" s="579" t="s">
        <v>393</v>
      </c>
      <c r="F195" s="498" t="s">
        <v>546</v>
      </c>
      <c r="G195" s="570" t="s">
        <v>544</v>
      </c>
      <c r="H195" s="570" t="s">
        <v>545</v>
      </c>
      <c r="I195" s="580" t="str">
        <f>Table1[[#This Row],[Staff]]</f>
        <v>Nicole</v>
      </c>
      <c r="J195" s="569">
        <f>Table1[[#This Row],[Date]]</f>
        <v>41148</v>
      </c>
      <c r="K195" s="525"/>
      <c r="L195" s="525"/>
    </row>
    <row r="196" spans="1:12" hidden="1" x14ac:dyDescent="0.2">
      <c r="A196" s="568">
        <v>1</v>
      </c>
      <c r="B196" s="36">
        <v>194</v>
      </c>
      <c r="C196" s="569">
        <v>41148</v>
      </c>
      <c r="D196" s="579" t="s">
        <v>346</v>
      </c>
      <c r="E196" s="579" t="s">
        <v>73</v>
      </c>
      <c r="F196" s="498" t="s">
        <v>546</v>
      </c>
      <c r="G196" s="570" t="s">
        <v>544</v>
      </c>
      <c r="H196" s="570" t="s">
        <v>545</v>
      </c>
      <c r="I196" s="580" t="str">
        <f>Table1[[#This Row],[Staff]]</f>
        <v>Nicole</v>
      </c>
      <c r="J196" s="569">
        <f>Table1[[#This Row],[Date]]</f>
        <v>41148</v>
      </c>
      <c r="K196" s="525"/>
      <c r="L196" s="525"/>
    </row>
    <row r="197" spans="1:12" hidden="1" x14ac:dyDescent="0.2">
      <c r="A197" s="568">
        <v>1</v>
      </c>
      <c r="B197" s="36">
        <v>195</v>
      </c>
      <c r="C197" s="569">
        <v>41148</v>
      </c>
      <c r="D197" s="579" t="s">
        <v>346</v>
      </c>
      <c r="E197" s="579" t="s">
        <v>82</v>
      </c>
      <c r="F197" s="498" t="s">
        <v>546</v>
      </c>
      <c r="G197" s="570" t="s">
        <v>544</v>
      </c>
      <c r="H197" s="570" t="s">
        <v>545</v>
      </c>
      <c r="I197" s="580" t="str">
        <f>Table1[[#This Row],[Staff]]</f>
        <v>Nicole</v>
      </c>
      <c r="J197" s="569">
        <f>Table1[[#This Row],[Date]]</f>
        <v>41148</v>
      </c>
      <c r="K197" s="525"/>
      <c r="L197" s="525"/>
    </row>
    <row r="198" spans="1:12" hidden="1" x14ac:dyDescent="0.2">
      <c r="A198" s="568">
        <v>1</v>
      </c>
      <c r="B198" s="36">
        <v>196</v>
      </c>
      <c r="C198" s="569">
        <v>41148</v>
      </c>
      <c r="D198" s="579" t="s">
        <v>346</v>
      </c>
      <c r="E198" s="579" t="s">
        <v>397</v>
      </c>
      <c r="F198" s="498" t="s">
        <v>546</v>
      </c>
      <c r="G198" s="570" t="s">
        <v>544</v>
      </c>
      <c r="H198" s="570" t="s">
        <v>545</v>
      </c>
      <c r="I198" s="580" t="str">
        <f>Table1[[#This Row],[Staff]]</f>
        <v>Nicole</v>
      </c>
      <c r="J198" s="569">
        <f>Table1[[#This Row],[Date]]</f>
        <v>41148</v>
      </c>
      <c r="K198" s="525"/>
      <c r="L198" s="525"/>
    </row>
    <row r="199" spans="1:12" ht="28.5" hidden="1" x14ac:dyDescent="0.2">
      <c r="A199" s="568">
        <v>1</v>
      </c>
      <c r="B199" s="36">
        <v>197</v>
      </c>
      <c r="C199" s="569">
        <v>41148</v>
      </c>
      <c r="D199" s="579" t="s">
        <v>346</v>
      </c>
      <c r="E199" s="579" t="s">
        <v>353</v>
      </c>
      <c r="F199" s="498" t="s">
        <v>547</v>
      </c>
      <c r="G199" s="570" t="s">
        <v>548</v>
      </c>
      <c r="H199" s="570" t="s">
        <v>549</v>
      </c>
      <c r="I199" s="580" t="str">
        <f>Table1[[#This Row],[Staff]]</f>
        <v>Nicole</v>
      </c>
      <c r="J199" s="569">
        <f>Table1[[#This Row],[Date]]</f>
        <v>41148</v>
      </c>
      <c r="K199" s="525"/>
      <c r="L199" s="525"/>
    </row>
    <row r="200" spans="1:12" ht="28.5" hidden="1" x14ac:dyDescent="0.2">
      <c r="A200" s="568">
        <v>1</v>
      </c>
      <c r="B200" s="36">
        <v>198</v>
      </c>
      <c r="C200" s="569">
        <v>41148</v>
      </c>
      <c r="D200" s="579" t="s">
        <v>346</v>
      </c>
      <c r="E200" s="579" t="s">
        <v>353</v>
      </c>
      <c r="F200" s="498" t="s">
        <v>550</v>
      </c>
      <c r="G200" s="570" t="s">
        <v>551</v>
      </c>
      <c r="H200" s="570" t="s">
        <v>486</v>
      </c>
      <c r="I200" s="580" t="str">
        <f>Table1[[#This Row],[Staff]]</f>
        <v>Nicole</v>
      </c>
      <c r="J200" s="569">
        <f>Table1[[#This Row],[Date]]</f>
        <v>41148</v>
      </c>
      <c r="K200" s="525"/>
      <c r="L200" s="525"/>
    </row>
    <row r="201" spans="1:12" hidden="1" x14ac:dyDescent="0.2">
      <c r="A201" s="568">
        <v>1</v>
      </c>
      <c r="B201" s="36">
        <v>199</v>
      </c>
      <c r="C201" s="569">
        <v>41148</v>
      </c>
      <c r="D201" s="579" t="s">
        <v>346</v>
      </c>
      <c r="E201" s="579" t="s">
        <v>153</v>
      </c>
      <c r="F201" s="498" t="s">
        <v>552</v>
      </c>
      <c r="G201" s="570" t="s">
        <v>554</v>
      </c>
      <c r="H201" s="570" t="s">
        <v>555</v>
      </c>
      <c r="I201" s="580" t="str">
        <f>Table1[[#This Row],[Staff]]</f>
        <v>Nicole</v>
      </c>
      <c r="J201" s="569">
        <f>Table1[[#This Row],[Date]]</f>
        <v>41148</v>
      </c>
      <c r="K201" s="525"/>
      <c r="L201" s="525"/>
    </row>
    <row r="202" spans="1:12" hidden="1" x14ac:dyDescent="0.2">
      <c r="A202" s="568">
        <v>1</v>
      </c>
      <c r="B202" s="36">
        <v>200</v>
      </c>
      <c r="C202" s="569">
        <v>41148</v>
      </c>
      <c r="D202" s="579" t="s">
        <v>346</v>
      </c>
      <c r="E202" s="579" t="s">
        <v>153</v>
      </c>
      <c r="F202" s="498" t="s">
        <v>553</v>
      </c>
      <c r="G202" s="570" t="s">
        <v>554</v>
      </c>
      <c r="H202" s="570" t="s">
        <v>555</v>
      </c>
      <c r="I202" s="580" t="str">
        <f>Table1[[#This Row],[Staff]]</f>
        <v>Nicole</v>
      </c>
      <c r="J202" s="569">
        <f>Table1[[#This Row],[Date]]</f>
        <v>41148</v>
      </c>
      <c r="K202" s="525"/>
      <c r="L202" s="525"/>
    </row>
    <row r="203" spans="1:12" ht="42.75" hidden="1" x14ac:dyDescent="0.2">
      <c r="A203" s="568">
        <v>1</v>
      </c>
      <c r="B203" s="36">
        <v>201</v>
      </c>
      <c r="C203" s="569">
        <v>41148</v>
      </c>
      <c r="D203" s="579" t="s">
        <v>346</v>
      </c>
      <c r="E203" s="579" t="s">
        <v>58</v>
      </c>
      <c r="F203" s="498" t="s">
        <v>556</v>
      </c>
      <c r="G203" s="570" t="s">
        <v>557</v>
      </c>
      <c r="H203" s="570" t="s">
        <v>558</v>
      </c>
      <c r="I203" s="580" t="str">
        <f>Table1[[#This Row],[Staff]]</f>
        <v>Nicole</v>
      </c>
      <c r="J203" s="569">
        <f>Table1[[#This Row],[Date]]</f>
        <v>41148</v>
      </c>
      <c r="K203" s="525"/>
      <c r="L203" s="525"/>
    </row>
    <row r="204" spans="1:12" ht="28.5" hidden="1" x14ac:dyDescent="0.2">
      <c r="A204" s="568">
        <v>1</v>
      </c>
      <c r="B204" s="36">
        <v>202</v>
      </c>
      <c r="C204" s="569">
        <v>41148</v>
      </c>
      <c r="D204" s="579" t="s">
        <v>346</v>
      </c>
      <c r="E204" s="579" t="s">
        <v>369</v>
      </c>
      <c r="F204" s="498" t="s">
        <v>556</v>
      </c>
      <c r="G204" s="570" t="s">
        <v>559</v>
      </c>
      <c r="H204" s="570" t="s">
        <v>560</v>
      </c>
      <c r="I204" s="580" t="str">
        <f>Table1[[#This Row],[Staff]]</f>
        <v>Nicole</v>
      </c>
      <c r="J204" s="569">
        <f>Table1[[#This Row],[Date]]</f>
        <v>41148</v>
      </c>
      <c r="K204" s="525"/>
      <c r="L204" s="525"/>
    </row>
    <row r="205" spans="1:12" ht="28.5" hidden="1" x14ac:dyDescent="0.2">
      <c r="A205" s="568">
        <v>1</v>
      </c>
      <c r="B205" s="36">
        <v>203</v>
      </c>
      <c r="C205" s="569">
        <v>41148</v>
      </c>
      <c r="D205" s="579" t="s">
        <v>346</v>
      </c>
      <c r="E205" s="581" t="s">
        <v>369</v>
      </c>
      <c r="F205" s="498" t="s">
        <v>561</v>
      </c>
      <c r="G205" s="570" t="s">
        <v>559</v>
      </c>
      <c r="H205" s="570" t="s">
        <v>560</v>
      </c>
      <c r="I205" s="580" t="str">
        <f>Table1[[#This Row],[Staff]]</f>
        <v>Nicole</v>
      </c>
      <c r="J205" s="569">
        <f>Table1[[#This Row],[Date]]</f>
        <v>41148</v>
      </c>
      <c r="K205" s="525"/>
      <c r="L205" s="525"/>
    </row>
    <row r="206" spans="1:12" ht="28.5" hidden="1" x14ac:dyDescent="0.2">
      <c r="A206" s="568">
        <v>1</v>
      </c>
      <c r="B206" s="36">
        <v>204</v>
      </c>
      <c r="C206" s="569">
        <v>41148</v>
      </c>
      <c r="D206" s="579" t="s">
        <v>346</v>
      </c>
      <c r="E206" s="581" t="s">
        <v>369</v>
      </c>
      <c r="F206" s="498" t="s">
        <v>562</v>
      </c>
      <c r="G206" s="570" t="s">
        <v>559</v>
      </c>
      <c r="H206" s="570" t="s">
        <v>560</v>
      </c>
      <c r="I206" s="580" t="str">
        <f>Table1[[#This Row],[Staff]]</f>
        <v>Nicole</v>
      </c>
      <c r="J206" s="569">
        <f>Table1[[#This Row],[Date]]</f>
        <v>41148</v>
      </c>
      <c r="K206" s="525"/>
      <c r="L206" s="525"/>
    </row>
    <row r="207" spans="1:12" ht="28.5" hidden="1" x14ac:dyDescent="0.2">
      <c r="A207" s="568">
        <v>1</v>
      </c>
      <c r="B207" s="36">
        <v>205</v>
      </c>
      <c r="C207" s="569">
        <v>41148</v>
      </c>
      <c r="D207" s="579" t="s">
        <v>346</v>
      </c>
      <c r="E207" s="581" t="s">
        <v>369</v>
      </c>
      <c r="F207" s="498" t="s">
        <v>563</v>
      </c>
      <c r="G207" s="570" t="s">
        <v>559</v>
      </c>
      <c r="H207" s="570" t="s">
        <v>560</v>
      </c>
      <c r="I207" s="580" t="str">
        <f>Table1[[#This Row],[Staff]]</f>
        <v>Nicole</v>
      </c>
      <c r="J207" s="569">
        <f>Table1[[#This Row],[Date]]</f>
        <v>41148</v>
      </c>
      <c r="K207" s="525"/>
      <c r="L207" s="525"/>
    </row>
    <row r="208" spans="1:12" ht="28.5" hidden="1" x14ac:dyDescent="0.2">
      <c r="A208" s="568">
        <v>1</v>
      </c>
      <c r="B208" s="36">
        <v>206</v>
      </c>
      <c r="C208" s="569">
        <v>41148</v>
      </c>
      <c r="D208" s="579" t="s">
        <v>346</v>
      </c>
      <c r="E208" s="581" t="s">
        <v>369</v>
      </c>
      <c r="F208" s="498" t="s">
        <v>564</v>
      </c>
      <c r="G208" s="570" t="s">
        <v>559</v>
      </c>
      <c r="H208" s="570" t="s">
        <v>560</v>
      </c>
      <c r="I208" s="580" t="str">
        <f>Table1[[#This Row],[Staff]]</f>
        <v>Nicole</v>
      </c>
      <c r="J208" s="569">
        <f>Table1[[#This Row],[Date]]</f>
        <v>41148</v>
      </c>
      <c r="K208" s="525"/>
      <c r="L208" s="525"/>
    </row>
    <row r="209" spans="1:35" ht="28.5" hidden="1" x14ac:dyDescent="0.2">
      <c r="A209" s="568">
        <v>1</v>
      </c>
      <c r="B209" s="36">
        <v>207</v>
      </c>
      <c r="C209" s="569">
        <v>41148</v>
      </c>
      <c r="D209" s="579" t="s">
        <v>346</v>
      </c>
      <c r="E209" s="581" t="s">
        <v>369</v>
      </c>
      <c r="F209" s="498" t="s">
        <v>565</v>
      </c>
      <c r="G209" s="570" t="s">
        <v>559</v>
      </c>
      <c r="H209" s="570" t="s">
        <v>560</v>
      </c>
      <c r="I209" s="580" t="str">
        <f>Table1[[#This Row],[Staff]]</f>
        <v>Nicole</v>
      </c>
      <c r="J209" s="569">
        <f>Table1[[#This Row],[Date]]</f>
        <v>41148</v>
      </c>
      <c r="K209" s="525"/>
      <c r="L209" s="525"/>
    </row>
    <row r="210" spans="1:35" ht="28.5" hidden="1" x14ac:dyDescent="0.2">
      <c r="A210" s="568">
        <v>1</v>
      </c>
      <c r="B210" s="36">
        <v>208</v>
      </c>
      <c r="C210" s="569">
        <v>41148</v>
      </c>
      <c r="D210" s="579" t="s">
        <v>346</v>
      </c>
      <c r="E210" s="581" t="s">
        <v>369</v>
      </c>
      <c r="F210" s="498" t="s">
        <v>566</v>
      </c>
      <c r="G210" s="570" t="s">
        <v>559</v>
      </c>
      <c r="H210" s="570" t="s">
        <v>560</v>
      </c>
      <c r="I210" s="580" t="str">
        <f>Table1[[#This Row],[Staff]]</f>
        <v>Nicole</v>
      </c>
      <c r="J210" s="569">
        <f>Table1[[#This Row],[Date]]</f>
        <v>41148</v>
      </c>
      <c r="K210" s="525"/>
      <c r="L210" s="525"/>
    </row>
    <row r="211" spans="1:35" ht="28.5" hidden="1" x14ac:dyDescent="0.2">
      <c r="A211" s="568">
        <v>1</v>
      </c>
      <c r="B211" s="36">
        <v>209</v>
      </c>
      <c r="C211" s="569">
        <v>41148</v>
      </c>
      <c r="D211" s="579" t="s">
        <v>346</v>
      </c>
      <c r="E211" s="581" t="s">
        <v>369</v>
      </c>
      <c r="F211" s="498" t="s">
        <v>567</v>
      </c>
      <c r="G211" s="570" t="s">
        <v>559</v>
      </c>
      <c r="H211" s="570" t="s">
        <v>560</v>
      </c>
      <c r="I211" s="580" t="str">
        <f>Table1[[#This Row],[Staff]]</f>
        <v>Nicole</v>
      </c>
      <c r="J211" s="569">
        <f>Table1[[#This Row],[Date]]</f>
        <v>41148</v>
      </c>
      <c r="K211" s="525"/>
      <c r="L211" s="525"/>
    </row>
    <row r="212" spans="1:35" ht="28.5" hidden="1" x14ac:dyDescent="0.2">
      <c r="A212" s="568">
        <v>1</v>
      </c>
      <c r="B212" s="36">
        <v>210</v>
      </c>
      <c r="C212" s="569">
        <v>41148</v>
      </c>
      <c r="D212" s="579" t="s">
        <v>346</v>
      </c>
      <c r="E212" s="581" t="s">
        <v>369</v>
      </c>
      <c r="F212" s="498" t="s">
        <v>568</v>
      </c>
      <c r="G212" s="570" t="s">
        <v>559</v>
      </c>
      <c r="H212" s="570" t="s">
        <v>560</v>
      </c>
      <c r="I212" s="580" t="str">
        <f>Table1[[#This Row],[Staff]]</f>
        <v>Nicole</v>
      </c>
      <c r="J212" s="569">
        <f>Table1[[#This Row],[Date]]</f>
        <v>41148</v>
      </c>
      <c r="K212" s="525"/>
      <c r="L212" s="525"/>
    </row>
    <row r="213" spans="1:35" ht="28.5" hidden="1" x14ac:dyDescent="0.2">
      <c r="A213" s="568">
        <v>1</v>
      </c>
      <c r="B213" s="36">
        <v>211</v>
      </c>
      <c r="C213" s="569">
        <v>41148</v>
      </c>
      <c r="D213" s="579" t="s">
        <v>346</v>
      </c>
      <c r="E213" s="581" t="s">
        <v>369</v>
      </c>
      <c r="F213" s="498" t="s">
        <v>569</v>
      </c>
      <c r="G213" s="570" t="s">
        <v>559</v>
      </c>
      <c r="H213" s="570" t="s">
        <v>560</v>
      </c>
      <c r="I213" s="580" t="str">
        <f>Table1[[#This Row],[Staff]]</f>
        <v>Nicole</v>
      </c>
      <c r="J213" s="569">
        <f>Table1[[#This Row],[Date]]</f>
        <v>41148</v>
      </c>
      <c r="K213" s="525"/>
      <c r="L213" s="525"/>
    </row>
    <row r="214" spans="1:35" ht="42.75" hidden="1" x14ac:dyDescent="0.2">
      <c r="A214" s="568">
        <v>1</v>
      </c>
      <c r="B214" s="36">
        <v>212</v>
      </c>
      <c r="C214" s="569">
        <v>41148</v>
      </c>
      <c r="D214" s="582" t="s">
        <v>346</v>
      </c>
      <c r="E214" s="582" t="s">
        <v>352</v>
      </c>
      <c r="F214" s="498" t="s">
        <v>570</v>
      </c>
      <c r="G214" s="570" t="s">
        <v>571</v>
      </c>
      <c r="H214" s="570" t="s">
        <v>572</v>
      </c>
      <c r="I214" s="580" t="s">
        <v>455</v>
      </c>
      <c r="J214" s="569">
        <f>Table1[[#This Row],[Date]]</f>
        <v>41148</v>
      </c>
      <c r="K214" s="525"/>
      <c r="L214" s="525"/>
    </row>
    <row r="215" spans="1:35" ht="28.5" hidden="1" x14ac:dyDescent="0.2">
      <c r="A215" s="568">
        <v>1</v>
      </c>
      <c r="B215" s="36">
        <v>213</v>
      </c>
      <c r="C215" s="569">
        <v>41148</v>
      </c>
      <c r="D215" s="584" t="s">
        <v>455</v>
      </c>
      <c r="E215" s="584" t="s">
        <v>353</v>
      </c>
      <c r="G215" s="570" t="s">
        <v>573</v>
      </c>
      <c r="H215" s="570" t="s">
        <v>574</v>
      </c>
      <c r="I215" s="580" t="str">
        <f>IF(Table1[[#This Row],[Staff]]="","",Table1[[#This Row],[Staff]])</f>
        <v>Maggie</v>
      </c>
      <c r="J215" s="569">
        <f>Table1[[#This Row],[Date]]</f>
        <v>41148</v>
      </c>
      <c r="K215" s="525"/>
      <c r="L215" s="525"/>
    </row>
    <row r="216" spans="1:35" s="583" customFormat="1" hidden="1" x14ac:dyDescent="0.2">
      <c r="A216" s="595">
        <v>1</v>
      </c>
      <c r="B216" s="596">
        <v>214</v>
      </c>
      <c r="C216" s="597">
        <v>41149</v>
      </c>
      <c r="D216" s="28" t="s">
        <v>346</v>
      </c>
      <c r="E216" s="28" t="s">
        <v>6</v>
      </c>
      <c r="F216" s="598" t="s">
        <v>409</v>
      </c>
      <c r="G216" s="599" t="s">
        <v>576</v>
      </c>
      <c r="H216" s="599" t="s">
        <v>578</v>
      </c>
      <c r="I216" s="600" t="str">
        <f>IF(Table1[[#This Row],[Staff]]="","",Table1[[#This Row],[Staff]])</f>
        <v>Nicole</v>
      </c>
      <c r="J216" s="597">
        <f>Table1[[#This Row],[Date]]</f>
        <v>41149</v>
      </c>
      <c r="K216" s="525"/>
      <c r="L216" s="525"/>
      <c r="AF216" s="498"/>
      <c r="AG216" s="498"/>
      <c r="AH216" s="498"/>
      <c r="AI216" s="498"/>
    </row>
    <row r="217" spans="1:35" s="583" customFormat="1" hidden="1" x14ac:dyDescent="0.2">
      <c r="A217" s="568">
        <v>1</v>
      </c>
      <c r="B217" s="36">
        <v>215</v>
      </c>
      <c r="C217" s="569">
        <v>41149</v>
      </c>
      <c r="D217" s="587" t="s">
        <v>346</v>
      </c>
      <c r="E217" s="587" t="s">
        <v>6</v>
      </c>
      <c r="F217" s="498" t="s">
        <v>417</v>
      </c>
      <c r="G217" s="570" t="s">
        <v>576</v>
      </c>
      <c r="H217" s="570" t="s">
        <v>577</v>
      </c>
      <c r="I217" s="580" t="str">
        <f>IF(Table1[[#This Row],[Staff]]="","",Table1[[#This Row],[Staff]])</f>
        <v>Nicole</v>
      </c>
      <c r="J217" s="569">
        <f>Table1[[#This Row],[Date]]</f>
        <v>41149</v>
      </c>
      <c r="K217" s="525"/>
      <c r="L217" s="525"/>
      <c r="AF217" s="498"/>
      <c r="AG217" s="498"/>
      <c r="AH217" s="498"/>
      <c r="AI217" s="498"/>
    </row>
    <row r="218" spans="1:35" s="583" customFormat="1" hidden="1" x14ac:dyDescent="0.2">
      <c r="A218" s="568">
        <v>1</v>
      </c>
      <c r="B218" s="36">
        <v>216</v>
      </c>
      <c r="C218" s="569">
        <v>41149</v>
      </c>
      <c r="D218" s="587" t="s">
        <v>346</v>
      </c>
      <c r="E218" s="587" t="s">
        <v>6</v>
      </c>
      <c r="F218" s="498" t="s">
        <v>410</v>
      </c>
      <c r="G218" s="570" t="s">
        <v>576</v>
      </c>
      <c r="H218" s="570" t="s">
        <v>577</v>
      </c>
      <c r="I218" s="580" t="str">
        <f>IF(Table1[[#This Row],[Staff]]="","",Table1[[#This Row],[Staff]])</f>
        <v>Nicole</v>
      </c>
      <c r="J218" s="569">
        <f>Table1[[#This Row],[Date]]</f>
        <v>41149</v>
      </c>
      <c r="K218" s="525"/>
      <c r="L218" s="525"/>
      <c r="AF218" s="498"/>
      <c r="AG218" s="498"/>
      <c r="AH218" s="498"/>
      <c r="AI218" s="498"/>
    </row>
    <row r="219" spans="1:35" s="583" customFormat="1" hidden="1" x14ac:dyDescent="0.2">
      <c r="A219" s="568">
        <v>1</v>
      </c>
      <c r="B219" s="36">
        <v>217</v>
      </c>
      <c r="C219" s="569">
        <v>41149</v>
      </c>
      <c r="D219" s="587" t="s">
        <v>346</v>
      </c>
      <c r="E219" s="587" t="s">
        <v>6</v>
      </c>
      <c r="F219" s="498" t="s">
        <v>411</v>
      </c>
      <c r="G219" s="570" t="s">
        <v>576</v>
      </c>
      <c r="H219" s="570" t="s">
        <v>577</v>
      </c>
      <c r="I219" s="580" t="str">
        <f>IF(Table1[[#This Row],[Staff]]="","",Table1[[#This Row],[Staff]])</f>
        <v>Nicole</v>
      </c>
      <c r="J219" s="569">
        <f>Table1[[#This Row],[Date]]</f>
        <v>41149</v>
      </c>
      <c r="K219" s="525"/>
      <c r="L219" s="525"/>
      <c r="AF219" s="498"/>
      <c r="AG219" s="498"/>
      <c r="AH219" s="498"/>
      <c r="AI219" s="498"/>
    </row>
    <row r="220" spans="1:35" s="583" customFormat="1" hidden="1" x14ac:dyDescent="0.2">
      <c r="A220" s="568">
        <v>1</v>
      </c>
      <c r="B220" s="36">
        <v>218</v>
      </c>
      <c r="C220" s="569">
        <v>41149</v>
      </c>
      <c r="D220" s="587" t="s">
        <v>346</v>
      </c>
      <c r="E220" s="587" t="s">
        <v>6</v>
      </c>
      <c r="F220" s="498" t="s">
        <v>412</v>
      </c>
      <c r="G220" s="570" t="s">
        <v>576</v>
      </c>
      <c r="H220" s="570" t="s">
        <v>577</v>
      </c>
      <c r="I220" s="580" t="str">
        <f>IF(Table1[[#This Row],[Staff]]="","",Table1[[#This Row],[Staff]])</f>
        <v>Nicole</v>
      </c>
      <c r="J220" s="569">
        <f>Table1[[#This Row],[Date]]</f>
        <v>41149</v>
      </c>
      <c r="K220" s="525"/>
      <c r="L220" s="525"/>
      <c r="AF220" s="498"/>
      <c r="AG220" s="498"/>
      <c r="AH220" s="498"/>
      <c r="AI220" s="498"/>
    </row>
    <row r="221" spans="1:35" s="583" customFormat="1" hidden="1" x14ac:dyDescent="0.2">
      <c r="A221" s="568">
        <v>1</v>
      </c>
      <c r="B221" s="36">
        <v>219</v>
      </c>
      <c r="C221" s="569">
        <v>41149</v>
      </c>
      <c r="D221" s="587" t="s">
        <v>346</v>
      </c>
      <c r="E221" s="587" t="s">
        <v>369</v>
      </c>
      <c r="F221" s="498" t="s">
        <v>424</v>
      </c>
      <c r="G221" s="570" t="s">
        <v>576</v>
      </c>
      <c r="H221" s="570" t="s">
        <v>577</v>
      </c>
      <c r="I221" s="580" t="str">
        <f>IF(Table1[[#This Row],[Staff]]="","",Table1[[#This Row],[Staff]])</f>
        <v>Nicole</v>
      </c>
      <c r="J221" s="569">
        <f>Table1[[#This Row],[Date]]</f>
        <v>41149</v>
      </c>
      <c r="K221" s="525"/>
      <c r="L221" s="525"/>
      <c r="AF221" s="498"/>
      <c r="AG221" s="498"/>
      <c r="AH221" s="498"/>
      <c r="AI221" s="498"/>
    </row>
    <row r="222" spans="1:35" s="583" customFormat="1" hidden="1" x14ac:dyDescent="0.2">
      <c r="A222" s="568">
        <v>1</v>
      </c>
      <c r="B222" s="36">
        <v>220</v>
      </c>
      <c r="C222" s="569">
        <v>41149</v>
      </c>
      <c r="D222" s="587" t="s">
        <v>346</v>
      </c>
      <c r="E222" s="587" t="s">
        <v>369</v>
      </c>
      <c r="F222" s="498" t="s">
        <v>425</v>
      </c>
      <c r="G222" s="570" t="s">
        <v>576</v>
      </c>
      <c r="H222" s="570" t="s">
        <v>577</v>
      </c>
      <c r="I222" s="580" t="str">
        <f>IF(Table1[[#This Row],[Staff]]="","",Table1[[#This Row],[Staff]])</f>
        <v>Nicole</v>
      </c>
      <c r="J222" s="569">
        <f>Table1[[#This Row],[Date]]</f>
        <v>41149</v>
      </c>
      <c r="K222" s="525"/>
      <c r="L222" s="525"/>
      <c r="AF222" s="498"/>
      <c r="AG222" s="498"/>
      <c r="AH222" s="498"/>
      <c r="AI222" s="498"/>
    </row>
    <row r="223" spans="1:35" s="583" customFormat="1" hidden="1" x14ac:dyDescent="0.2">
      <c r="A223" s="568">
        <v>1</v>
      </c>
      <c r="B223" s="36">
        <v>221</v>
      </c>
      <c r="C223" s="569">
        <v>41149</v>
      </c>
      <c r="D223" s="587" t="s">
        <v>346</v>
      </c>
      <c r="E223" s="587" t="s">
        <v>369</v>
      </c>
      <c r="F223" s="498" t="s">
        <v>426</v>
      </c>
      <c r="G223" s="570" t="s">
        <v>576</v>
      </c>
      <c r="H223" s="570" t="s">
        <v>577</v>
      </c>
      <c r="I223" s="580" t="str">
        <f>IF(Table1[[#This Row],[Staff]]="","",Table1[[#This Row],[Staff]])</f>
        <v>Nicole</v>
      </c>
      <c r="J223" s="569">
        <f>Table1[[#This Row],[Date]]</f>
        <v>41149</v>
      </c>
      <c r="K223" s="525"/>
      <c r="L223" s="525"/>
      <c r="AF223" s="498"/>
      <c r="AG223" s="498"/>
      <c r="AH223" s="498"/>
      <c r="AI223" s="498"/>
    </row>
    <row r="224" spans="1:35" s="583" customFormat="1" hidden="1" x14ac:dyDescent="0.2">
      <c r="A224" s="568">
        <v>1</v>
      </c>
      <c r="B224" s="36">
        <v>222</v>
      </c>
      <c r="C224" s="569">
        <v>41149</v>
      </c>
      <c r="D224" s="587" t="s">
        <v>346</v>
      </c>
      <c r="E224" s="587" t="s">
        <v>369</v>
      </c>
      <c r="F224" s="498" t="s">
        <v>427</v>
      </c>
      <c r="G224" s="570" t="s">
        <v>576</v>
      </c>
      <c r="H224" s="570" t="s">
        <v>577</v>
      </c>
      <c r="I224" s="580" t="str">
        <f>IF(Table1[[#This Row],[Staff]]="","",Table1[[#This Row],[Staff]])</f>
        <v>Nicole</v>
      </c>
      <c r="J224" s="569">
        <f>Table1[[#This Row],[Date]]</f>
        <v>41149</v>
      </c>
      <c r="K224" s="525"/>
      <c r="L224" s="525"/>
      <c r="AF224" s="498"/>
      <c r="AG224" s="498"/>
      <c r="AH224" s="498"/>
      <c r="AI224" s="498"/>
    </row>
    <row r="225" spans="1:35" s="583" customFormat="1" hidden="1" x14ac:dyDescent="0.2">
      <c r="A225" s="568">
        <v>1</v>
      </c>
      <c r="B225" s="36">
        <v>223</v>
      </c>
      <c r="C225" s="569">
        <v>41149</v>
      </c>
      <c r="D225" s="587" t="s">
        <v>346</v>
      </c>
      <c r="E225" s="587" t="s">
        <v>369</v>
      </c>
      <c r="F225" s="498" t="s">
        <v>428</v>
      </c>
      <c r="G225" s="570" t="s">
        <v>576</v>
      </c>
      <c r="H225" s="570" t="s">
        <v>577</v>
      </c>
      <c r="I225" s="580" t="str">
        <f>IF(Table1[[#This Row],[Staff]]="","",Table1[[#This Row],[Staff]])</f>
        <v>Nicole</v>
      </c>
      <c r="J225" s="569">
        <f>Table1[[#This Row],[Date]]</f>
        <v>41149</v>
      </c>
      <c r="K225" s="525"/>
      <c r="L225" s="525"/>
      <c r="AF225" s="498"/>
      <c r="AG225" s="498"/>
      <c r="AH225" s="498"/>
      <c r="AI225" s="498"/>
    </row>
    <row r="226" spans="1:35" s="583" customFormat="1" hidden="1" x14ac:dyDescent="0.2">
      <c r="A226" s="568">
        <v>1</v>
      </c>
      <c r="B226" s="36">
        <v>224</v>
      </c>
      <c r="C226" s="569">
        <v>41149</v>
      </c>
      <c r="D226" s="587" t="s">
        <v>346</v>
      </c>
      <c r="E226" s="587" t="s">
        <v>369</v>
      </c>
      <c r="F226" s="498" t="s">
        <v>429</v>
      </c>
      <c r="G226" s="570" t="s">
        <v>576</v>
      </c>
      <c r="H226" s="570" t="s">
        <v>577</v>
      </c>
      <c r="I226" s="580" t="str">
        <f>IF(Table1[[#This Row],[Staff]]="","",Table1[[#This Row],[Staff]])</f>
        <v>Nicole</v>
      </c>
      <c r="J226" s="569">
        <f>Table1[[#This Row],[Date]]</f>
        <v>41149</v>
      </c>
      <c r="K226" s="525"/>
      <c r="L226" s="525"/>
      <c r="AF226" s="498"/>
      <c r="AG226" s="498"/>
      <c r="AH226" s="498"/>
      <c r="AI226" s="498"/>
    </row>
    <row r="227" spans="1:35" s="583" customFormat="1" hidden="1" x14ac:dyDescent="0.2">
      <c r="A227" s="568">
        <v>1</v>
      </c>
      <c r="B227" s="36">
        <v>225</v>
      </c>
      <c r="C227" s="569">
        <v>41149</v>
      </c>
      <c r="D227" s="587" t="s">
        <v>346</v>
      </c>
      <c r="E227" s="587" t="s">
        <v>369</v>
      </c>
      <c r="F227" s="498" t="s">
        <v>430</v>
      </c>
      <c r="G227" s="570" t="s">
        <v>576</v>
      </c>
      <c r="H227" s="570" t="s">
        <v>577</v>
      </c>
      <c r="I227" s="580" t="str">
        <f>IF(Table1[[#This Row],[Staff]]="","",Table1[[#This Row],[Staff]])</f>
        <v>Nicole</v>
      </c>
      <c r="J227" s="569">
        <f>Table1[[#This Row],[Date]]</f>
        <v>41149</v>
      </c>
      <c r="K227" s="525"/>
      <c r="L227" s="525"/>
      <c r="AF227" s="498"/>
      <c r="AG227" s="498"/>
      <c r="AH227" s="498"/>
      <c r="AI227" s="498"/>
    </row>
    <row r="228" spans="1:35" s="583" customFormat="1" hidden="1" x14ac:dyDescent="0.2">
      <c r="A228" s="568">
        <v>1</v>
      </c>
      <c r="B228" s="36">
        <v>226</v>
      </c>
      <c r="C228" s="569">
        <v>41149</v>
      </c>
      <c r="D228" s="587" t="s">
        <v>346</v>
      </c>
      <c r="E228" s="587" t="s">
        <v>369</v>
      </c>
      <c r="F228" s="498" t="s">
        <v>431</v>
      </c>
      <c r="G228" s="570" t="s">
        <v>576</v>
      </c>
      <c r="H228" s="570" t="s">
        <v>577</v>
      </c>
      <c r="I228" s="580" t="str">
        <f>IF(Table1[[#This Row],[Staff]]="","",Table1[[#This Row],[Staff]])</f>
        <v>Nicole</v>
      </c>
      <c r="J228" s="569">
        <f>Table1[[#This Row],[Date]]</f>
        <v>41149</v>
      </c>
      <c r="K228" s="525"/>
      <c r="L228" s="525"/>
      <c r="AF228" s="498"/>
      <c r="AG228" s="498"/>
      <c r="AH228" s="498"/>
      <c r="AI228" s="498"/>
    </row>
    <row r="229" spans="1:35" s="583" customFormat="1" hidden="1" x14ac:dyDescent="0.2">
      <c r="A229" s="568">
        <v>1</v>
      </c>
      <c r="B229" s="36">
        <v>227</v>
      </c>
      <c r="C229" s="569">
        <v>41149</v>
      </c>
      <c r="D229" s="587" t="s">
        <v>346</v>
      </c>
      <c r="E229" s="587" t="s">
        <v>369</v>
      </c>
      <c r="F229" s="498" t="s">
        <v>432</v>
      </c>
      <c r="G229" s="570" t="s">
        <v>576</v>
      </c>
      <c r="H229" s="570" t="s">
        <v>577</v>
      </c>
      <c r="I229" s="580" t="str">
        <f>IF(Table1[[#This Row],[Staff]]="","",Table1[[#This Row],[Staff]])</f>
        <v>Nicole</v>
      </c>
      <c r="J229" s="569">
        <f>Table1[[#This Row],[Date]]</f>
        <v>41149</v>
      </c>
      <c r="K229" s="525"/>
      <c r="L229" s="525"/>
      <c r="AF229" s="498"/>
      <c r="AG229" s="498"/>
      <c r="AH229" s="498"/>
      <c r="AI229" s="498"/>
    </row>
    <row r="230" spans="1:35" s="591" customFormat="1" ht="42.75" hidden="1" x14ac:dyDescent="0.2">
      <c r="A230" s="588">
        <v>1</v>
      </c>
      <c r="B230" s="589">
        <v>228</v>
      </c>
      <c r="C230" s="590">
        <v>41149</v>
      </c>
      <c r="D230" s="591" t="s">
        <v>346</v>
      </c>
      <c r="E230" s="591" t="s">
        <v>369</v>
      </c>
      <c r="F230" s="592" t="s">
        <v>433</v>
      </c>
      <c r="G230" s="593" t="s">
        <v>576</v>
      </c>
      <c r="H230" s="593" t="s">
        <v>579</v>
      </c>
      <c r="I230" s="594" t="str">
        <f>IF(Table1[[#This Row],[Staff]]="","",Table1[[#This Row],[Staff]])</f>
        <v>Nicole</v>
      </c>
      <c r="J230" s="590">
        <f>Table1[[#This Row],[Date]]</f>
        <v>41149</v>
      </c>
      <c r="K230" s="601"/>
      <c r="L230" s="601"/>
      <c r="AF230" s="592"/>
      <c r="AG230" s="592"/>
      <c r="AH230" s="592"/>
      <c r="AI230" s="592"/>
    </row>
    <row r="231" spans="1:35" s="583" customFormat="1" x14ac:dyDescent="0.2">
      <c r="A231" s="568">
        <v>1</v>
      </c>
      <c r="B231" s="36">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x14ac:dyDescent="0.2">
      <c r="A232" s="568">
        <v>1</v>
      </c>
      <c r="B232" s="36">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x14ac:dyDescent="0.2">
      <c r="A233" s="568">
        <v>1</v>
      </c>
      <c r="B233" s="36">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x14ac:dyDescent="0.2">
      <c r="A234" s="568">
        <v>1</v>
      </c>
      <c r="B234" s="36">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x14ac:dyDescent="0.2">
      <c r="A235" s="568">
        <v>1</v>
      </c>
      <c r="B235" s="36">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x14ac:dyDescent="0.2">
      <c r="A236" s="568">
        <v>1</v>
      </c>
      <c r="B236" s="36">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x14ac:dyDescent="0.2">
      <c r="A237" s="568">
        <v>1</v>
      </c>
      <c r="B237" s="36">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x14ac:dyDescent="0.2">
      <c r="A238" s="568">
        <v>1</v>
      </c>
      <c r="B238" s="36">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x14ac:dyDescent="0.2">
      <c r="A239" s="568">
        <v>1</v>
      </c>
      <c r="B239" s="36">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x14ac:dyDescent="0.2">
      <c r="A240" s="568"/>
      <c r="B240" s="36">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x14ac:dyDescent="0.2">
      <c r="A241" s="568"/>
      <c r="B241" s="36">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x14ac:dyDescent="0.2">
      <c r="A242" s="568"/>
      <c r="B242" s="36">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x14ac:dyDescent="0.2">
      <c r="A243" s="568"/>
      <c r="B243" s="36">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x14ac:dyDescent="0.2">
      <c r="A244" s="568"/>
      <c r="B244" s="36">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x14ac:dyDescent="0.2">
      <c r="A245" s="568"/>
      <c r="B245" s="36">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x14ac:dyDescent="0.2">
      <c r="A246" s="568"/>
      <c r="B246" s="36">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x14ac:dyDescent="0.2">
      <c r="A247" s="568"/>
      <c r="B247" s="36">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x14ac:dyDescent="0.2">
      <c r="A248" s="568"/>
      <c r="B248" s="36">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x14ac:dyDescent="0.2">
      <c r="A249" s="568"/>
      <c r="B249" s="36">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x14ac:dyDescent="0.2">
      <c r="A250" s="568"/>
      <c r="B250" s="36">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x14ac:dyDescent="0.2">
      <c r="A251" s="568"/>
      <c r="B251" s="36">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x14ac:dyDescent="0.2">
      <c r="A252" s="568"/>
      <c r="B252" s="36">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x14ac:dyDescent="0.2">
      <c r="A253" s="568"/>
      <c r="B253" s="36">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x14ac:dyDescent="0.2">
      <c r="A254" s="568"/>
      <c r="B254" s="36">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x14ac:dyDescent="0.2">
      <c r="A255" s="568"/>
      <c r="B255" s="36">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x14ac:dyDescent="0.2">
      <c r="A256" s="568"/>
      <c r="B256" s="36">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x14ac:dyDescent="0.2">
      <c r="A257" s="568"/>
      <c r="B257" s="36">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x14ac:dyDescent="0.2">
      <c r="A258" s="568"/>
      <c r="B258" s="36">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x14ac:dyDescent="0.2">
      <c r="A259" s="568"/>
      <c r="B259" s="36">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x14ac:dyDescent="0.2">
      <c r="A260" s="568"/>
      <c r="B260" s="36">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x14ac:dyDescent="0.2">
      <c r="A261" s="568"/>
      <c r="B261" s="36">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x14ac:dyDescent="0.2">
      <c r="A262" s="568"/>
      <c r="B262" s="36">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x14ac:dyDescent="0.2">
      <c r="A263" s="568"/>
      <c r="B263" s="36">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x14ac:dyDescent="0.2">
      <c r="A264" s="568"/>
      <c r="B264" s="36">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x14ac:dyDescent="0.2">
      <c r="A265" s="568"/>
      <c r="B265" s="36">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x14ac:dyDescent="0.2">
      <c r="A266" s="568"/>
      <c r="B266" s="36">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x14ac:dyDescent="0.2">
      <c r="A267" s="568"/>
      <c r="B267" s="36">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x14ac:dyDescent="0.2">
      <c r="A268" s="568"/>
      <c r="B268" s="36">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x14ac:dyDescent="0.2">
      <c r="A269" s="568"/>
      <c r="B269" s="36">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x14ac:dyDescent="0.2">
      <c r="A270" s="568"/>
      <c r="B270" s="36">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x14ac:dyDescent="0.2">
      <c r="A271" s="568"/>
      <c r="B271" s="36">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x14ac:dyDescent="0.2">
      <c r="A272" s="568"/>
      <c r="B272" s="36">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x14ac:dyDescent="0.2">
      <c r="A273" s="568"/>
      <c r="B273" s="36">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x14ac:dyDescent="0.2">
      <c r="A274" s="568"/>
      <c r="B274" s="36">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x14ac:dyDescent="0.2">
      <c r="A275" s="568"/>
      <c r="B275" s="36">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x14ac:dyDescent="0.2">
      <c r="A276" s="568"/>
      <c r="B276" s="36">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x14ac:dyDescent="0.2">
      <c r="A277" s="568"/>
      <c r="B277" s="36">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x14ac:dyDescent="0.2">
      <c r="A278" s="568"/>
      <c r="B278" s="36">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x14ac:dyDescent="0.2">
      <c r="A279" s="568"/>
      <c r="B279" s="36">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x14ac:dyDescent="0.2">
      <c r="A280" s="568"/>
      <c r="B280" s="36">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x14ac:dyDescent="0.2">
      <c r="A281" s="568"/>
      <c r="B281" s="36">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x14ac:dyDescent="0.2">
      <c r="A282" s="568"/>
      <c r="B282" s="36">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x14ac:dyDescent="0.2">
      <c r="A283" s="568"/>
      <c r="B283" s="36">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x14ac:dyDescent="0.2">
      <c r="A284" s="568"/>
      <c r="B284" s="36">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x14ac:dyDescent="0.2">
      <c r="A285" s="568"/>
      <c r="B285" s="36">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x14ac:dyDescent="0.2">
      <c r="A286" s="568"/>
      <c r="B286" s="36">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x14ac:dyDescent="0.2">
      <c r="A287" s="568"/>
      <c r="B287" s="36">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x14ac:dyDescent="0.2">
      <c r="A288" s="568"/>
      <c r="B288" s="36">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x14ac:dyDescent="0.2">
      <c r="A289" s="568"/>
      <c r="B289" s="36">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x14ac:dyDescent="0.2">
      <c r="A290" s="568"/>
      <c r="B290" s="36">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x14ac:dyDescent="0.2">
      <c r="A291" s="568"/>
      <c r="B291" s="36">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x14ac:dyDescent="0.2">
      <c r="A292" s="568"/>
      <c r="B292" s="36">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x14ac:dyDescent="0.2">
      <c r="A293" s="568"/>
      <c r="B293" s="36">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x14ac:dyDescent="0.2">
      <c r="A294" s="568"/>
      <c r="B294" s="36">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x14ac:dyDescent="0.2">
      <c r="A295" s="568"/>
      <c r="B295" s="36">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x14ac:dyDescent="0.2">
      <c r="A296" s="568"/>
      <c r="B296" s="36">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x14ac:dyDescent="0.2">
      <c r="A297" s="568"/>
      <c r="B297" s="36">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x14ac:dyDescent="0.2">
      <c r="A298" s="568"/>
      <c r="B298" s="36">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x14ac:dyDescent="0.2">
      <c r="A299" s="568"/>
      <c r="B299" s="36">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x14ac:dyDescent="0.2">
      <c r="A300" s="568"/>
      <c r="B300" s="36">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x14ac:dyDescent="0.2">
      <c r="A301" s="568"/>
      <c r="B301" s="36">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x14ac:dyDescent="0.2">
      <c r="A302" s="568"/>
      <c r="B302" s="36">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x14ac:dyDescent="0.2">
      <c r="A303" s="568"/>
      <c r="B303" s="36">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x14ac:dyDescent="0.2">
      <c r="A304" s="568"/>
      <c r="B304" s="36">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x14ac:dyDescent="0.2">
      <c r="A305" s="568"/>
      <c r="B305" s="36">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x14ac:dyDescent="0.2">
      <c r="A306" s="568"/>
      <c r="B306" s="36">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x14ac:dyDescent="0.2">
      <c r="A307" s="568"/>
      <c r="B307" s="36">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x14ac:dyDescent="0.2">
      <c r="A308" s="568"/>
      <c r="B308" s="36">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x14ac:dyDescent="0.2">
      <c r="A309" s="568"/>
      <c r="B309" s="36">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x14ac:dyDescent="0.2">
      <c r="A310" s="568"/>
      <c r="B310" s="36">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x14ac:dyDescent="0.2">
      <c r="A311" s="568"/>
      <c r="B311" s="36">
        <v>309</v>
      </c>
      <c r="C311" s="569"/>
      <c r="F311" s="498"/>
      <c r="G311" s="570"/>
      <c r="H311" s="570"/>
      <c r="I311" s="580" t="str">
        <f>IF(Table1[[#This Row],[Staff]]="","",Table1[[#This Row],[Staff]])</f>
        <v/>
      </c>
      <c r="J311" s="569">
        <f>Table1[[#This Row],[Date]]</f>
        <v>0</v>
      </c>
      <c r="K311" s="525"/>
      <c r="L311" s="525"/>
      <c r="AF311" s="498"/>
      <c r="AG311" s="498"/>
      <c r="AH311" s="498"/>
      <c r="AI311" s="498"/>
    </row>
    <row r="312" spans="1:35" x14ac:dyDescent="0.2">
      <c r="B312" s="36">
        <v>310</v>
      </c>
      <c r="C312" s="569" t="s">
        <v>0</v>
      </c>
      <c r="I312" s="580" t="str">
        <f>IF(Table1[[#This Row],[Staff]]="","",Table1[[#This Row],[Staff]])</f>
        <v/>
      </c>
      <c r="J312" s="569" t="str">
        <f>Table1[[#This Row],[Date]]</f>
        <v xml:space="preserve"> </v>
      </c>
      <c r="K312" s="525"/>
      <c r="L312" s="525"/>
    </row>
    <row r="313" spans="1:35" x14ac:dyDescent="0.2">
      <c r="B313" s="36">
        <v>311</v>
      </c>
      <c r="C313" s="569" t="s">
        <v>0</v>
      </c>
      <c r="I313" s="580" t="str">
        <f>IF(Table1[[#This Row],[Staff]]="","",Table1[[#This Row],[Staff]])</f>
        <v/>
      </c>
      <c r="J313" s="569" t="str">
        <f>Table1[[#This Row],[Date]]</f>
        <v xml:space="preserve"> </v>
      </c>
      <c r="K313" s="525"/>
      <c r="L313" s="525"/>
    </row>
    <row r="314" spans="1:35" x14ac:dyDescent="0.2">
      <c r="B314" s="36">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S42"/>
  <sheetViews>
    <sheetView showGridLines="0" topLeftCell="B1" zoomScaleNormal="100" workbookViewId="0">
      <selection activeCell="O19" sqref="O19"/>
    </sheetView>
  </sheetViews>
  <sheetFormatPr defaultColWidth="3.25" defaultRowHeight="20.25" outlineLevelCol="1" x14ac:dyDescent="0.3"/>
  <cols>
    <col min="1" max="1" width="14" style="301" customWidth="1"/>
    <col min="2" max="2" width="2.625" style="160" customWidth="1"/>
    <col min="3" max="3" width="4" style="43" customWidth="1"/>
    <col min="4" max="4" width="27.125" style="432" customWidth="1"/>
    <col min="5" max="16" width="3.25" style="432" customWidth="1"/>
    <col min="17" max="17" width="14.375" style="432" customWidth="1"/>
    <col min="18" max="18" width="2.625" style="432" customWidth="1"/>
    <col min="19" max="19" width="2.625" customWidth="1"/>
    <col min="20" max="20" width="30.375" style="36" customWidth="1"/>
    <col min="21" max="21" width="24" hidden="1" customWidth="1" outlineLevel="1"/>
    <col min="22" max="22" width="14.875" style="37" hidden="1" customWidth="1" outlineLevel="1"/>
    <col min="23" max="23" width="24.625" customWidth="1" collapsed="1"/>
    <col min="24" max="24" width="16.5" customWidth="1"/>
    <col min="25" max="25" width="18" customWidth="1"/>
    <col min="26" max="34" width="31.125" customWidth="1"/>
  </cols>
  <sheetData>
    <row r="1" spans="1:45" s="160" customFormat="1" ht="21" customHeight="1" x14ac:dyDescent="0.2">
      <c r="A1" s="301"/>
      <c r="B1" s="333"/>
      <c r="C1" s="333"/>
      <c r="D1" s="333"/>
      <c r="E1" s="333"/>
      <c r="F1" s="333"/>
      <c r="G1" s="333"/>
      <c r="H1" s="333"/>
      <c r="I1" s="333"/>
      <c r="J1" s="333"/>
      <c r="K1" s="333"/>
      <c r="L1" s="333"/>
      <c r="M1" s="333"/>
      <c r="N1" s="333"/>
      <c r="O1" s="333"/>
      <c r="P1" s="333"/>
      <c r="Q1" s="333"/>
      <c r="R1" s="333"/>
      <c r="S1" s="333"/>
      <c r="T1" s="36"/>
    </row>
    <row r="2" spans="1:45" s="7" customFormat="1" ht="21" customHeight="1" x14ac:dyDescent="0.3">
      <c r="A2" s="28"/>
      <c r="B2" s="333"/>
      <c r="C2" s="53"/>
      <c r="D2" s="629" t="s">
        <v>7</v>
      </c>
      <c r="E2" s="629"/>
      <c r="F2" s="629"/>
      <c r="G2" s="629"/>
      <c r="H2" s="635">
        <f ca="1">TODAY()</f>
        <v>41950</v>
      </c>
      <c r="I2" s="635"/>
      <c r="J2" s="635"/>
      <c r="K2" s="635"/>
      <c r="L2" s="635"/>
      <c r="M2" s="635"/>
      <c r="N2" s="635"/>
      <c r="O2" s="635"/>
      <c r="P2" s="635"/>
      <c r="Q2" s="635"/>
      <c r="R2" s="54"/>
      <c r="S2" s="333"/>
      <c r="T2" s="119" t="s">
        <v>0</v>
      </c>
      <c r="U2" s="58"/>
      <c r="V2" s="58"/>
      <c r="W2" s="44"/>
      <c r="X2" s="44"/>
      <c r="Y2" s="24"/>
      <c r="Z2" s="24"/>
      <c r="AA2" s="24"/>
      <c r="AB2" s="24"/>
      <c r="AC2" s="44"/>
      <c r="AD2" s="44"/>
      <c r="AE2" s="24"/>
      <c r="AF2" s="24"/>
      <c r="AG2" s="24"/>
      <c r="AH2" s="24"/>
      <c r="AI2" s="24"/>
      <c r="AJ2" s="24"/>
      <c r="AK2" s="24"/>
      <c r="AL2" s="24"/>
      <c r="AM2" s="24"/>
      <c r="AN2" s="24"/>
      <c r="AO2" s="24"/>
      <c r="AP2" s="24"/>
      <c r="AQ2" s="24"/>
      <c r="AR2" s="24"/>
      <c r="AS2" s="24"/>
    </row>
    <row r="3" spans="1:45" s="7" customFormat="1" ht="70.5" customHeight="1" x14ac:dyDescent="0.3">
      <c r="A3" s="28"/>
      <c r="B3" s="333"/>
      <c r="C3" s="41"/>
      <c r="D3" s="23"/>
      <c r="E3" s="23"/>
      <c r="F3" s="23"/>
      <c r="G3" s="24"/>
      <c r="H3" s="302"/>
      <c r="I3" s="302"/>
      <c r="J3" s="302"/>
      <c r="K3" s="302"/>
      <c r="L3" s="302"/>
      <c r="M3" s="302"/>
      <c r="N3" s="302"/>
      <c r="O3" s="302"/>
      <c r="P3" s="162"/>
      <c r="Q3" s="162"/>
      <c r="R3" s="162" t="s">
        <v>0</v>
      </c>
      <c r="S3" s="333"/>
      <c r="T3" s="60"/>
      <c r="U3"/>
      <c r="V3" s="59"/>
      <c r="W3" s="119" t="s">
        <v>0</v>
      </c>
      <c r="X3" s="44"/>
      <c r="Y3" s="24"/>
      <c r="Z3" s="61"/>
      <c r="AA3" s="24"/>
      <c r="AB3" s="24"/>
      <c r="AC3" s="44"/>
      <c r="AD3" s="44"/>
      <c r="AE3" s="24"/>
      <c r="AF3" s="24"/>
      <c r="AG3" s="24"/>
      <c r="AH3" s="24"/>
      <c r="AI3" s="24"/>
      <c r="AJ3" s="24"/>
      <c r="AK3" s="24"/>
      <c r="AL3" s="24"/>
      <c r="AM3" s="24"/>
      <c r="AN3" s="24"/>
      <c r="AO3" s="24"/>
      <c r="AP3" s="24"/>
      <c r="AQ3" s="24"/>
      <c r="AR3" s="24"/>
      <c r="AS3" s="24"/>
    </row>
    <row r="4" spans="1:45" s="7" customFormat="1" ht="50.25" customHeight="1" x14ac:dyDescent="0.3">
      <c r="A4" s="28"/>
      <c r="B4" s="333"/>
      <c r="C4" s="42"/>
      <c r="D4" s="631" t="str">
        <f>R.1ProjectName</f>
        <v>Grants Pass Limited Maintenance Plans for CO and PM10</v>
      </c>
      <c r="E4" s="631"/>
      <c r="F4" s="631"/>
      <c r="G4" s="631"/>
      <c r="H4" s="631"/>
      <c r="I4" s="631"/>
      <c r="J4" s="631"/>
      <c r="K4" s="631"/>
      <c r="L4" s="631"/>
      <c r="M4" s="631"/>
      <c r="N4" s="631"/>
      <c r="O4" s="631"/>
      <c r="P4" s="631"/>
      <c r="Q4" s="631"/>
      <c r="R4" s="365"/>
      <c r="S4" s="333"/>
      <c r="T4" s="62"/>
      <c r="U4"/>
      <c r="V4" s="56"/>
      <c r="W4" s="44"/>
      <c r="X4" s="44"/>
      <c r="Y4" s="24"/>
      <c r="Z4" s="24"/>
      <c r="AA4" s="24"/>
      <c r="AB4" s="24"/>
      <c r="AC4" s="44"/>
      <c r="AD4" s="44"/>
      <c r="AE4" s="24"/>
      <c r="AF4" s="24"/>
      <c r="AG4" s="24"/>
      <c r="AH4" s="24"/>
      <c r="AI4" s="24"/>
      <c r="AJ4" s="24"/>
      <c r="AK4" s="24"/>
      <c r="AL4" s="24"/>
      <c r="AM4" s="24"/>
      <c r="AN4" s="24"/>
      <c r="AO4" s="24"/>
      <c r="AP4" s="24"/>
      <c r="AQ4" s="24"/>
      <c r="AR4" s="24"/>
      <c r="AS4" s="24"/>
    </row>
    <row r="5" spans="1:45" s="7" customFormat="1" ht="17.25" customHeight="1" x14ac:dyDescent="0.3">
      <c r="A5" s="28"/>
      <c r="B5" s="333"/>
      <c r="C5" s="630" t="s">
        <v>169</v>
      </c>
      <c r="D5" s="630"/>
      <c r="E5" s="630"/>
      <c r="F5" s="630"/>
      <c r="G5" s="630"/>
      <c r="H5" s="630"/>
      <c r="I5" s="630"/>
      <c r="J5" s="630"/>
      <c r="K5" s="630"/>
      <c r="L5" s="630"/>
      <c r="M5" s="630"/>
      <c r="N5" s="630"/>
      <c r="O5" s="630"/>
      <c r="P5" s="366"/>
      <c r="Q5" s="165"/>
      <c r="R5" s="26"/>
      <c r="S5" s="333"/>
      <c r="T5" s="57"/>
      <c r="U5" s="105"/>
      <c r="V5" s="105"/>
      <c r="W5" s="44"/>
      <c r="X5" s="44"/>
      <c r="Y5" s="24"/>
      <c r="Z5" s="24"/>
      <c r="AA5" s="24"/>
      <c r="AB5" s="24"/>
      <c r="AC5" s="44"/>
      <c r="AD5" s="44"/>
      <c r="AE5" s="24"/>
      <c r="AF5" s="24"/>
      <c r="AG5" s="24"/>
      <c r="AH5" s="24"/>
      <c r="AI5" s="24"/>
      <c r="AJ5" s="24"/>
      <c r="AK5" s="24"/>
      <c r="AL5" s="24"/>
      <c r="AM5" s="24"/>
      <c r="AN5" s="24"/>
      <c r="AO5" s="24"/>
      <c r="AP5" s="24"/>
      <c r="AQ5" s="24"/>
      <c r="AR5" s="24"/>
      <c r="AS5" s="24"/>
    </row>
    <row r="6" spans="1:45" s="28" customFormat="1" ht="14.25" customHeight="1" x14ac:dyDescent="0.3">
      <c r="B6" s="333"/>
      <c r="C6" s="366"/>
      <c r="D6" s="366"/>
      <c r="E6" s="366"/>
      <c r="F6" s="366"/>
      <c r="G6" s="366"/>
      <c r="H6" s="366"/>
      <c r="I6" s="366"/>
      <c r="J6" s="366"/>
      <c r="K6" s="366"/>
      <c r="L6" s="366"/>
      <c r="M6" s="366"/>
      <c r="N6" s="366"/>
      <c r="O6" s="366"/>
      <c r="P6" s="366"/>
      <c r="Q6" s="165"/>
      <c r="R6" s="26"/>
      <c r="S6" s="333"/>
      <c r="T6" s="57"/>
      <c r="U6" s="105"/>
      <c r="V6" s="105"/>
      <c r="W6" s="44"/>
      <c r="X6" s="44"/>
      <c r="Y6" s="24"/>
      <c r="Z6" s="24"/>
      <c r="AA6" s="24"/>
      <c r="AB6" s="24"/>
      <c r="AC6" s="44"/>
      <c r="AD6" s="44"/>
      <c r="AE6" s="24"/>
      <c r="AF6" s="24"/>
      <c r="AG6" s="24"/>
      <c r="AH6" s="24"/>
      <c r="AI6" s="24"/>
      <c r="AJ6" s="24"/>
      <c r="AK6" s="24"/>
      <c r="AL6" s="24"/>
      <c r="AM6" s="24"/>
      <c r="AN6" s="24"/>
      <c r="AO6" s="24"/>
      <c r="AP6" s="24"/>
      <c r="AQ6" s="24"/>
      <c r="AR6" s="24"/>
      <c r="AS6" s="24"/>
    </row>
    <row r="7" spans="1:45" s="28" customFormat="1" ht="15.75" customHeight="1" x14ac:dyDescent="0.25">
      <c r="B7" s="333"/>
      <c r="C7" s="212">
        <v>1</v>
      </c>
      <c r="D7" s="562" t="str">
        <f>'1ProjectRecord'!D2</f>
        <v>Project record</v>
      </c>
      <c r="E7" s="633" t="s">
        <v>84</v>
      </c>
      <c r="F7" s="626"/>
      <c r="G7" s="626"/>
      <c r="H7" s="626"/>
      <c r="I7" s="626"/>
      <c r="J7" s="626"/>
      <c r="K7" s="363"/>
      <c r="L7" s="363"/>
      <c r="M7" s="220"/>
      <c r="N7" s="220"/>
      <c r="O7" s="282"/>
      <c r="P7" s="282"/>
      <c r="Q7" s="282"/>
      <c r="R7" s="282"/>
      <c r="S7" s="333"/>
      <c r="T7" s="24"/>
      <c r="U7" s="24"/>
      <c r="V7" s="24"/>
      <c r="W7" s="24"/>
      <c r="X7" s="24"/>
      <c r="Y7" s="24"/>
      <c r="Z7" s="24"/>
      <c r="AA7" s="24"/>
      <c r="AB7" s="24"/>
      <c r="AC7" s="24"/>
      <c r="AD7" s="24"/>
      <c r="AE7" s="24"/>
      <c r="AF7" s="24"/>
      <c r="AG7" s="24"/>
    </row>
    <row r="8" spans="1:45" s="28" customFormat="1" ht="15.75" customHeight="1" x14ac:dyDescent="0.25">
      <c r="B8" s="333"/>
      <c r="C8" s="212">
        <v>2</v>
      </c>
      <c r="D8" s="571" t="s">
        <v>153</v>
      </c>
      <c r="E8" s="634" t="s">
        <v>154</v>
      </c>
      <c r="F8" s="614"/>
      <c r="G8" s="614"/>
      <c r="H8" s="614" t="s">
        <v>75</v>
      </c>
      <c r="I8" s="614"/>
      <c r="J8" s="614"/>
      <c r="K8" s="280"/>
      <c r="L8" s="280"/>
      <c r="M8" s="211"/>
      <c r="N8" s="211"/>
      <c r="O8" s="632" t="s">
        <v>46</v>
      </c>
      <c r="P8" s="632"/>
      <c r="Q8" s="632"/>
      <c r="R8" s="632"/>
      <c r="S8" s="333"/>
      <c r="T8" s="24"/>
      <c r="U8" s="24"/>
      <c r="V8" s="24"/>
      <c r="W8" s="24"/>
      <c r="X8" s="24"/>
      <c r="Y8" s="24"/>
      <c r="Z8" s="24"/>
      <c r="AA8" s="24"/>
      <c r="AB8" s="24"/>
      <c r="AC8" s="24"/>
      <c r="AD8" s="24"/>
      <c r="AE8" s="24"/>
      <c r="AF8" s="24"/>
      <c r="AG8" s="24"/>
    </row>
    <row r="9" spans="1:45" s="7" customFormat="1" ht="15.75" customHeight="1" x14ac:dyDescent="0.25">
      <c r="A9" s="28"/>
      <c r="B9" s="333"/>
      <c r="C9" s="212">
        <v>3</v>
      </c>
      <c r="D9" s="572" t="str">
        <f>'3CoreTeam'!D2</f>
        <v>Core Team</v>
      </c>
      <c r="E9" s="620">
        <f>R.3LowHrs</f>
        <v>599</v>
      </c>
      <c r="F9" s="621"/>
      <c r="G9" s="622"/>
      <c r="H9" s="615">
        <f>R.3HighHrs</f>
        <v>1238</v>
      </c>
      <c r="I9" s="616"/>
      <c r="J9" s="617"/>
      <c r="K9" s="221"/>
      <c r="L9" s="625" t="s">
        <v>42</v>
      </c>
      <c r="M9" s="626"/>
      <c r="N9" s="626"/>
      <c r="O9" s="626"/>
      <c r="P9" s="627"/>
      <c r="Q9" s="281" t="str">
        <f>V9</f>
        <v>Low</v>
      </c>
      <c r="R9" s="371"/>
      <c r="S9" s="333"/>
      <c r="T9" s="48"/>
      <c r="U9" s="261">
        <f>R.2aOrgRisk</f>
        <v>1</v>
      </c>
      <c r="V9" s="262" t="str">
        <f>IF(U9=1,"Low",IF(U9=2,"Low/Medium",IF(U9=3,"Medium",IF(U9=4,"Medium/High","High"))))</f>
        <v>Low</v>
      </c>
      <c r="W9" s="24"/>
      <c r="X9" s="24"/>
      <c r="Y9" s="24"/>
      <c r="Z9" s="24"/>
      <c r="AA9" s="24"/>
      <c r="AB9" s="24"/>
      <c r="AC9" s="24"/>
      <c r="AD9" s="24"/>
      <c r="AE9" s="24"/>
      <c r="AF9" s="24"/>
      <c r="AG9" s="24"/>
    </row>
    <row r="10" spans="1:45" s="7" customFormat="1" ht="15.75" customHeight="1" x14ac:dyDescent="0.25">
      <c r="A10" s="28"/>
      <c r="B10" s="333"/>
      <c r="C10" s="212">
        <v>4</v>
      </c>
      <c r="D10" s="562" t="str">
        <f>'4Advisors'!D2</f>
        <v>Advisors</v>
      </c>
      <c r="E10" s="620">
        <f>R.4LowHrs</f>
        <v>89</v>
      </c>
      <c r="F10" s="621"/>
      <c r="G10" s="622"/>
      <c r="H10" s="615">
        <f>R.4HighHrs</f>
        <v>218</v>
      </c>
      <c r="I10" s="616"/>
      <c r="J10" s="617"/>
      <c r="K10" s="221"/>
      <c r="L10" s="625" t="s">
        <v>43</v>
      </c>
      <c r="M10" s="626"/>
      <c r="N10" s="626"/>
      <c r="O10" s="626"/>
      <c r="P10" s="627"/>
      <c r="Q10" s="281" t="str">
        <f>V10</f>
        <v>Low</v>
      </c>
      <c r="R10" s="371"/>
      <c r="S10" s="333"/>
      <c r="T10" s="48"/>
      <c r="U10" s="261">
        <f>R.2bOrgRisk</f>
        <v>1</v>
      </c>
      <c r="V10" s="262" t="str">
        <f>IF(U10=1,"Low",IF(U10=2,"Low/Medium",IF(U10=3,"Medium",IF(U10=4,"Medium/High","High"))))</f>
        <v>Low</v>
      </c>
      <c r="W10" s="24"/>
      <c r="X10" s="24"/>
      <c r="Y10" s="24"/>
      <c r="Z10" s="24"/>
      <c r="AA10" s="24"/>
      <c r="AB10" s="24"/>
      <c r="AC10" s="24"/>
      <c r="AD10" s="24"/>
      <c r="AE10" s="24"/>
      <c r="AF10" s="24"/>
      <c r="AG10" s="24"/>
    </row>
    <row r="11" spans="1:45" s="7" customFormat="1" ht="15.75" customHeight="1" x14ac:dyDescent="0.25">
      <c r="A11" s="28"/>
      <c r="B11" s="333"/>
      <c r="C11" s="212">
        <v>5</v>
      </c>
      <c r="D11" s="562" t="str">
        <f>'5InterestedStaff'!D2</f>
        <v>Interested Staff and EQC</v>
      </c>
      <c r="E11" s="620">
        <f>R.5LowHrs</f>
        <v>6</v>
      </c>
      <c r="F11" s="621"/>
      <c r="G11" s="622"/>
      <c r="H11" s="615">
        <f>R.5HighHrs</f>
        <v>48</v>
      </c>
      <c r="I11" s="616"/>
      <c r="J11" s="617"/>
      <c r="K11" s="221"/>
      <c r="L11" s="625" t="s">
        <v>44</v>
      </c>
      <c r="M11" s="626"/>
      <c r="N11" s="626"/>
      <c r="O11" s="626"/>
      <c r="P11" s="627"/>
      <c r="Q11" s="281" t="str">
        <f>V11</f>
        <v>Low</v>
      </c>
      <c r="R11" s="371"/>
      <c r="S11" s="333"/>
      <c r="T11" s="48"/>
      <c r="U11" s="261">
        <f>R.2cOrgRisk</f>
        <v>1</v>
      </c>
      <c r="V11" s="262" t="str">
        <f>IF(U11=1,"Low",IF(U11=2,"Low/Medium",IF(U11=3,"Medium",IF(U11=4,"Medium/High","High"))))</f>
        <v>Low</v>
      </c>
      <c r="W11" s="24"/>
      <c r="X11" s="24"/>
      <c r="Y11" s="24"/>
      <c r="Z11" s="24"/>
      <c r="AA11" s="24"/>
      <c r="AB11" s="24"/>
      <c r="AC11" s="24"/>
      <c r="AD11" s="24"/>
      <c r="AE11" s="24"/>
      <c r="AF11" s="24"/>
      <c r="AG11" s="24"/>
    </row>
    <row r="12" spans="1:45" s="7" customFormat="1" ht="15.75" customHeight="1" x14ac:dyDescent="0.25">
      <c r="A12" s="28"/>
      <c r="B12" s="333"/>
      <c r="C12" s="212">
        <v>6</v>
      </c>
      <c r="D12" s="562" t="str">
        <f>'6OtherDivisions'!D2</f>
        <v>Other Divisions</v>
      </c>
      <c r="E12" s="620">
        <f>R.6LowHrs</f>
        <v>0</v>
      </c>
      <c r="F12" s="621"/>
      <c r="G12" s="622"/>
      <c r="H12" s="615">
        <f>R.6HighHrs</f>
        <v>0</v>
      </c>
      <c r="I12" s="616"/>
      <c r="J12" s="617"/>
      <c r="K12" s="221"/>
      <c r="L12" s="221"/>
      <c r="M12" s="221"/>
      <c r="N12" s="221"/>
      <c r="O12" s="282"/>
      <c r="P12" s="282"/>
      <c r="Q12" s="282"/>
      <c r="R12" s="282"/>
      <c r="S12" s="333"/>
      <c r="Y12" s="24"/>
      <c r="Z12" s="24"/>
      <c r="AA12" s="24"/>
      <c r="AB12" s="24"/>
      <c r="AC12" s="24"/>
      <c r="AD12" s="24"/>
      <c r="AE12" s="24"/>
      <c r="AF12" s="24"/>
      <c r="AG12" s="24"/>
    </row>
    <row r="13" spans="1:45" s="7" customFormat="1" ht="15.75" customHeight="1" x14ac:dyDescent="0.25">
      <c r="A13" s="28"/>
      <c r="B13" s="333"/>
      <c r="C13" s="212">
        <v>7</v>
      </c>
      <c r="D13" s="562" t="str">
        <f>'7Regions'!D2</f>
        <v>Regions</v>
      </c>
      <c r="E13" s="623">
        <f>R.7LowHrs</f>
        <v>0</v>
      </c>
      <c r="F13" s="621"/>
      <c r="G13" s="622"/>
      <c r="H13" s="615">
        <f>R.7HighHrs</f>
        <v>0</v>
      </c>
      <c r="I13" s="616"/>
      <c r="J13" s="617"/>
      <c r="K13" s="221"/>
      <c r="L13" s="221"/>
      <c r="M13" s="221"/>
      <c r="N13" s="221"/>
      <c r="O13" s="282"/>
      <c r="P13" s="282"/>
      <c r="Q13" s="282"/>
      <c r="R13" s="283"/>
      <c r="S13" s="333"/>
      <c r="T13" s="24"/>
      <c r="U13" s="24"/>
      <c r="V13"/>
      <c r="W13" s="24"/>
      <c r="X13" s="24"/>
      <c r="Y13" s="24"/>
      <c r="Z13" s="24"/>
      <c r="AA13" s="24"/>
      <c r="AB13" s="24"/>
      <c r="AC13" s="24"/>
      <c r="AD13" s="24"/>
      <c r="AE13" s="24"/>
      <c r="AF13" s="24"/>
      <c r="AG13" s="24"/>
    </row>
    <row r="14" spans="1:45" s="7" customFormat="1" ht="15.75" customHeight="1" x14ac:dyDescent="0.25">
      <c r="A14" s="28"/>
      <c r="B14" s="333"/>
      <c r="C14" s="212">
        <v>8</v>
      </c>
      <c r="D14" s="562" t="str">
        <f>'8FinancialServices'!D2</f>
        <v>Financial Services</v>
      </c>
      <c r="E14" s="623">
        <f>R.8LowHrs</f>
        <v>0</v>
      </c>
      <c r="F14" s="621"/>
      <c r="G14" s="622"/>
      <c r="H14" s="615">
        <f>R.8HighHrs</f>
        <v>0</v>
      </c>
      <c r="I14" s="616"/>
      <c r="J14" s="617"/>
      <c r="K14" s="221"/>
      <c r="L14" s="221"/>
      <c r="M14" s="221"/>
      <c r="N14" s="221"/>
      <c r="O14" s="28"/>
      <c r="P14" s="28"/>
      <c r="Q14" s="28"/>
      <c r="R14" s="287"/>
      <c r="S14" s="333"/>
      <c r="T14" s="24"/>
      <c r="U14" s="24"/>
      <c r="V14" s="24"/>
      <c r="W14" s="24"/>
      <c r="X14" s="24"/>
      <c r="Y14" s="24"/>
      <c r="Z14" s="24"/>
      <c r="AA14" s="24"/>
      <c r="AB14" s="24"/>
      <c r="AC14" s="24"/>
      <c r="AD14" s="24"/>
      <c r="AE14" s="24"/>
      <c r="AF14" s="24"/>
      <c r="AG14" s="24"/>
    </row>
    <row r="15" spans="1:45" s="7" customFormat="1" ht="15.75" customHeight="1" x14ac:dyDescent="0.25">
      <c r="A15" s="28"/>
      <c r="B15" s="333"/>
      <c r="C15" s="212">
        <v>9</v>
      </c>
      <c r="D15" s="562" t="str">
        <f>'9OCO'!D2</f>
        <v>Communications and Outreach</v>
      </c>
      <c r="E15" s="620">
        <f>R.9LowHrs</f>
        <v>3</v>
      </c>
      <c r="F15" s="621"/>
      <c r="G15" s="622"/>
      <c r="H15" s="615">
        <f>R.9HighHrs</f>
        <v>24</v>
      </c>
      <c r="I15" s="616"/>
      <c r="J15" s="617"/>
      <c r="K15" s="221"/>
      <c r="L15" s="221"/>
      <c r="M15" s="221"/>
      <c r="N15" s="221"/>
      <c r="O15" s="282"/>
      <c r="P15" s="282"/>
      <c r="Q15" s="282"/>
      <c r="R15" s="283"/>
      <c r="S15" s="333"/>
      <c r="T15" s="24"/>
      <c r="U15" s="24"/>
      <c r="V15" s="24"/>
      <c r="W15" s="24"/>
      <c r="X15" s="24"/>
      <c r="Y15" s="24"/>
      <c r="Z15" s="24"/>
      <c r="AA15" s="24"/>
      <c r="AB15" s="24"/>
      <c r="AC15" s="24"/>
      <c r="AD15" s="24"/>
      <c r="AE15" s="24"/>
      <c r="AF15" s="24"/>
      <c r="AG15" s="24"/>
    </row>
    <row r="16" spans="1:45" s="7" customFormat="1" ht="15.75" customHeight="1" x14ac:dyDescent="0.25">
      <c r="A16" s="28"/>
      <c r="B16" s="333"/>
      <c r="C16" s="212">
        <v>10</v>
      </c>
      <c r="D16" s="562" t="str">
        <f>'10OrgServices'!D2</f>
        <v>Organizational Services</v>
      </c>
      <c r="E16" s="620">
        <f>R.10LowHrs</f>
        <v>0</v>
      </c>
      <c r="F16" s="621"/>
      <c r="G16" s="622"/>
      <c r="H16" s="615">
        <f>R.10HighHrs</f>
        <v>0</v>
      </c>
      <c r="I16" s="616"/>
      <c r="J16" s="617"/>
      <c r="K16" s="221"/>
      <c r="L16" s="628" t="s">
        <v>94</v>
      </c>
      <c r="M16" s="626"/>
      <c r="N16" s="626"/>
      <c r="O16" s="626"/>
      <c r="P16" s="627"/>
      <c r="Q16" s="288">
        <f>U16</f>
        <v>18</v>
      </c>
      <c r="R16" s="283"/>
      <c r="S16" s="333"/>
      <c r="T16" s="24"/>
      <c r="U16" s="585">
        <f>SUM(R.3StaffCount,R.4StaffCount,R.5StaffCount,R.6StaffCount,R.7StaffCount,R.8StaffCount,R.9StaffCount,R.10StaffCount,R.11StaffCount,R.12StaffCount,R.13StaffCount,R.15StaffCount)</f>
        <v>18</v>
      </c>
      <c r="V16" s="24"/>
      <c r="W16" s="24"/>
      <c r="X16" s="24"/>
      <c r="Y16" s="24"/>
      <c r="Z16" s="24"/>
      <c r="AA16" s="24"/>
      <c r="AB16" s="24"/>
      <c r="AC16" s="24"/>
      <c r="AD16" s="24"/>
      <c r="AE16" s="24"/>
      <c r="AF16" s="24"/>
      <c r="AG16" s="24"/>
    </row>
    <row r="17" spans="1:45" s="7" customFormat="1" ht="15.75" customHeight="1" x14ac:dyDescent="0.25">
      <c r="A17" s="28"/>
      <c r="B17" s="333"/>
      <c r="C17" s="212">
        <v>11</v>
      </c>
      <c r="D17" s="562" t="str">
        <f>'11TechServices'!D2</f>
        <v>Technical Services</v>
      </c>
      <c r="E17" s="620">
        <f>R.11LowHrs</f>
        <v>40</v>
      </c>
      <c r="F17" s="621"/>
      <c r="G17" s="622"/>
      <c r="H17" s="615">
        <f>R.11HighHrs</f>
        <v>80</v>
      </c>
      <c r="I17" s="616"/>
      <c r="J17" s="617"/>
      <c r="K17" s="221"/>
      <c r="L17" s="221"/>
      <c r="M17" s="221"/>
      <c r="N17" s="221"/>
      <c r="O17" s="282"/>
      <c r="P17" s="282"/>
      <c r="Q17" s="282"/>
      <c r="R17" s="283"/>
      <c r="S17" s="333"/>
      <c r="T17" s="24"/>
      <c r="U17" s="24"/>
      <c r="V17" s="24"/>
      <c r="W17" s="24"/>
      <c r="X17" s="24"/>
      <c r="Y17" s="24"/>
      <c r="Z17" s="24"/>
      <c r="AA17" s="24"/>
      <c r="AB17" s="24"/>
      <c r="AC17" s="24"/>
      <c r="AD17" s="24"/>
      <c r="AE17" s="24"/>
      <c r="AF17" s="24"/>
      <c r="AG17" s="24"/>
    </row>
    <row r="18" spans="1:45" s="28" customFormat="1" ht="15.75" customHeight="1" x14ac:dyDescent="0.25">
      <c r="B18" s="333"/>
      <c r="C18" s="212">
        <v>12</v>
      </c>
      <c r="D18" s="562" t="s">
        <v>148</v>
      </c>
      <c r="E18" s="620">
        <f>R.12LowHrs</f>
        <v>0</v>
      </c>
      <c r="F18" s="621"/>
      <c r="G18" s="622"/>
      <c r="H18" s="615">
        <f>R.12HighHrs</f>
        <v>0</v>
      </c>
      <c r="I18" s="616"/>
      <c r="J18" s="617"/>
      <c r="K18" s="221"/>
      <c r="L18" s="221"/>
      <c r="M18" s="221"/>
      <c r="N18" s="221"/>
      <c r="O18" s="282"/>
      <c r="P18" s="282"/>
      <c r="Q18" s="282"/>
      <c r="R18" s="283"/>
      <c r="S18" s="333"/>
      <c r="T18" s="24"/>
      <c r="U18" s="24"/>
      <c r="V18" s="24"/>
      <c r="W18" s="24"/>
      <c r="X18" s="24"/>
      <c r="Y18" s="24"/>
      <c r="Z18" s="24"/>
      <c r="AA18" s="24"/>
      <c r="AB18" s="24"/>
      <c r="AC18" s="24"/>
      <c r="AD18" s="24"/>
      <c r="AE18" s="24"/>
      <c r="AF18" s="24"/>
      <c r="AG18" s="24"/>
    </row>
    <row r="19" spans="1:45" s="7" customFormat="1" ht="15.75" customHeight="1" x14ac:dyDescent="0.25">
      <c r="A19" s="28"/>
      <c r="B19" s="333"/>
      <c r="C19" s="212">
        <v>13</v>
      </c>
      <c r="D19" s="562" t="str">
        <f>'13LEAD'!D2</f>
        <v>LEAD</v>
      </c>
      <c r="E19" s="620">
        <f>R.13LowHrs</f>
        <v>0</v>
      </c>
      <c r="F19" s="621"/>
      <c r="G19" s="622"/>
      <c r="H19" s="615">
        <f>R.13HighHrs</f>
        <v>0</v>
      </c>
      <c r="I19" s="616"/>
      <c r="J19" s="617"/>
      <c r="K19" s="221"/>
      <c r="L19" s="221"/>
      <c r="M19" s="221"/>
      <c r="N19" s="221"/>
      <c r="O19" s="282"/>
      <c r="P19" s="282"/>
      <c r="Q19" s="282"/>
      <c r="R19" s="283"/>
      <c r="S19" s="333"/>
      <c r="T19" s="24"/>
      <c r="U19" s="24"/>
      <c r="V19" s="24"/>
      <c r="W19" s="24"/>
      <c r="X19" s="24"/>
      <c r="Y19" s="24"/>
      <c r="Z19" s="24"/>
      <c r="AA19" s="24"/>
      <c r="AB19" s="24"/>
      <c r="AC19" s="24"/>
      <c r="AD19" s="24"/>
      <c r="AE19" s="24"/>
      <c r="AF19" s="24"/>
      <c r="AG19" s="24"/>
    </row>
    <row r="20" spans="1:45" s="7" customFormat="1" ht="15.75" customHeight="1" x14ac:dyDescent="0.25">
      <c r="A20" s="28"/>
      <c r="B20" s="333"/>
      <c r="C20" s="212">
        <v>14</v>
      </c>
      <c r="D20" s="562" t="str">
        <f>'14Intergovernmental'!D2</f>
        <v>Intergovernmental</v>
      </c>
      <c r="E20" s="620">
        <f>R.14LowHrs</f>
        <v>120</v>
      </c>
      <c r="F20" s="621"/>
      <c r="G20" s="622"/>
      <c r="H20" s="615">
        <f>R.14HighHrs</f>
        <v>250</v>
      </c>
      <c r="I20" s="616"/>
      <c r="J20" s="617"/>
      <c r="K20" s="607" t="s">
        <v>0</v>
      </c>
      <c r="L20" s="608"/>
      <c r="M20" s="608"/>
      <c r="N20" s="608"/>
      <c r="O20" s="608"/>
      <c r="P20" s="282"/>
      <c r="Q20" s="282"/>
      <c r="R20" s="283"/>
      <c r="S20" s="333"/>
      <c r="T20" s="24"/>
      <c r="U20" s="24"/>
      <c r="V20" s="24"/>
      <c r="W20" s="24"/>
      <c r="X20" s="24"/>
      <c r="Y20" s="24"/>
      <c r="Z20" s="24"/>
      <c r="AA20" s="24"/>
      <c r="AB20" s="24"/>
      <c r="AC20" s="24"/>
      <c r="AD20" s="24"/>
      <c r="AE20" s="24"/>
      <c r="AF20" s="24"/>
      <c r="AG20" s="24"/>
    </row>
    <row r="21" spans="1:45" s="7" customFormat="1" ht="15.75" customHeight="1" x14ac:dyDescent="0.25">
      <c r="A21" s="28"/>
      <c r="B21" s="333"/>
      <c r="C21" s="212">
        <v>15</v>
      </c>
      <c r="D21" s="562" t="str">
        <f>'15CustomParticipants'!D2</f>
        <v>Custom Participants</v>
      </c>
      <c r="E21" s="620">
        <f>R.15LowHrs</f>
        <v>0</v>
      </c>
      <c r="F21" s="621"/>
      <c r="G21" s="622"/>
      <c r="H21" s="615">
        <f>R.15HighHrs</f>
        <v>0</v>
      </c>
      <c r="I21" s="616"/>
      <c r="J21" s="617"/>
      <c r="K21" s="221"/>
      <c r="L21" s="221"/>
      <c r="M21" s="221"/>
      <c r="N21" s="221"/>
      <c r="O21" s="284"/>
      <c r="P21" s="284"/>
      <c r="Q21" s="284"/>
      <c r="R21" s="283"/>
      <c r="S21" s="333"/>
      <c r="T21" s="24"/>
      <c r="U21" s="24"/>
      <c r="V21" s="24"/>
      <c r="W21" s="24"/>
      <c r="X21" s="24"/>
      <c r="Y21" s="24"/>
      <c r="Z21" s="24"/>
      <c r="AA21" s="24"/>
      <c r="AB21" s="24"/>
      <c r="AC21" s="24"/>
      <c r="AD21" s="24"/>
      <c r="AE21" s="24"/>
      <c r="AF21" s="24"/>
      <c r="AG21" s="24"/>
    </row>
    <row r="22" spans="1:45" s="28" customFormat="1" ht="15.75" customHeight="1" x14ac:dyDescent="0.25">
      <c r="B22" s="333"/>
      <c r="C22" s="212">
        <v>16</v>
      </c>
      <c r="D22" s="586" t="s">
        <v>586</v>
      </c>
      <c r="E22" s="620">
        <f>14*1</f>
        <v>14</v>
      </c>
      <c r="F22" s="621"/>
      <c r="G22" s="622"/>
      <c r="H22" s="615">
        <f>14*4</f>
        <v>56</v>
      </c>
      <c r="I22" s="616"/>
      <c r="J22" s="617"/>
      <c r="K22" s="221"/>
      <c r="L22" s="221"/>
      <c r="M22" s="221"/>
      <c r="N22" s="221"/>
      <c r="O22" s="284"/>
      <c r="P22" s="284"/>
      <c r="Q22" s="284"/>
      <c r="R22" s="283"/>
      <c r="S22" s="333"/>
      <c r="T22" s="24"/>
      <c r="U22" s="24"/>
      <c r="V22" s="24"/>
      <c r="W22" s="24"/>
      <c r="X22" s="24"/>
      <c r="Y22" s="24"/>
      <c r="Z22" s="24"/>
      <c r="AA22" s="24"/>
      <c r="AB22" s="24"/>
      <c r="AC22" s="24"/>
      <c r="AD22" s="24"/>
      <c r="AE22" s="24"/>
      <c r="AF22" s="24"/>
      <c r="AG22" s="24"/>
    </row>
    <row r="23" spans="1:45" s="28" customFormat="1" ht="15.75" customHeight="1" x14ac:dyDescent="0.25">
      <c r="B23" s="333"/>
      <c r="C23" s="219"/>
      <c r="D23" s="362" t="s">
        <v>85</v>
      </c>
      <c r="E23" s="618">
        <f>SUM(E9:E22)</f>
        <v>871</v>
      </c>
      <c r="F23" s="618"/>
      <c r="G23" s="618"/>
      <c r="H23" s="618">
        <f>SUM(H9:H22)</f>
        <v>1914</v>
      </c>
      <c r="I23" s="618"/>
      <c r="J23" s="618"/>
      <c r="K23" s="372"/>
      <c r="L23" s="372"/>
      <c r="M23" s="372"/>
      <c r="N23" s="372"/>
      <c r="O23" s="284"/>
      <c r="P23" s="284"/>
      <c r="Q23" s="284"/>
      <c r="R23" s="283"/>
      <c r="S23" s="333"/>
      <c r="T23" s="24"/>
      <c r="U23" s="24"/>
      <c r="V23" s="24"/>
      <c r="W23" s="24"/>
      <c r="X23" s="24"/>
      <c r="Y23" s="24"/>
      <c r="Z23" s="24"/>
      <c r="AA23" s="24"/>
      <c r="AB23" s="24"/>
      <c r="AC23" s="24"/>
      <c r="AD23" s="24"/>
      <c r="AE23" s="24"/>
      <c r="AF23" s="24"/>
      <c r="AG23" s="24"/>
    </row>
    <row r="24" spans="1:45" s="28" customFormat="1" ht="15.75" customHeight="1" x14ac:dyDescent="0.25">
      <c r="B24" s="333"/>
      <c r="C24" s="219"/>
      <c r="D24" s="529" t="s">
        <v>82</v>
      </c>
      <c r="E24" s="609">
        <f>-R.14LowHrs</f>
        <v>-120</v>
      </c>
      <c r="F24" s="610"/>
      <c r="G24" s="610"/>
      <c r="H24" s="609">
        <f>-R.14HighHrs</f>
        <v>-250</v>
      </c>
      <c r="I24" s="610"/>
      <c r="J24" s="610"/>
      <c r="K24" s="372"/>
      <c r="L24" s="372"/>
      <c r="M24" s="372"/>
      <c r="N24" s="372"/>
      <c r="O24" s="284"/>
      <c r="P24" s="284"/>
      <c r="Q24" s="284"/>
      <c r="R24" s="283"/>
      <c r="S24" s="333"/>
      <c r="T24" s="24"/>
      <c r="U24" s="24"/>
      <c r="V24" s="24"/>
      <c r="W24" s="24"/>
      <c r="X24" s="24"/>
      <c r="Y24" s="24"/>
      <c r="Z24" s="24"/>
      <c r="AA24" s="24"/>
      <c r="AB24" s="24"/>
      <c r="AC24" s="24"/>
      <c r="AD24" s="24"/>
      <c r="AE24" s="24"/>
      <c r="AF24" s="24"/>
      <c r="AG24" s="24"/>
    </row>
    <row r="25" spans="1:45" s="28" customFormat="1" ht="15.75" customHeight="1" x14ac:dyDescent="0.25">
      <c r="B25" s="333"/>
      <c r="C25" s="219"/>
      <c r="D25" s="529"/>
      <c r="E25" s="611">
        <f>SUM(E23:E24)</f>
        <v>751</v>
      </c>
      <c r="F25" s="611"/>
      <c r="G25" s="611"/>
      <c r="H25" s="612">
        <f>SUM(H23:H24)</f>
        <v>1664</v>
      </c>
      <c r="I25" s="612"/>
      <c r="J25" s="612"/>
      <c r="K25" s="372"/>
      <c r="L25" s="372"/>
      <c r="M25" s="372"/>
      <c r="N25" s="372"/>
      <c r="O25" s="284"/>
      <c r="P25" s="284"/>
      <c r="Q25" s="284"/>
      <c r="R25" s="283"/>
      <c r="S25" s="333"/>
      <c r="T25" s="24"/>
      <c r="U25" s="24"/>
      <c r="V25" s="24"/>
      <c r="W25" s="24"/>
      <c r="X25" s="24"/>
      <c r="Y25" s="24"/>
      <c r="Z25" s="24"/>
      <c r="AA25" s="24"/>
      <c r="AB25" s="24"/>
      <c r="AC25" s="24"/>
      <c r="AD25" s="24"/>
      <c r="AE25" s="24"/>
      <c r="AF25" s="24"/>
      <c r="AG25" s="24"/>
    </row>
    <row r="26" spans="1:45" s="28" customFormat="1" ht="15.75" customHeight="1" thickBot="1" x14ac:dyDescent="0.25">
      <c r="B26" s="333"/>
      <c r="C26" s="624" t="s">
        <v>88</v>
      </c>
      <c r="D26" s="624"/>
      <c r="E26" s="619" t="str">
        <f>"X    $"&amp;R.AvgHrDEQCost</f>
        <v>X    $58</v>
      </c>
      <c r="F26" s="619"/>
      <c r="G26" s="619"/>
      <c r="H26" s="619" t="str">
        <f>"X    $"&amp;R.AvgHrDEQCost</f>
        <v>X    $58</v>
      </c>
      <c r="I26" s="619"/>
      <c r="J26" s="619"/>
      <c r="K26" s="222"/>
      <c r="L26" s="222"/>
      <c r="M26" s="222"/>
      <c r="N26" s="222"/>
      <c r="O26" s="285"/>
      <c r="P26" s="285"/>
      <c r="Q26" s="285"/>
      <c r="R26" s="283"/>
      <c r="S26" s="333"/>
      <c r="T26" s="24"/>
      <c r="U26" s="24"/>
      <c r="V26" s="24"/>
      <c r="W26" s="24"/>
      <c r="X26" s="24"/>
      <c r="Y26" s="24"/>
      <c r="Z26" s="24"/>
      <c r="AA26" s="24"/>
      <c r="AB26" s="24"/>
      <c r="AC26" s="24"/>
      <c r="AD26" s="24"/>
      <c r="AE26" s="24"/>
      <c r="AF26" s="24"/>
      <c r="AG26" s="24"/>
    </row>
    <row r="27" spans="1:45" s="7" customFormat="1" ht="15.75" customHeight="1" thickTop="1" x14ac:dyDescent="0.25">
      <c r="A27" s="28"/>
      <c r="B27" s="333"/>
      <c r="C27" s="219"/>
      <c r="D27" s="374" t="s">
        <v>87</v>
      </c>
      <c r="E27" s="613">
        <f>E25*R.AvgHrDEQCost</f>
        <v>43558</v>
      </c>
      <c r="F27" s="613"/>
      <c r="G27" s="613"/>
      <c r="H27" s="613">
        <f>H25*R.AvgHrDEQCost</f>
        <v>96512</v>
      </c>
      <c r="I27" s="613"/>
      <c r="J27" s="613"/>
      <c r="K27" s="373"/>
      <c r="L27" s="373"/>
      <c r="M27" s="373"/>
      <c r="N27" s="373"/>
      <c r="O27" s="285"/>
      <c r="P27" s="285"/>
      <c r="Q27" s="285"/>
      <c r="R27" s="286"/>
      <c r="S27" s="333"/>
      <c r="T27" s="57"/>
      <c r="U27" s="56"/>
      <c r="V27" s="56"/>
      <c r="W27" s="44"/>
      <c r="X27" s="44"/>
      <c r="Y27" s="24"/>
      <c r="Z27" s="24"/>
      <c r="AA27" s="24"/>
      <c r="AB27" s="24"/>
      <c r="AC27" s="44"/>
      <c r="AD27" s="44"/>
      <c r="AE27" s="24"/>
      <c r="AF27" s="24"/>
      <c r="AG27" s="24"/>
      <c r="AH27" s="24"/>
      <c r="AI27" s="24"/>
      <c r="AJ27" s="24"/>
      <c r="AK27" s="24"/>
      <c r="AL27" s="24"/>
      <c r="AM27" s="24"/>
      <c r="AN27" s="24"/>
      <c r="AO27" s="24"/>
      <c r="AP27" s="24"/>
      <c r="AQ27" s="24"/>
      <c r="AR27" s="24"/>
      <c r="AS27" s="24"/>
    </row>
    <row r="28" spans="1:45" s="7" customFormat="1" ht="15.75" customHeight="1" x14ac:dyDescent="0.3">
      <c r="A28" s="28"/>
      <c r="B28" s="333"/>
      <c r="C28" s="42"/>
      <c r="D28" s="34"/>
      <c r="E28" s="34"/>
      <c r="F28" s="34"/>
      <c r="G28" s="33"/>
      <c r="H28" s="433"/>
      <c r="I28" s="433"/>
      <c r="J28" s="433"/>
      <c r="K28" s="433"/>
      <c r="L28" s="433"/>
      <c r="M28" s="433"/>
      <c r="N28" s="433"/>
      <c r="O28" s="433"/>
      <c r="P28" s="433"/>
      <c r="Q28" s="433"/>
      <c r="R28" s="26"/>
      <c r="S28" s="333"/>
      <c r="T28" s="57"/>
      <c r="U28" s="56"/>
      <c r="V28" s="56"/>
      <c r="W28" s="44"/>
      <c r="X28" s="44"/>
      <c r="Y28" s="24"/>
      <c r="Z28" s="24"/>
      <c r="AA28" s="24"/>
      <c r="AB28" s="24"/>
      <c r="AC28" s="44"/>
      <c r="AD28" s="44"/>
      <c r="AE28" s="24"/>
      <c r="AF28" s="24"/>
      <c r="AG28" s="24"/>
      <c r="AH28" s="24"/>
      <c r="AI28" s="24"/>
      <c r="AJ28" s="24"/>
      <c r="AK28" s="24"/>
      <c r="AL28" s="24"/>
      <c r="AM28" s="24"/>
      <c r="AN28" s="24"/>
      <c r="AO28" s="24"/>
      <c r="AP28" s="24"/>
      <c r="AQ28" s="24"/>
      <c r="AR28" s="24"/>
      <c r="AS28" s="24"/>
    </row>
    <row r="29" spans="1:45" s="28" customFormat="1" ht="14.25" customHeight="1" x14ac:dyDescent="0.2">
      <c r="B29" s="333"/>
      <c r="C29" s="333"/>
      <c r="D29" s="333"/>
      <c r="E29" s="333"/>
      <c r="F29" s="333"/>
      <c r="G29" s="333"/>
      <c r="H29" s="333"/>
      <c r="I29" s="333"/>
      <c r="J29" s="333"/>
      <c r="K29" s="333"/>
      <c r="L29" s="333"/>
      <c r="M29" s="333"/>
      <c r="N29" s="333"/>
      <c r="O29" s="333"/>
      <c r="P29" s="333"/>
      <c r="Q29" s="333"/>
      <c r="R29" s="333"/>
      <c r="S29" s="333"/>
      <c r="T29" s="57"/>
      <c r="U29" s="26"/>
      <c r="V29" s="26"/>
      <c r="W29" s="44"/>
      <c r="X29" s="44"/>
      <c r="Y29" s="24"/>
      <c r="Z29" s="24"/>
      <c r="AA29" s="24"/>
      <c r="AB29" s="24"/>
      <c r="AC29" s="44"/>
      <c r="AD29" s="44"/>
      <c r="AE29" s="24"/>
      <c r="AF29" s="24"/>
      <c r="AG29" s="24"/>
      <c r="AH29" s="24"/>
      <c r="AI29" s="24"/>
      <c r="AJ29" s="24"/>
      <c r="AK29" s="24"/>
      <c r="AL29" s="24"/>
      <c r="AM29" s="24"/>
      <c r="AN29" s="24"/>
      <c r="AO29" s="24"/>
      <c r="AP29" s="24"/>
      <c r="AQ29" s="24"/>
      <c r="AR29" s="24"/>
      <c r="AS29" s="24"/>
    </row>
    <row r="30" spans="1:45" x14ac:dyDescent="0.3">
      <c r="C30" s="42"/>
      <c r="D30" s="433"/>
      <c r="E30" s="433"/>
      <c r="F30" s="433"/>
      <c r="G30" s="433"/>
      <c r="H30" s="433"/>
      <c r="I30" s="433"/>
      <c r="J30" s="433"/>
      <c r="K30" s="433"/>
      <c r="L30" s="433"/>
      <c r="M30" s="433"/>
      <c r="N30" s="433"/>
      <c r="O30" s="433"/>
      <c r="P30" s="433"/>
      <c r="Q30" s="433"/>
      <c r="R30" s="433"/>
      <c r="S30" s="44"/>
      <c r="T30" s="40"/>
      <c r="U30" s="44"/>
      <c r="V30" s="44"/>
      <c r="W30" s="44"/>
      <c r="X30" s="44"/>
      <c r="Y30" s="44"/>
      <c r="Z30" s="44"/>
      <c r="AA30" s="44"/>
    </row>
    <row r="31" spans="1:45" x14ac:dyDescent="0.3">
      <c r="C31" s="42"/>
      <c r="D31" s="433"/>
      <c r="E31" s="433"/>
      <c r="F31" s="433"/>
      <c r="G31" s="433"/>
      <c r="H31" s="433"/>
      <c r="I31" s="433"/>
      <c r="J31" s="433"/>
      <c r="K31" s="433"/>
      <c r="L31" s="433"/>
      <c r="M31" s="433"/>
      <c r="N31" s="433"/>
      <c r="O31" s="433"/>
      <c r="P31" s="433"/>
      <c r="Q31" s="433"/>
      <c r="R31" s="433"/>
      <c r="S31" s="44"/>
      <c r="T31" s="40"/>
      <c r="U31" s="44"/>
      <c r="V31" s="44"/>
      <c r="W31" s="44"/>
      <c r="X31" s="44"/>
      <c r="Y31" s="44"/>
      <c r="Z31" s="44"/>
      <c r="AA31" s="44"/>
    </row>
    <row r="32" spans="1:45" x14ac:dyDescent="0.3">
      <c r="C32" s="42"/>
      <c r="D32" s="433"/>
      <c r="E32" s="433"/>
      <c r="F32" s="433"/>
      <c r="G32" s="433"/>
      <c r="H32" s="433"/>
      <c r="I32" s="433"/>
      <c r="J32" s="433"/>
      <c r="K32" s="433"/>
      <c r="L32" s="433"/>
      <c r="M32" s="433"/>
      <c r="N32" s="433"/>
      <c r="O32" s="433"/>
      <c r="P32" s="433"/>
      <c r="Q32" s="433"/>
      <c r="R32" s="433"/>
      <c r="S32" s="44"/>
      <c r="T32" s="40"/>
      <c r="U32" s="44"/>
      <c r="V32" s="44"/>
      <c r="W32" s="44"/>
      <c r="X32" s="44"/>
      <c r="Y32" s="44"/>
      <c r="Z32" s="44"/>
      <c r="AA32" s="44"/>
    </row>
    <row r="33" spans="3:27" x14ac:dyDescent="0.3">
      <c r="C33" s="42"/>
      <c r="D33" s="433"/>
      <c r="E33" s="433"/>
      <c r="F33" s="433"/>
      <c r="G33" s="433"/>
      <c r="H33" s="433"/>
      <c r="I33" s="433"/>
      <c r="J33" s="433"/>
      <c r="K33" s="433"/>
      <c r="L33" s="433"/>
      <c r="M33" s="433"/>
      <c r="N33" s="433"/>
      <c r="O33" s="433"/>
      <c r="P33" s="433"/>
      <c r="Q33" s="433"/>
      <c r="R33" s="433"/>
      <c r="S33" s="44"/>
      <c r="T33" s="40"/>
      <c r="U33" s="44"/>
      <c r="V33" s="44"/>
      <c r="W33" s="44"/>
      <c r="X33" s="44"/>
      <c r="Y33" s="44"/>
      <c r="Z33" s="44"/>
      <c r="AA33" s="44"/>
    </row>
    <row r="34" spans="3:27" x14ac:dyDescent="0.3">
      <c r="C34" s="42"/>
      <c r="D34" s="433"/>
      <c r="E34" s="433"/>
      <c r="F34" s="433"/>
      <c r="G34" s="433"/>
      <c r="H34" s="433"/>
      <c r="I34" s="433"/>
      <c r="J34" s="433"/>
      <c r="K34" s="433"/>
      <c r="L34" s="433"/>
      <c r="M34" s="433"/>
      <c r="N34" s="433"/>
      <c r="O34" s="433"/>
      <c r="P34" s="433"/>
      <c r="Q34" s="433"/>
      <c r="R34" s="433"/>
      <c r="S34" s="44"/>
      <c r="T34" s="40"/>
      <c r="U34" s="44"/>
      <c r="V34" s="44"/>
      <c r="W34" s="44"/>
      <c r="X34" s="44"/>
      <c r="Y34" s="44"/>
      <c r="Z34" s="44"/>
      <c r="AA34" s="44"/>
    </row>
    <row r="35" spans="3:27" x14ac:dyDescent="0.3">
      <c r="C35" s="42"/>
      <c r="D35" s="433"/>
      <c r="E35" s="433"/>
      <c r="F35" s="433"/>
      <c r="G35" s="433"/>
      <c r="H35" s="433"/>
      <c r="I35" s="433"/>
      <c r="J35" s="433"/>
      <c r="K35" s="433"/>
      <c r="L35" s="433"/>
      <c r="M35" s="433"/>
      <c r="N35" s="433"/>
      <c r="O35" s="433"/>
      <c r="P35" s="433"/>
      <c r="Q35" s="433"/>
      <c r="R35" s="433"/>
      <c r="S35" s="44"/>
      <c r="T35" s="40"/>
      <c r="U35" s="44"/>
      <c r="V35" s="44"/>
      <c r="W35" s="44"/>
      <c r="X35" s="44"/>
      <c r="Y35" s="44"/>
      <c r="Z35" s="44"/>
      <c r="AA35" s="44"/>
    </row>
    <row r="36" spans="3:27" x14ac:dyDescent="0.3">
      <c r="C36" s="42"/>
      <c r="D36" s="433"/>
      <c r="E36" s="433"/>
      <c r="F36" s="433"/>
      <c r="G36" s="433"/>
      <c r="H36" s="433"/>
      <c r="I36" s="433"/>
      <c r="J36" s="433"/>
      <c r="K36" s="433"/>
      <c r="L36" s="433"/>
      <c r="M36" s="433"/>
      <c r="N36" s="433"/>
      <c r="O36" s="433"/>
      <c r="P36" s="433"/>
      <c r="Q36" s="433"/>
      <c r="R36" s="433"/>
      <c r="S36" s="44"/>
      <c r="T36" s="40"/>
      <c r="U36" s="44"/>
      <c r="V36" s="44"/>
      <c r="W36" s="44"/>
      <c r="X36" s="44"/>
      <c r="Y36" s="44"/>
      <c r="Z36" s="44"/>
      <c r="AA36" s="44"/>
    </row>
    <row r="37" spans="3:27" x14ac:dyDescent="0.3">
      <c r="C37" s="42"/>
      <c r="D37" s="433"/>
      <c r="E37" s="433"/>
      <c r="F37" s="433"/>
      <c r="G37" s="433"/>
      <c r="H37" s="433"/>
      <c r="I37" s="433"/>
      <c r="J37" s="433"/>
      <c r="K37" s="433"/>
      <c r="L37" s="433"/>
      <c r="M37" s="433"/>
      <c r="N37" s="433"/>
      <c r="O37" s="433"/>
      <c r="P37" s="433"/>
      <c r="Q37" s="433"/>
      <c r="R37" s="433"/>
      <c r="S37" s="44"/>
      <c r="T37" s="40"/>
      <c r="U37" s="44"/>
      <c r="V37" s="44"/>
      <c r="W37" s="44"/>
      <c r="X37" s="44"/>
      <c r="Y37" s="44"/>
      <c r="Z37" s="44"/>
      <c r="AA37" s="44"/>
    </row>
    <row r="38" spans="3:27" x14ac:dyDescent="0.3">
      <c r="C38" s="42"/>
      <c r="D38" s="433"/>
      <c r="E38" s="433"/>
      <c r="F38" s="433"/>
      <c r="G38" s="433"/>
      <c r="R38" s="433"/>
      <c r="S38" s="44"/>
      <c r="T38" s="40"/>
      <c r="U38" s="44"/>
      <c r="V38" s="44"/>
      <c r="W38" s="44"/>
      <c r="X38" s="44"/>
      <c r="Y38" s="44"/>
      <c r="Z38" s="44"/>
      <c r="AA38" s="44"/>
    </row>
    <row r="39" spans="3:27" x14ac:dyDescent="0.3">
      <c r="C39" s="42"/>
      <c r="D39" s="433"/>
      <c r="E39" s="433"/>
      <c r="F39" s="433"/>
      <c r="G39" s="433"/>
      <c r="R39" s="433"/>
      <c r="S39" s="44"/>
      <c r="T39" s="40"/>
      <c r="U39" s="44"/>
      <c r="V39" s="44"/>
      <c r="W39" s="44"/>
      <c r="X39" s="44"/>
      <c r="Y39" s="44"/>
      <c r="Z39" s="44"/>
      <c r="AA39" s="44"/>
    </row>
    <row r="40" spans="3:27" x14ac:dyDescent="0.3">
      <c r="C40" s="42"/>
      <c r="D40" s="433"/>
      <c r="E40" s="433"/>
      <c r="F40" s="433"/>
      <c r="G40" s="433"/>
      <c r="R40" s="433"/>
      <c r="S40" s="44"/>
      <c r="T40" s="40"/>
      <c r="U40" s="44"/>
      <c r="V40" s="44"/>
      <c r="W40" s="44"/>
      <c r="X40" s="44"/>
      <c r="Y40" s="44"/>
      <c r="Z40" s="44"/>
      <c r="AA40" s="44"/>
    </row>
    <row r="41" spans="3:27" x14ac:dyDescent="0.3">
      <c r="C41" s="42"/>
      <c r="D41" s="433"/>
      <c r="E41" s="433"/>
      <c r="F41" s="433"/>
      <c r="G41" s="433"/>
      <c r="R41" s="433"/>
      <c r="S41" s="44"/>
      <c r="T41" s="40"/>
      <c r="U41" s="44"/>
      <c r="V41" s="44"/>
      <c r="W41" s="44"/>
      <c r="X41" s="44"/>
      <c r="Y41" s="44"/>
      <c r="Z41" s="44"/>
      <c r="AA41" s="44"/>
    </row>
    <row r="42" spans="3:27" x14ac:dyDescent="0.3">
      <c r="D42" s="433"/>
      <c r="E42" s="433"/>
      <c r="F42" s="433"/>
      <c r="G42" s="433"/>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T209"/>
  <sheetViews>
    <sheetView showGridLines="0" tabSelected="1" zoomScaleNormal="100" workbookViewId="0">
      <selection activeCell="A3" sqref="A3"/>
    </sheetView>
  </sheetViews>
  <sheetFormatPr defaultColWidth="9" defaultRowHeight="20.25" outlineLevelRow="1" outlineLevelCol="1" x14ac:dyDescent="0.3"/>
  <cols>
    <col min="1" max="1" width="13.75" style="341" customWidth="1"/>
    <col min="2" max="2" width="3.625" style="308" customWidth="1"/>
    <col min="3" max="3" width="3.625" style="43" customWidth="1"/>
    <col min="4" max="4" width="6.375" style="55" customWidth="1"/>
    <col min="5" max="5" width="7.75" style="55" customWidth="1"/>
    <col min="6" max="6" width="20.5" style="28" customWidth="1"/>
    <col min="7" max="7" width="14.25" style="55" customWidth="1"/>
    <col min="8" max="17" width="1.625" style="55" customWidth="1"/>
    <col min="18" max="18" width="19.75" style="55" customWidth="1"/>
    <col min="19" max="20" width="3.625" style="55" customWidth="1"/>
    <col min="21" max="21" width="5.125" style="36" hidden="1" customWidth="1" outlineLevel="1"/>
    <col min="22" max="22" width="27.25" style="55" hidden="1" customWidth="1" outlineLevel="1"/>
    <col min="23" max="23" width="14.875" style="55" hidden="1" customWidth="1" outlineLevel="1"/>
    <col min="24" max="24" width="14.625" style="55" hidden="1" customWidth="1" outlineLevel="1"/>
    <col min="25" max="25" width="30.625" style="55" customWidth="1" collapsed="1"/>
    <col min="26" max="26" width="16.5" style="55" customWidth="1"/>
    <col min="27" max="27" width="18" style="55" customWidth="1"/>
    <col min="28" max="36" width="31.125" style="55" customWidth="1"/>
    <col min="37" max="16384" width="9" style="55"/>
  </cols>
  <sheetData>
    <row r="1" spans="1:46" s="160" customFormat="1" ht="15.75" customHeight="1" x14ac:dyDescent="0.2">
      <c r="A1" s="349" t="s">
        <v>100</v>
      </c>
      <c r="B1" s="333"/>
      <c r="C1" s="333"/>
      <c r="D1" s="333"/>
      <c r="E1" s="333"/>
      <c r="F1" s="333"/>
      <c r="G1" s="333"/>
      <c r="H1" s="333"/>
      <c r="I1" s="333"/>
      <c r="J1" s="333"/>
      <c r="K1" s="333"/>
      <c r="L1" s="333"/>
      <c r="M1" s="333"/>
      <c r="N1" s="333"/>
      <c r="O1" s="333"/>
      <c r="P1" s="333"/>
      <c r="Q1" s="333"/>
      <c r="R1" s="333"/>
      <c r="S1" s="333"/>
      <c r="T1" s="333"/>
      <c r="U1" s="36"/>
    </row>
    <row r="2" spans="1:46" s="28" customFormat="1" ht="30" customHeight="1" thickBot="1" x14ac:dyDescent="0.35">
      <c r="A2" s="336"/>
      <c r="B2" s="333"/>
      <c r="C2" s="247">
        <v>1</v>
      </c>
      <c r="D2" s="663" t="s">
        <v>38</v>
      </c>
      <c r="E2" s="663"/>
      <c r="F2" s="663"/>
      <c r="G2" s="643" t="str">
        <f>R.1MediaAndLongName</f>
        <v>AQ GrantsPassLMP</v>
      </c>
      <c r="H2" s="643"/>
      <c r="I2" s="643"/>
      <c r="J2" s="643"/>
      <c r="K2" s="643"/>
      <c r="L2" s="643"/>
      <c r="M2" s="643"/>
      <c r="N2" s="643"/>
      <c r="O2" s="643"/>
      <c r="P2" s="643"/>
      <c r="Q2" s="643"/>
      <c r="R2" s="643"/>
      <c r="S2" s="263"/>
      <c r="T2" s="333"/>
      <c r="U2" s="26"/>
      <c r="V2" s="197" t="s">
        <v>78</v>
      </c>
      <c r="W2" s="198">
        <v>58</v>
      </c>
      <c r="X2" s="24"/>
      <c r="Y2" s="44"/>
      <c r="Z2" s="24"/>
      <c r="AA2" s="24"/>
      <c r="AB2" s="24"/>
      <c r="AC2" s="64"/>
      <c r="AD2" s="63"/>
      <c r="AE2" s="63"/>
      <c r="AF2" s="64"/>
      <c r="AG2" s="64"/>
      <c r="AH2" s="64"/>
      <c r="AI2" s="64"/>
      <c r="AJ2" s="64"/>
      <c r="AK2" s="64"/>
      <c r="AL2" s="64"/>
      <c r="AM2" s="64"/>
      <c r="AN2" s="64"/>
      <c r="AO2" s="64"/>
      <c r="AP2" s="64"/>
      <c r="AQ2" s="64"/>
      <c r="AR2" s="64"/>
      <c r="AS2" s="64"/>
      <c r="AT2" s="64"/>
    </row>
    <row r="3" spans="1:46" s="28" customFormat="1" ht="20.25" customHeight="1" thickTop="1" x14ac:dyDescent="0.3">
      <c r="A3" s="336"/>
      <c r="B3" s="333"/>
      <c r="C3" s="135"/>
      <c r="D3" s="2"/>
      <c r="E3" s="2"/>
      <c r="F3" s="2"/>
      <c r="G3" s="2"/>
      <c r="H3" s="2"/>
      <c r="I3" s="2"/>
      <c r="J3" s="2"/>
      <c r="K3" s="2"/>
      <c r="L3" s="2"/>
      <c r="M3" s="2"/>
      <c r="N3" s="2"/>
      <c r="O3" s="2"/>
      <c r="P3" s="2"/>
      <c r="Q3" s="2"/>
      <c r="R3" s="2"/>
      <c r="S3" s="264"/>
      <c r="T3" s="333"/>
      <c r="U3" s="26"/>
      <c r="V3" s="197"/>
      <c r="W3" s="24"/>
      <c r="X3" s="24"/>
      <c r="Y3" s="119" t="s">
        <v>0</v>
      </c>
      <c r="Z3" s="24"/>
      <c r="AA3" s="24"/>
      <c r="AB3" s="24"/>
      <c r="AC3" s="64"/>
      <c r="AD3" s="63"/>
      <c r="AE3" s="63"/>
      <c r="AF3" s="64"/>
      <c r="AG3" s="64"/>
      <c r="AH3" s="64"/>
      <c r="AI3" s="64"/>
      <c r="AJ3" s="64"/>
      <c r="AK3" s="64"/>
      <c r="AL3" s="64"/>
      <c r="AM3" s="64"/>
      <c r="AN3" s="64"/>
      <c r="AO3" s="64"/>
      <c r="AP3" s="64"/>
      <c r="AQ3" s="64"/>
      <c r="AR3" s="64"/>
      <c r="AS3" s="64"/>
      <c r="AT3" s="64"/>
    </row>
    <row r="4" spans="1:46" s="27" customFormat="1" ht="20.25" customHeight="1" x14ac:dyDescent="0.2">
      <c r="A4" s="340"/>
      <c r="B4" s="333"/>
      <c r="C4" s="137"/>
      <c r="D4" s="660" t="s">
        <v>81</v>
      </c>
      <c r="E4" s="660"/>
      <c r="F4" s="660"/>
      <c r="G4" s="664" t="s">
        <v>608</v>
      </c>
      <c r="H4" s="665"/>
      <c r="I4" s="665"/>
      <c r="J4" s="665"/>
      <c r="K4" s="665"/>
      <c r="L4" s="665"/>
      <c r="M4" s="665"/>
      <c r="N4" s="665"/>
      <c r="O4" s="665"/>
      <c r="P4" s="665"/>
      <c r="Q4" s="665"/>
      <c r="R4" s="666"/>
      <c r="S4" s="313"/>
      <c r="T4" s="333"/>
      <c r="U4" s="26"/>
      <c r="V4" s="197" t="str">
        <f>P6&amp;" "&amp;H5</f>
        <v>AQ GrantsPassLMP</v>
      </c>
      <c r="W4" s="25"/>
      <c r="X4" s="25"/>
      <c r="Y4" s="314"/>
      <c r="Z4" s="25"/>
      <c r="AA4" s="25"/>
      <c r="AB4" s="25"/>
      <c r="AC4" s="129"/>
      <c r="AD4" s="125"/>
      <c r="AE4" s="125"/>
      <c r="AF4" s="129"/>
      <c r="AG4" s="129"/>
      <c r="AH4" s="129"/>
      <c r="AI4" s="129"/>
      <c r="AJ4" s="129"/>
      <c r="AK4" s="129"/>
      <c r="AL4" s="129"/>
      <c r="AM4" s="129"/>
      <c r="AN4" s="129"/>
      <c r="AO4" s="129"/>
      <c r="AP4" s="129"/>
      <c r="AQ4" s="129"/>
      <c r="AR4" s="129"/>
      <c r="AS4" s="129"/>
      <c r="AT4" s="129"/>
    </row>
    <row r="5" spans="1:46" s="27" customFormat="1" ht="20.25" customHeight="1" x14ac:dyDescent="0.2">
      <c r="A5" s="340"/>
      <c r="B5" s="333"/>
      <c r="C5" s="137"/>
      <c r="D5" s="667" t="s">
        <v>156</v>
      </c>
      <c r="E5" s="667"/>
      <c r="F5" s="668"/>
      <c r="G5" s="401" t="s">
        <v>604</v>
      </c>
      <c r="H5" s="653" t="s">
        <v>609</v>
      </c>
      <c r="I5" s="654"/>
      <c r="J5" s="654"/>
      <c r="K5" s="654"/>
      <c r="L5" s="654"/>
      <c r="M5" s="654"/>
      <c r="N5" s="654"/>
      <c r="O5" s="654"/>
      <c r="P5" s="654"/>
      <c r="Q5" s="654"/>
      <c r="R5" s="655"/>
      <c r="S5" s="313"/>
      <c r="T5" s="333"/>
      <c r="U5" s="26"/>
      <c r="V5"/>
      <c r="W5" s="25"/>
      <c r="X5" s="25"/>
      <c r="Y5" s="314"/>
      <c r="Z5" s="25"/>
      <c r="AA5" s="25"/>
      <c r="AB5" s="25"/>
      <c r="AC5" s="129"/>
      <c r="AD5" s="125"/>
      <c r="AE5" s="125"/>
      <c r="AF5" s="129"/>
      <c r="AG5" s="129"/>
      <c r="AH5" s="129"/>
      <c r="AI5" s="129"/>
      <c r="AJ5" s="129"/>
      <c r="AK5" s="129"/>
      <c r="AL5" s="129"/>
      <c r="AM5" s="129"/>
      <c r="AN5" s="129"/>
      <c r="AO5" s="129"/>
      <c r="AP5" s="129"/>
      <c r="AQ5" s="129"/>
      <c r="AR5" s="129"/>
      <c r="AS5" s="129"/>
      <c r="AT5" s="129"/>
    </row>
    <row r="6" spans="1:46" s="27" customFormat="1" ht="20.25" customHeight="1" x14ac:dyDescent="0.2">
      <c r="A6" s="340"/>
      <c r="B6" s="333"/>
      <c r="C6" s="137"/>
      <c r="D6" s="602" t="s">
        <v>582</v>
      </c>
      <c r="E6" s="393"/>
      <c r="F6" s="393"/>
      <c r="G6" s="402">
        <v>2014</v>
      </c>
      <c r="H6" s="394"/>
      <c r="I6" s="656" t="s">
        <v>157</v>
      </c>
      <c r="J6" s="656"/>
      <c r="K6" s="656"/>
      <c r="L6" s="656"/>
      <c r="M6" s="656"/>
      <c r="N6" s="656"/>
      <c r="O6" s="657"/>
      <c r="P6" s="658" t="s">
        <v>588</v>
      </c>
      <c r="Q6" s="659"/>
      <c r="R6" s="394"/>
      <c r="S6" s="313"/>
      <c r="T6" s="333"/>
      <c r="U6" s="26"/>
      <c r="V6" t="str">
        <f>P6</f>
        <v>AQ</v>
      </c>
      <c r="W6" s="25"/>
      <c r="X6" s="25"/>
      <c r="Y6" s="574" t="s">
        <v>538</v>
      </c>
      <c r="Z6" s="25"/>
      <c r="AA6" s="25"/>
      <c r="AB6" s="25"/>
      <c r="AC6" s="129"/>
      <c r="AD6" s="125"/>
      <c r="AE6" s="125"/>
      <c r="AF6" s="129"/>
      <c r="AG6" s="129"/>
      <c r="AH6" s="129"/>
      <c r="AI6" s="129"/>
      <c r="AJ6" s="129"/>
      <c r="AK6" s="129"/>
      <c r="AL6" s="129"/>
      <c r="AM6" s="129"/>
      <c r="AN6" s="129"/>
      <c r="AO6" s="129"/>
      <c r="AP6" s="129"/>
      <c r="AQ6" s="129"/>
      <c r="AR6" s="129"/>
      <c r="AS6" s="129"/>
      <c r="AT6" s="129"/>
    </row>
    <row r="7" spans="1:46" s="28" customFormat="1" x14ac:dyDescent="0.3">
      <c r="A7" s="349" t="s">
        <v>105</v>
      </c>
      <c r="B7" s="333"/>
      <c r="C7" s="265"/>
      <c r="D7" s="273" t="s">
        <v>585</v>
      </c>
      <c r="E7" s="39"/>
      <c r="F7" s="274"/>
      <c r="G7" s="402">
        <v>43993</v>
      </c>
      <c r="H7" s="645" t="str">
        <f>"Rulemaking: "&amp;$P$6&amp;" "&amp;$H$5</f>
        <v>Rulemaking: AQ GrantsPassLMP</v>
      </c>
      <c r="I7" s="645"/>
      <c r="J7" s="645"/>
      <c r="K7" s="645"/>
      <c r="L7" s="645"/>
      <c r="M7" s="645"/>
      <c r="N7" s="645"/>
      <c r="O7" s="645"/>
      <c r="P7" s="645"/>
      <c r="Q7" s="645"/>
      <c r="R7" s="646"/>
      <c r="S7" s="266"/>
      <c r="T7" s="333"/>
      <c r="U7" s="26"/>
      <c r="V7" s="197"/>
      <c r="W7" s="24"/>
      <c r="X7" s="24"/>
      <c r="Y7" s="61" t="s">
        <v>0</v>
      </c>
      <c r="Z7" s="24"/>
      <c r="AA7" s="24"/>
      <c r="AB7" s="24"/>
      <c r="AC7" s="64"/>
      <c r="AD7" s="63"/>
      <c r="AE7" s="63"/>
      <c r="AF7" s="64"/>
      <c r="AG7" s="64"/>
      <c r="AH7" s="64"/>
      <c r="AI7" s="64"/>
      <c r="AJ7" s="64"/>
      <c r="AK7" s="64"/>
      <c r="AL7" s="64"/>
      <c r="AM7" s="64"/>
      <c r="AN7" s="64"/>
      <c r="AO7" s="64"/>
      <c r="AP7" s="64"/>
      <c r="AQ7" s="64"/>
      <c r="AR7" s="64"/>
      <c r="AS7" s="64"/>
      <c r="AT7" s="64"/>
    </row>
    <row r="8" spans="1:46" s="28" customFormat="1" hidden="1" outlineLevel="1" x14ac:dyDescent="0.3">
      <c r="A8" s="341"/>
      <c r="B8" s="333"/>
      <c r="C8" s="265"/>
      <c r="D8" s="273" t="s">
        <v>68</v>
      </c>
      <c r="E8" s="39"/>
      <c r="F8" s="274"/>
      <c r="G8" s="395" t="s">
        <v>155</v>
      </c>
      <c r="H8" s="645" t="str">
        <f>P.1PlanYear&amp; " Rules "&amp;$P$6&amp;" "&amp;$G$5</f>
        <v>2014 Rules AQ GPLMP</v>
      </c>
      <c r="I8" s="645"/>
      <c r="J8" s="645"/>
      <c r="K8" s="645"/>
      <c r="L8" s="645"/>
      <c r="M8" s="645"/>
      <c r="N8" s="645"/>
      <c r="O8" s="645"/>
      <c r="P8" s="645"/>
      <c r="Q8" s="645"/>
      <c r="R8" s="646"/>
      <c r="S8" s="266"/>
      <c r="T8" s="333"/>
      <c r="U8" s="26"/>
      <c r="V8" s="197"/>
      <c r="W8" s="24"/>
      <c r="X8" s="24"/>
      <c r="Y8"/>
      <c r="Z8" s="24"/>
      <c r="AA8" s="24"/>
      <c r="AB8" s="24"/>
      <c r="AC8" s="64"/>
      <c r="AD8" s="63"/>
      <c r="AE8" s="63"/>
      <c r="AF8" s="64"/>
      <c r="AG8" s="64"/>
      <c r="AH8" s="64"/>
      <c r="AI8" s="64"/>
      <c r="AJ8" s="64"/>
      <c r="AK8" s="64"/>
      <c r="AL8" s="64"/>
      <c r="AM8" s="64"/>
      <c r="AN8" s="64"/>
      <c r="AO8" s="64"/>
      <c r="AP8" s="64"/>
      <c r="AQ8" s="64"/>
      <c r="AR8" s="64"/>
      <c r="AS8" s="64"/>
      <c r="AT8" s="64"/>
    </row>
    <row r="9" spans="1:46" s="28" customFormat="1" hidden="1" outlineLevel="1" x14ac:dyDescent="0.3">
      <c r="A9" s="341"/>
      <c r="B9" s="333"/>
      <c r="C9" s="265"/>
      <c r="D9" s="273" t="s">
        <v>68</v>
      </c>
      <c r="E9" s="39"/>
      <c r="F9" s="274"/>
      <c r="G9" s="395" t="s">
        <v>155</v>
      </c>
      <c r="H9" s="645" t="str">
        <f>P.1PlanYear&amp; " Rules "&amp;$P$6&amp;" "&amp;$G$5</f>
        <v>2014 Rules AQ GPLMP</v>
      </c>
      <c r="I9" s="645"/>
      <c r="J9" s="645"/>
      <c r="K9" s="645"/>
      <c r="L9" s="645"/>
      <c r="M9" s="645"/>
      <c r="N9" s="645"/>
      <c r="O9" s="645"/>
      <c r="P9" s="645"/>
      <c r="Q9" s="645"/>
      <c r="R9" s="646"/>
      <c r="S9" s="266"/>
      <c r="T9" s="333"/>
      <c r="U9" s="26"/>
      <c r="V9" s="197"/>
      <c r="W9" s="24"/>
      <c r="X9" s="24"/>
      <c r="Y9"/>
      <c r="Z9" s="24"/>
      <c r="AA9" s="24"/>
      <c r="AB9" s="24"/>
      <c r="AC9" s="64"/>
      <c r="AD9" s="63"/>
      <c r="AE9" s="63"/>
      <c r="AF9" s="64"/>
      <c r="AG9" s="64"/>
      <c r="AH9" s="64"/>
      <c r="AI9" s="64"/>
      <c r="AJ9" s="64"/>
      <c r="AK9" s="64"/>
      <c r="AL9" s="64"/>
      <c r="AM9" s="64"/>
      <c r="AN9" s="64"/>
      <c r="AO9" s="64"/>
      <c r="AP9" s="64"/>
      <c r="AQ9" s="64"/>
      <c r="AR9" s="64"/>
      <c r="AS9" s="64"/>
      <c r="AT9" s="64"/>
    </row>
    <row r="10" spans="1:46" s="28" customFormat="1" hidden="1" outlineLevel="1" x14ac:dyDescent="0.3">
      <c r="A10" s="341"/>
      <c r="B10" s="333"/>
      <c r="C10" s="265"/>
      <c r="D10" s="273" t="s">
        <v>68</v>
      </c>
      <c r="E10" s="39"/>
      <c r="F10" s="274"/>
      <c r="G10" s="395" t="s">
        <v>155</v>
      </c>
      <c r="H10" s="645" t="str">
        <f>P.1PlanYear&amp; " Rules "&amp;$P$6&amp;" "&amp;$G$5</f>
        <v>2014 Rules AQ GPLMP</v>
      </c>
      <c r="I10" s="645"/>
      <c r="J10" s="645"/>
      <c r="K10" s="645"/>
      <c r="L10" s="645"/>
      <c r="M10" s="645"/>
      <c r="N10" s="645"/>
      <c r="O10" s="645"/>
      <c r="P10" s="645"/>
      <c r="Q10" s="645"/>
      <c r="R10" s="646"/>
      <c r="S10" s="266"/>
      <c r="T10" s="333"/>
      <c r="U10" s="26"/>
      <c r="V10" s="197"/>
      <c r="W10" s="24"/>
      <c r="X10" s="24"/>
      <c r="Y10"/>
      <c r="Z10" s="24"/>
      <c r="AA10" s="24"/>
      <c r="AB10" s="24"/>
      <c r="AC10" s="64"/>
      <c r="AD10" s="63"/>
      <c r="AE10" s="63"/>
      <c r="AF10" s="64"/>
      <c r="AG10" s="64"/>
      <c r="AH10" s="64"/>
      <c r="AI10" s="64"/>
      <c r="AJ10" s="64"/>
      <c r="AK10" s="64"/>
      <c r="AL10" s="64"/>
      <c r="AM10" s="64"/>
      <c r="AN10" s="64"/>
      <c r="AO10" s="64"/>
      <c r="AP10" s="64"/>
      <c r="AQ10" s="64"/>
      <c r="AR10" s="64"/>
      <c r="AS10" s="64"/>
      <c r="AT10" s="64"/>
    </row>
    <row r="11" spans="1:46" s="28" customFormat="1" ht="29.25" customHeight="1" collapsed="1" x14ac:dyDescent="0.3">
      <c r="A11" s="341"/>
      <c r="B11" s="333"/>
      <c r="C11" s="265"/>
      <c r="D11" s="397" t="s">
        <v>45</v>
      </c>
      <c r="E11" s="398"/>
      <c r="F11" s="399"/>
      <c r="G11" s="400"/>
      <c r="H11" s="9"/>
      <c r="I11" s="9"/>
      <c r="J11" s="9"/>
      <c r="K11"/>
      <c r="L11"/>
      <c r="M11"/>
      <c r="N11"/>
      <c r="O11"/>
      <c r="P11"/>
      <c r="Q11"/>
      <c r="R11"/>
      <c r="S11" s="266"/>
      <c r="T11" s="333"/>
      <c r="U11" s="26"/>
      <c r="V11" s="197"/>
      <c r="W11" s="24"/>
      <c r="X11" s="24"/>
      <c r="Y11" s="44" t="s">
        <v>0</v>
      </c>
      <c r="Z11" s="24"/>
      <c r="AA11" s="24"/>
      <c r="AB11" s="24"/>
      <c r="AC11" s="64"/>
      <c r="AD11" s="63"/>
      <c r="AE11" s="63"/>
      <c r="AF11" s="64"/>
      <c r="AG11" s="64"/>
      <c r="AH11" s="64"/>
      <c r="AI11" s="64"/>
      <c r="AJ11" s="64"/>
      <c r="AK11" s="64"/>
      <c r="AL11" s="64"/>
      <c r="AM11" s="64"/>
      <c r="AN11" s="64"/>
      <c r="AO11" s="64"/>
      <c r="AP11" s="64"/>
      <c r="AQ11" s="64"/>
      <c r="AR11" s="64"/>
      <c r="AS11" s="64"/>
      <c r="AT11" s="64"/>
    </row>
    <row r="12" spans="1:46" s="28" customFormat="1" x14ac:dyDescent="0.3">
      <c r="A12" s="341"/>
      <c r="B12" s="333"/>
      <c r="C12" s="265"/>
      <c r="D12" s="275" t="s">
        <v>40</v>
      </c>
      <c r="E12" s="39"/>
      <c r="F12" s="274"/>
      <c r="G12" s="644" t="str">
        <f>"RM-"&amp;G5</f>
        <v>RM-GPLMP</v>
      </c>
      <c r="H12" s="645"/>
      <c r="I12" s="645"/>
      <c r="J12" s="645"/>
      <c r="K12" s="645"/>
      <c r="L12" s="645"/>
      <c r="M12" s="645"/>
      <c r="N12" s="645"/>
      <c r="O12" s="645"/>
      <c r="P12" s="645"/>
      <c r="Q12" s="645"/>
      <c r="R12" s="646"/>
      <c r="S12" s="266"/>
      <c r="T12" s="333"/>
      <c r="U12" s="26"/>
      <c r="V12" s="396" t="s">
        <v>0</v>
      </c>
      <c r="W12" s="24"/>
      <c r="X12" s="24"/>
      <c r="Y12" s="44"/>
      <c r="Z12" s="24"/>
      <c r="AA12" s="24"/>
      <c r="AB12" s="24"/>
      <c r="AC12" s="64"/>
      <c r="AD12" s="63"/>
      <c r="AE12" s="63"/>
      <c r="AF12" s="64"/>
      <c r="AG12" s="64"/>
      <c r="AH12" s="64"/>
      <c r="AI12" s="64"/>
      <c r="AJ12" s="64"/>
      <c r="AK12" s="64"/>
      <c r="AL12" s="64"/>
      <c r="AM12" s="64"/>
      <c r="AN12" s="64"/>
      <c r="AO12" s="64"/>
      <c r="AP12" s="64"/>
      <c r="AQ12" s="64"/>
      <c r="AR12" s="64"/>
      <c r="AS12" s="64"/>
      <c r="AT12" s="64"/>
    </row>
    <row r="13" spans="1:46" s="28" customFormat="1" x14ac:dyDescent="0.3">
      <c r="A13" s="341"/>
      <c r="B13" s="333"/>
      <c r="C13" s="265"/>
      <c r="D13" s="275" t="s">
        <v>5</v>
      </c>
      <c r="E13" s="39"/>
      <c r="F13" s="276"/>
      <c r="G13" s="644" t="str">
        <f>"RM-"&amp;G5&amp;" "&amp;P.1PlanYear</f>
        <v>RM-GPLMP 2014</v>
      </c>
      <c r="H13" s="645"/>
      <c r="I13" s="645"/>
      <c r="J13" s="645"/>
      <c r="K13" s="645"/>
      <c r="L13" s="645"/>
      <c r="M13" s="645"/>
      <c r="N13" s="645"/>
      <c r="O13" s="645"/>
      <c r="P13" s="645"/>
      <c r="Q13" s="645"/>
      <c r="R13" s="646"/>
      <c r="S13" s="266"/>
      <c r="T13" s="333"/>
      <c r="U13" s="26"/>
      <c r="V13" s="197"/>
      <c r="W13" s="24"/>
      <c r="X13" s="24"/>
      <c r="Y13" s="44"/>
      <c r="Z13" s="24"/>
      <c r="AA13" s="24"/>
      <c r="AB13" s="24"/>
      <c r="AC13" s="64"/>
      <c r="AD13" s="63"/>
      <c r="AE13" s="63"/>
      <c r="AF13" s="64"/>
      <c r="AG13" s="64"/>
      <c r="AH13" s="64"/>
      <c r="AI13" s="64"/>
      <c r="AJ13" s="64"/>
      <c r="AK13" s="64"/>
      <c r="AL13" s="64"/>
      <c r="AM13" s="64"/>
      <c r="AN13" s="64"/>
      <c r="AO13" s="64"/>
      <c r="AP13" s="64"/>
      <c r="AQ13" s="64"/>
      <c r="AR13" s="64"/>
      <c r="AS13" s="64"/>
      <c r="AT13" s="64"/>
    </row>
    <row r="14" spans="1:46" s="28" customFormat="1" x14ac:dyDescent="0.3">
      <c r="A14" s="341"/>
      <c r="B14" s="333"/>
      <c r="C14" s="265"/>
      <c r="D14" s="275" t="s">
        <v>93</v>
      </c>
      <c r="E14" s="39"/>
      <c r="F14" s="277"/>
      <c r="G14" s="647" t="s">
        <v>583</v>
      </c>
      <c r="H14" s="648"/>
      <c r="I14" s="648"/>
      <c r="J14" s="648"/>
      <c r="K14" s="648"/>
      <c r="L14" s="648"/>
      <c r="M14" s="648"/>
      <c r="N14" s="648"/>
      <c r="O14" s="648"/>
      <c r="P14" s="648"/>
      <c r="Q14" s="648"/>
      <c r="R14" s="649"/>
      <c r="S14" s="266"/>
      <c r="T14" s="333"/>
      <c r="U14" s="26"/>
      <c r="V14" s="197"/>
      <c r="W14" s="24"/>
      <c r="X14" s="24"/>
      <c r="Y14" s="44"/>
      <c r="Z14" s="24"/>
      <c r="AA14" s="24"/>
      <c r="AB14" s="24"/>
      <c r="AC14" s="64"/>
      <c r="AD14" s="63"/>
      <c r="AE14" s="63"/>
      <c r="AF14" s="64"/>
      <c r="AG14" s="64"/>
      <c r="AH14" s="64"/>
      <c r="AI14" s="64"/>
      <c r="AJ14" s="64"/>
      <c r="AK14" s="64"/>
      <c r="AL14" s="64"/>
      <c r="AM14" s="64"/>
      <c r="AN14" s="64"/>
      <c r="AO14" s="64"/>
      <c r="AP14" s="64"/>
      <c r="AQ14" s="64"/>
      <c r="AR14" s="64"/>
      <c r="AS14" s="64"/>
      <c r="AT14" s="64"/>
    </row>
    <row r="15" spans="1:46" s="28" customFormat="1" x14ac:dyDescent="0.3">
      <c r="A15" s="341"/>
      <c r="B15" s="333"/>
      <c r="C15" s="265"/>
      <c r="D15" s="275" t="s">
        <v>92</v>
      </c>
      <c r="E15" s="273"/>
      <c r="F15" s="4"/>
      <c r="G15" s="647" t="s">
        <v>583</v>
      </c>
      <c r="H15" s="648"/>
      <c r="I15" s="648"/>
      <c r="J15" s="648"/>
      <c r="K15" s="648"/>
      <c r="L15" s="648"/>
      <c r="M15" s="648"/>
      <c r="N15" s="648"/>
      <c r="O15" s="648"/>
      <c r="P15" s="648"/>
      <c r="Q15" s="648"/>
      <c r="R15" s="649"/>
      <c r="S15" s="266"/>
      <c r="T15" s="333"/>
      <c r="U15" s="26"/>
      <c r="V15" s="197"/>
      <c r="W15" s="24"/>
      <c r="X15" s="24"/>
      <c r="Y15" s="44"/>
      <c r="Z15" s="24"/>
      <c r="AA15" s="24"/>
      <c r="AB15" s="24"/>
      <c r="AC15" s="64"/>
      <c r="AD15" s="63"/>
      <c r="AE15" s="63"/>
      <c r="AF15" s="64"/>
      <c r="AG15" s="64"/>
      <c r="AH15" s="64"/>
      <c r="AI15" s="64"/>
      <c r="AJ15" s="64"/>
      <c r="AK15" s="64"/>
      <c r="AL15" s="64"/>
      <c r="AM15" s="64"/>
      <c r="AN15" s="64"/>
      <c r="AO15" s="64"/>
      <c r="AP15" s="64"/>
      <c r="AQ15" s="64"/>
      <c r="AR15" s="64"/>
      <c r="AS15" s="64"/>
      <c r="AT15" s="64"/>
    </row>
    <row r="16" spans="1:46" s="28" customFormat="1" ht="20.25" customHeight="1" x14ac:dyDescent="0.3">
      <c r="A16" s="341"/>
      <c r="B16" s="333"/>
      <c r="C16" s="265"/>
      <c r="D16" s="275" t="s">
        <v>8</v>
      </c>
      <c r="E16" s="238"/>
      <c r="F16" s="278" t="s">
        <v>48</v>
      </c>
      <c r="G16" s="647" t="s">
        <v>589</v>
      </c>
      <c r="H16" s="648"/>
      <c r="I16" s="648"/>
      <c r="J16" s="648"/>
      <c r="K16" s="648"/>
      <c r="L16" s="648"/>
      <c r="M16" s="648"/>
      <c r="N16" s="648"/>
      <c r="O16" s="648"/>
      <c r="P16" s="648"/>
      <c r="Q16" s="648"/>
      <c r="R16" s="649"/>
      <c r="S16" s="266"/>
      <c r="T16" s="333"/>
      <c r="U16" s="26"/>
      <c r="V16" s="197"/>
      <c r="W16" s="24"/>
      <c r="X16" s="24"/>
      <c r="Y16" s="44"/>
      <c r="Z16" s="24"/>
      <c r="AA16" s="24"/>
      <c r="AB16" s="24"/>
      <c r="AC16" s="64"/>
      <c r="AD16" s="63"/>
      <c r="AE16" s="63"/>
      <c r="AF16" s="64"/>
      <c r="AG16" s="64"/>
      <c r="AH16" s="64"/>
      <c r="AI16" s="64"/>
      <c r="AJ16" s="64"/>
      <c r="AK16" s="64"/>
      <c r="AL16" s="64"/>
      <c r="AM16" s="64"/>
      <c r="AN16" s="64"/>
      <c r="AO16" s="64"/>
      <c r="AP16" s="64"/>
      <c r="AQ16" s="64"/>
      <c r="AR16" s="64"/>
      <c r="AS16" s="64"/>
      <c r="AT16" s="64"/>
    </row>
    <row r="17" spans="1:46" s="28" customFormat="1" ht="20.25" customHeight="1" x14ac:dyDescent="0.3">
      <c r="A17" s="341"/>
      <c r="B17" s="333"/>
      <c r="C17" s="265"/>
      <c r="D17" s="273"/>
      <c r="E17" s="273"/>
      <c r="F17" s="279" t="s">
        <v>3</v>
      </c>
      <c r="G17" s="650" t="s">
        <v>158</v>
      </c>
      <c r="H17" s="651"/>
      <c r="I17" s="651"/>
      <c r="J17" s="651"/>
      <c r="K17" s="651"/>
      <c r="L17" s="651"/>
      <c r="M17" s="651"/>
      <c r="N17" s="651"/>
      <c r="O17" s="651"/>
      <c r="P17" s="651"/>
      <c r="Q17" s="651"/>
      <c r="R17" s="652"/>
      <c r="S17" s="266"/>
      <c r="T17" s="333"/>
      <c r="U17" s="26"/>
      <c r="V17" s="197"/>
      <c r="W17" s="24"/>
      <c r="X17" s="24"/>
      <c r="Y17" s="44"/>
      <c r="Z17" s="24"/>
      <c r="AA17" s="24"/>
      <c r="AB17" s="24"/>
      <c r="AC17" s="64"/>
      <c r="AD17" s="63"/>
      <c r="AE17" s="63"/>
      <c r="AF17" s="64"/>
      <c r="AG17" s="64"/>
      <c r="AH17" s="64"/>
      <c r="AI17" s="64"/>
      <c r="AJ17" s="64"/>
      <c r="AK17" s="64"/>
      <c r="AL17" s="64"/>
      <c r="AM17" s="64"/>
      <c r="AN17" s="64"/>
      <c r="AO17" s="64"/>
      <c r="AP17" s="64"/>
      <c r="AQ17" s="64"/>
      <c r="AR17" s="64"/>
      <c r="AS17" s="64"/>
      <c r="AT17" s="64"/>
    </row>
    <row r="18" spans="1:46" s="28" customFormat="1" x14ac:dyDescent="0.3">
      <c r="A18" s="341"/>
      <c r="B18" s="333"/>
      <c r="C18" s="265"/>
      <c r="D18" s="8" t="s">
        <v>159</v>
      </c>
      <c r="E18" s="39"/>
      <c r="F18" s="67"/>
      <c r="G18" s="395" t="s">
        <v>160</v>
      </c>
      <c r="H18" s="661" t="s">
        <v>584</v>
      </c>
      <c r="I18" s="661"/>
      <c r="J18" s="661"/>
      <c r="K18" s="661"/>
      <c r="L18" s="661"/>
      <c r="M18" s="661"/>
      <c r="N18" s="661"/>
      <c r="O18" s="661"/>
      <c r="P18" s="661"/>
      <c r="Q18" s="661"/>
      <c r="R18" s="662"/>
      <c r="S18" s="266"/>
      <c r="T18" s="333"/>
      <c r="U18" s="26"/>
      <c r="V18" s="197"/>
      <c r="W18" s="24"/>
      <c r="X18" s="24"/>
      <c r="Y18" s="44"/>
      <c r="Z18" s="24"/>
      <c r="AA18" s="24"/>
      <c r="AB18" s="24"/>
      <c r="AC18" s="64"/>
      <c r="AD18" s="63"/>
      <c r="AE18" s="63"/>
      <c r="AF18" s="64"/>
      <c r="AG18" s="64"/>
      <c r="AH18" s="64"/>
      <c r="AI18" s="64"/>
      <c r="AJ18" s="64"/>
      <c r="AK18" s="64"/>
      <c r="AL18" s="64"/>
      <c r="AM18" s="64"/>
      <c r="AN18" s="64"/>
      <c r="AO18" s="64"/>
      <c r="AP18" s="64"/>
      <c r="AQ18" s="64"/>
      <c r="AR18" s="64"/>
      <c r="AS18" s="64"/>
      <c r="AT18" s="64"/>
    </row>
    <row r="19" spans="1:46" s="28" customFormat="1" x14ac:dyDescent="0.3">
      <c r="A19" s="341"/>
      <c r="B19" s="333"/>
      <c r="C19" s="265"/>
      <c r="D19" s="8" t="s">
        <v>4</v>
      </c>
      <c r="E19" s="238"/>
      <c r="F19" s="8"/>
      <c r="G19" s="636" t="str">
        <f>"Comment-"&amp;SUBSTITUTE(H5," ","")&amp;"@deq.state.or.us"</f>
        <v>Comment-GrantsPassLMP@deq.state.or.us</v>
      </c>
      <c r="H19" s="637"/>
      <c r="I19" s="637"/>
      <c r="J19" s="637"/>
      <c r="K19" s="637"/>
      <c r="L19" s="637"/>
      <c r="M19" s="637"/>
      <c r="N19" s="637"/>
      <c r="O19" s="637"/>
      <c r="P19" s="637"/>
      <c r="Q19" s="637"/>
      <c r="R19" s="638"/>
      <c r="S19" s="266"/>
      <c r="T19" s="333"/>
      <c r="U19" s="26"/>
      <c r="V19" s="197"/>
      <c r="W19" s="24"/>
      <c r="X19" s="24"/>
      <c r="Y19" s="44" t="s">
        <v>0</v>
      </c>
      <c r="Z19" s="24"/>
      <c r="AA19" s="24"/>
      <c r="AB19" s="24"/>
      <c r="AC19" s="64"/>
      <c r="AD19" s="63"/>
      <c r="AE19" s="63"/>
      <c r="AF19" s="64"/>
      <c r="AG19" s="64"/>
      <c r="AH19" s="64"/>
      <c r="AI19" s="64"/>
      <c r="AJ19" s="64"/>
      <c r="AK19" s="64"/>
      <c r="AL19" s="64"/>
      <c r="AM19" s="64"/>
      <c r="AN19" s="64"/>
      <c r="AO19" s="64"/>
      <c r="AP19" s="64"/>
      <c r="AQ19" s="64"/>
      <c r="AR19" s="64"/>
      <c r="AS19" s="64"/>
      <c r="AT19" s="64"/>
    </row>
    <row r="20" spans="1:46" s="28" customFormat="1" ht="30" customHeight="1" x14ac:dyDescent="0.2">
      <c r="A20" s="341"/>
      <c r="B20" s="333"/>
      <c r="C20" s="232"/>
      <c r="D20" s="642" t="str">
        <f>"Please suggest process improvements to the "&amp;D2&amp;" worksheet."</f>
        <v>Please suggest process improvements to the Project record worksheet.</v>
      </c>
      <c r="E20" s="642"/>
      <c r="F20" s="642"/>
      <c r="G20" s="642"/>
      <c r="H20" s="642"/>
      <c r="I20" s="642"/>
      <c r="J20" s="642"/>
      <c r="K20" s="642"/>
      <c r="L20" s="642"/>
      <c r="M20" s="642"/>
      <c r="N20" s="267"/>
      <c r="O20" s="268"/>
      <c r="P20" s="269"/>
      <c r="Q20" s="270"/>
      <c r="R20" s="238"/>
      <c r="S20" s="146"/>
      <c r="T20" s="333"/>
      <c r="U20" s="271"/>
      <c r="V20" s="24"/>
      <c r="W20" s="24"/>
      <c r="X20" s="24"/>
      <c r="Y20" s="272"/>
      <c r="Z20" s="272"/>
      <c r="AA20" s="272"/>
      <c r="AB20" s="272"/>
      <c r="AC20" s="235"/>
      <c r="AD20" s="235"/>
      <c r="AE20" s="235"/>
      <c r="AF20" s="235"/>
      <c r="AG20" s="64"/>
      <c r="AH20" s="64"/>
      <c r="AI20" s="64"/>
      <c r="AJ20" s="64"/>
      <c r="AK20" s="64"/>
      <c r="AL20" s="64"/>
      <c r="AM20" s="64"/>
      <c r="AN20" s="64"/>
      <c r="AO20" s="64"/>
      <c r="AP20" s="64"/>
      <c r="AQ20" s="64"/>
      <c r="AR20" s="64"/>
      <c r="AS20" s="64"/>
      <c r="AT20" s="64"/>
    </row>
    <row r="21" spans="1:46" s="6" customFormat="1" ht="30.75" customHeight="1" x14ac:dyDescent="0.3">
      <c r="A21" s="341"/>
      <c r="B21" s="333"/>
      <c r="C21" s="135"/>
      <c r="D21" s="639" t="s">
        <v>0</v>
      </c>
      <c r="E21" s="640"/>
      <c r="F21" s="640"/>
      <c r="G21" s="640"/>
      <c r="H21" s="640"/>
      <c r="I21" s="640"/>
      <c r="J21" s="640"/>
      <c r="K21" s="640"/>
      <c r="L21" s="640"/>
      <c r="M21" s="640"/>
      <c r="N21" s="640"/>
      <c r="O21" s="640"/>
      <c r="P21" s="640"/>
      <c r="Q21" s="640"/>
      <c r="R21" s="641"/>
      <c r="S21" s="147"/>
      <c r="T21" s="333"/>
      <c r="U21" s="66"/>
      <c r="V21" s="24"/>
      <c r="W21" s="24"/>
      <c r="X21" s="24"/>
      <c r="Y21" s="44"/>
      <c r="Z21" s="44"/>
      <c r="AA21" s="44"/>
      <c r="AB21" s="44"/>
      <c r="AC21" s="63"/>
      <c r="AD21" s="63"/>
      <c r="AE21" s="63"/>
      <c r="AF21" s="63"/>
      <c r="AG21" s="65"/>
      <c r="AH21" s="65"/>
      <c r="AI21" s="65"/>
      <c r="AJ21" s="65"/>
      <c r="AK21" s="65"/>
      <c r="AL21" s="65"/>
      <c r="AM21" s="65"/>
      <c r="AN21" s="65"/>
      <c r="AO21" s="65"/>
      <c r="AP21" s="65"/>
      <c r="AQ21" s="65"/>
      <c r="AR21" s="65"/>
      <c r="AS21" s="65"/>
      <c r="AT21" s="65"/>
    </row>
    <row r="22" spans="1:46" ht="18" customHeight="1" x14ac:dyDescent="0.3">
      <c r="B22" s="333"/>
      <c r="C22" s="148"/>
      <c r="D22" s="11"/>
      <c r="E22" s="11"/>
      <c r="F22" s="149"/>
      <c r="G22" s="11"/>
      <c r="H22" s="11"/>
      <c r="I22" s="11"/>
      <c r="J22" s="11"/>
      <c r="K22" s="11"/>
      <c r="L22" s="11"/>
      <c r="M22" s="11"/>
      <c r="N22" s="11"/>
      <c r="O22" s="11"/>
      <c r="P22" s="11"/>
      <c r="Q22" s="11"/>
      <c r="R22" s="11"/>
      <c r="S22" s="150"/>
      <c r="T22" s="333"/>
      <c r="U22" s="44"/>
      <c r="V22" s="44"/>
      <c r="W22" s="44"/>
      <c r="X22" s="44"/>
      <c r="Y22" s="44"/>
      <c r="Z22" s="44"/>
      <c r="AA22" s="44"/>
      <c r="AB22" s="44"/>
      <c r="AC22" s="63"/>
      <c r="AD22" s="63"/>
      <c r="AE22" s="63"/>
      <c r="AF22" s="63"/>
      <c r="AG22" s="63"/>
      <c r="AH22" s="63"/>
      <c r="AI22" s="63"/>
      <c r="AJ22" s="63"/>
      <c r="AK22" s="63"/>
      <c r="AL22" s="63"/>
      <c r="AM22" s="63"/>
      <c r="AN22" s="63"/>
      <c r="AO22" s="63"/>
      <c r="AP22" s="63"/>
      <c r="AQ22" s="63"/>
      <c r="AR22" s="63"/>
      <c r="AS22" s="63"/>
      <c r="AT22" s="63"/>
    </row>
    <row r="23" spans="1:46" ht="14.25" x14ac:dyDescent="0.2">
      <c r="B23" s="333"/>
      <c r="C23" s="333"/>
      <c r="D23" s="333"/>
      <c r="E23" s="333"/>
      <c r="F23" s="333"/>
      <c r="G23" s="333"/>
      <c r="H23" s="333"/>
      <c r="I23" s="333"/>
      <c r="J23" s="333"/>
      <c r="K23" s="333"/>
      <c r="L23" s="333"/>
      <c r="M23" s="333"/>
      <c r="N23" s="333"/>
      <c r="O23" s="333"/>
      <c r="P23" s="333"/>
      <c r="Q23" s="333"/>
      <c r="R23" s="333"/>
      <c r="S23" s="333"/>
      <c r="T23" s="333"/>
      <c r="U23" s="40"/>
      <c r="V23" s="44"/>
      <c r="W23" s="44"/>
      <c r="X23" s="44"/>
      <c r="Y23" s="44"/>
      <c r="Z23" s="44"/>
      <c r="AA23" s="44"/>
      <c r="AB23" s="44"/>
      <c r="AC23" s="63"/>
      <c r="AD23" s="63"/>
      <c r="AE23" s="63"/>
      <c r="AF23" s="63"/>
      <c r="AG23" s="63"/>
      <c r="AH23" s="63"/>
      <c r="AI23" s="63"/>
      <c r="AJ23" s="63"/>
      <c r="AK23" s="63"/>
      <c r="AL23" s="63"/>
      <c r="AM23" s="63"/>
      <c r="AN23" s="63"/>
      <c r="AO23" s="63"/>
      <c r="AP23" s="63"/>
      <c r="AQ23" s="63"/>
      <c r="AR23" s="63"/>
      <c r="AS23" s="63"/>
      <c r="AT23" s="63"/>
    </row>
    <row r="24" spans="1:46" x14ac:dyDescent="0.3">
      <c r="C24" s="42"/>
      <c r="D24" s="44"/>
      <c r="E24" s="44"/>
      <c r="F24" s="24"/>
      <c r="G24" s="44"/>
      <c r="H24" s="44"/>
      <c r="I24" s="44"/>
      <c r="J24" s="44"/>
      <c r="K24" s="44"/>
      <c r="L24" s="44"/>
      <c r="M24" s="44"/>
      <c r="N24" s="44"/>
      <c r="O24" s="44"/>
      <c r="P24" s="44"/>
      <c r="Q24" s="44"/>
      <c r="R24" s="44"/>
      <c r="S24" s="44"/>
      <c r="T24" s="44"/>
      <c r="U24" s="40"/>
      <c r="V24" s="44"/>
      <c r="W24" s="44"/>
      <c r="X24" s="44"/>
      <c r="Y24" s="44"/>
      <c r="Z24" s="44"/>
      <c r="AA24" s="44"/>
      <c r="AB24" s="44"/>
    </row>
    <row r="25" spans="1:46" x14ac:dyDescent="0.3">
      <c r="C25" s="42"/>
      <c r="D25" s="44"/>
      <c r="E25" s="44"/>
      <c r="F25" s="24"/>
      <c r="G25" s="44"/>
      <c r="H25" s="44"/>
      <c r="I25" s="44"/>
      <c r="J25" s="44"/>
      <c r="K25" s="44"/>
      <c r="L25" s="44"/>
      <c r="M25" s="44"/>
      <c r="N25" s="44"/>
      <c r="O25" s="44"/>
      <c r="P25" s="44"/>
      <c r="Q25" s="44"/>
      <c r="R25" s="44"/>
      <c r="S25" s="44"/>
      <c r="T25" s="44"/>
      <c r="U25" s="40"/>
      <c r="V25" s="44"/>
      <c r="W25" s="44"/>
      <c r="X25" s="44"/>
      <c r="Y25" s="44"/>
      <c r="Z25" s="44"/>
      <c r="AA25" s="44"/>
      <c r="AB25" s="44"/>
    </row>
    <row r="26" spans="1:46" x14ac:dyDescent="0.3">
      <c r="C26" s="42"/>
      <c r="D26" s="44"/>
      <c r="E26" s="44"/>
      <c r="F26" s="24"/>
      <c r="G26" s="44"/>
      <c r="H26" s="44"/>
      <c r="I26" s="44"/>
      <c r="J26" s="44"/>
      <c r="K26" s="44"/>
      <c r="L26" s="44"/>
      <c r="M26" s="44"/>
      <c r="N26" s="44"/>
      <c r="O26" s="44"/>
      <c r="P26" s="44"/>
      <c r="Q26" s="44"/>
      <c r="R26" s="44"/>
      <c r="S26" s="44"/>
      <c r="T26" s="44"/>
      <c r="U26" s="40"/>
      <c r="V26" s="44"/>
      <c r="W26" s="44"/>
      <c r="X26" s="44"/>
      <c r="Y26" s="44"/>
      <c r="Z26" s="44"/>
      <c r="AA26" s="44"/>
      <c r="AB26" s="44"/>
    </row>
    <row r="27" spans="1:46" x14ac:dyDescent="0.3">
      <c r="C27" s="42"/>
      <c r="D27" s="44"/>
      <c r="E27" s="44"/>
      <c r="F27" s="24"/>
      <c r="G27" s="44"/>
      <c r="H27" s="44"/>
      <c r="I27" s="44"/>
      <c r="J27" s="44"/>
      <c r="K27" s="44"/>
      <c r="L27" s="44"/>
      <c r="M27" s="44"/>
      <c r="N27" s="44"/>
      <c r="O27" s="44"/>
      <c r="P27" s="44"/>
      <c r="Q27" s="44"/>
      <c r="R27" s="44"/>
      <c r="S27" s="44"/>
      <c r="T27" s="44"/>
      <c r="U27" s="40"/>
      <c r="V27" s="44"/>
      <c r="W27" s="44"/>
      <c r="X27" s="44"/>
      <c r="Y27" s="44"/>
      <c r="Z27" s="44"/>
      <c r="AA27" s="44"/>
      <c r="AB27" s="44"/>
    </row>
    <row r="28" spans="1:46" x14ac:dyDescent="0.3">
      <c r="C28" s="42"/>
      <c r="D28" s="44"/>
      <c r="E28" s="44"/>
      <c r="F28" s="24"/>
      <c r="G28" s="44"/>
      <c r="H28" s="44"/>
      <c r="I28" s="44"/>
      <c r="J28" s="44"/>
      <c r="K28" s="44"/>
      <c r="L28" s="44"/>
      <c r="M28" s="44"/>
      <c r="N28" s="44"/>
      <c r="O28" s="44"/>
      <c r="P28" s="44"/>
      <c r="Q28" s="44"/>
      <c r="R28" s="44"/>
      <c r="S28" s="44"/>
      <c r="T28" s="44"/>
      <c r="U28" s="40"/>
      <c r="V28" s="44"/>
      <c r="W28" s="44"/>
      <c r="X28" s="44"/>
      <c r="Y28" s="44"/>
      <c r="Z28" s="44"/>
      <c r="AA28" s="44"/>
      <c r="AB28" s="44"/>
    </row>
    <row r="29" spans="1:46" x14ac:dyDescent="0.3">
      <c r="C29" s="42"/>
      <c r="D29" s="44"/>
      <c r="E29" s="44"/>
      <c r="F29" s="24"/>
      <c r="G29" s="44"/>
      <c r="H29" s="44"/>
      <c r="I29" s="44"/>
      <c r="J29" s="44"/>
      <c r="K29" s="44"/>
      <c r="L29" s="44"/>
      <c r="M29" s="44"/>
      <c r="N29" s="44"/>
      <c r="O29" s="44"/>
      <c r="P29" s="44"/>
      <c r="Q29" s="44"/>
      <c r="R29" s="44"/>
      <c r="S29" s="44"/>
      <c r="T29" s="44"/>
      <c r="U29" s="40"/>
      <c r="V29" s="44"/>
      <c r="W29" s="44"/>
      <c r="X29" s="44"/>
      <c r="Y29" s="44"/>
      <c r="Z29" s="44"/>
      <c r="AA29" s="44"/>
      <c r="AB29" s="44"/>
    </row>
    <row r="30" spans="1:46" x14ac:dyDescent="0.3">
      <c r="C30" s="42"/>
      <c r="D30" s="44"/>
      <c r="E30" s="44"/>
      <c r="F30" s="24"/>
      <c r="G30" s="44"/>
      <c r="H30" s="44"/>
      <c r="I30" s="44"/>
      <c r="J30" s="44"/>
      <c r="K30" s="44"/>
      <c r="L30" s="44"/>
      <c r="M30" s="44"/>
      <c r="N30" s="44"/>
      <c r="O30" s="44"/>
      <c r="P30" s="44"/>
      <c r="Q30" s="44"/>
      <c r="R30" s="44"/>
      <c r="S30" s="44"/>
      <c r="T30" s="44"/>
      <c r="U30" s="40"/>
      <c r="V30" s="44"/>
      <c r="W30" s="44"/>
      <c r="X30" s="44"/>
      <c r="Y30" s="44"/>
      <c r="Z30" s="44"/>
      <c r="AA30" s="44"/>
      <c r="AB30" s="44"/>
    </row>
    <row r="31" spans="1:46" x14ac:dyDescent="0.3">
      <c r="C31" s="42"/>
      <c r="D31" s="44"/>
      <c r="E31" s="44"/>
      <c r="F31" s="24"/>
      <c r="G31" s="44"/>
      <c r="H31" s="44"/>
      <c r="I31" s="44"/>
      <c r="J31" s="44"/>
      <c r="K31" s="44"/>
      <c r="L31" s="44"/>
      <c r="M31" s="44"/>
      <c r="N31" s="44"/>
      <c r="O31" s="44"/>
      <c r="P31" s="44"/>
      <c r="Q31" s="44"/>
      <c r="R31" s="44"/>
      <c r="S31" s="44"/>
      <c r="T31" s="44"/>
      <c r="U31" s="40"/>
      <c r="V31" s="44"/>
      <c r="W31" s="44"/>
      <c r="X31" s="44"/>
      <c r="Y31" s="44"/>
      <c r="Z31" s="44"/>
      <c r="AA31" s="44"/>
      <c r="AB31" s="44"/>
    </row>
    <row r="32" spans="1:46" x14ac:dyDescent="0.3">
      <c r="C32" s="42"/>
      <c r="D32" s="44"/>
      <c r="E32" s="44"/>
      <c r="F32" s="24"/>
      <c r="G32" s="44"/>
      <c r="H32" s="44"/>
      <c r="I32" s="44"/>
      <c r="J32" s="44"/>
      <c r="K32" s="44"/>
      <c r="L32" s="44"/>
      <c r="M32" s="44"/>
      <c r="N32" s="44"/>
      <c r="O32" s="44"/>
      <c r="P32" s="44"/>
      <c r="Q32" s="44"/>
      <c r="R32" s="44"/>
      <c r="S32" s="44"/>
      <c r="T32" s="44"/>
      <c r="U32" s="40"/>
      <c r="V32" s="44"/>
      <c r="W32" s="44"/>
      <c r="X32" s="44"/>
      <c r="Y32" s="44"/>
      <c r="Z32" s="44"/>
      <c r="AA32" s="44"/>
      <c r="AB32" s="44"/>
    </row>
    <row r="33" spans="3:28" x14ac:dyDescent="0.3">
      <c r="C33" s="42"/>
      <c r="D33" s="44"/>
      <c r="E33" s="44"/>
      <c r="F33" s="24"/>
      <c r="G33" s="44"/>
      <c r="H33" s="44"/>
      <c r="I33" s="44"/>
      <c r="J33" s="44"/>
      <c r="K33" s="44"/>
      <c r="L33" s="44"/>
      <c r="M33" s="44"/>
      <c r="N33" s="44"/>
      <c r="O33" s="44"/>
      <c r="P33" s="44"/>
      <c r="Q33" s="44"/>
      <c r="R33" s="44"/>
      <c r="S33" s="44"/>
      <c r="T33" s="44"/>
      <c r="U33" s="40"/>
      <c r="V33" s="44"/>
      <c r="W33" s="44"/>
      <c r="X33" s="44"/>
      <c r="Y33" s="44"/>
      <c r="Z33" s="44"/>
      <c r="AA33" s="44"/>
      <c r="AB33" s="44"/>
    </row>
    <row r="34" spans="3:28" x14ac:dyDescent="0.3">
      <c r="C34" s="42"/>
      <c r="D34" s="44"/>
      <c r="E34" s="44"/>
      <c r="F34" s="24"/>
      <c r="G34" s="44"/>
      <c r="H34" s="44"/>
      <c r="I34" s="44"/>
      <c r="J34" s="44"/>
      <c r="K34" s="44"/>
      <c r="L34" s="44"/>
      <c r="M34" s="44"/>
      <c r="N34" s="44"/>
      <c r="O34" s="44"/>
      <c r="P34" s="44"/>
      <c r="Q34" s="44"/>
      <c r="R34" s="44"/>
      <c r="S34" s="44"/>
      <c r="T34" s="44"/>
      <c r="U34" s="40"/>
      <c r="V34" s="44"/>
      <c r="W34" s="44"/>
      <c r="X34" s="44"/>
      <c r="Y34" s="44"/>
      <c r="Z34" s="44"/>
      <c r="AA34" s="44"/>
      <c r="AB34" s="44"/>
    </row>
    <row r="35" spans="3:28" x14ac:dyDescent="0.3">
      <c r="C35" s="42"/>
      <c r="D35" s="44"/>
      <c r="E35" s="44"/>
      <c r="F35" s="24"/>
      <c r="G35" s="44"/>
      <c r="H35" s="44"/>
      <c r="I35" s="44"/>
      <c r="J35" s="44"/>
      <c r="K35" s="44"/>
      <c r="L35" s="44"/>
      <c r="M35" s="44"/>
      <c r="N35" s="44"/>
      <c r="O35" s="44"/>
      <c r="P35" s="44"/>
      <c r="Q35" s="44"/>
      <c r="R35" s="44"/>
      <c r="S35" s="44"/>
      <c r="T35" s="44"/>
      <c r="U35" s="40"/>
      <c r="V35" s="44"/>
      <c r="W35" s="44"/>
      <c r="X35" s="44"/>
      <c r="Y35" s="44"/>
      <c r="Z35" s="44"/>
      <c r="AA35" s="44"/>
      <c r="AB35" s="44"/>
    </row>
    <row r="36" spans="3:28" x14ac:dyDescent="0.3">
      <c r="C36" s="42"/>
      <c r="D36" s="44"/>
      <c r="E36" s="44"/>
      <c r="F36" s="24"/>
      <c r="G36" s="44"/>
      <c r="H36" s="44"/>
      <c r="I36" s="44"/>
      <c r="J36" s="44"/>
      <c r="K36" s="44"/>
      <c r="L36" s="44"/>
      <c r="M36" s="44"/>
      <c r="N36" s="44"/>
      <c r="O36" s="44"/>
      <c r="P36" s="44"/>
      <c r="Q36" s="44"/>
      <c r="R36" s="44"/>
      <c r="S36" s="44"/>
      <c r="T36" s="44"/>
      <c r="U36" s="40"/>
      <c r="V36" s="44"/>
      <c r="W36" s="44"/>
      <c r="X36" s="44"/>
      <c r="Y36" s="44"/>
      <c r="Z36" s="44"/>
      <c r="AA36" s="44"/>
      <c r="AB36" s="44"/>
    </row>
    <row r="37" spans="3:28" x14ac:dyDescent="0.3">
      <c r="C37" s="42"/>
      <c r="D37" s="44"/>
      <c r="E37" s="44"/>
      <c r="F37" s="24"/>
      <c r="G37" s="44"/>
      <c r="H37" s="44"/>
      <c r="I37" s="44"/>
      <c r="J37" s="44"/>
      <c r="K37" s="44"/>
      <c r="L37" s="44"/>
      <c r="M37" s="44"/>
      <c r="N37" s="44"/>
      <c r="O37" s="44"/>
      <c r="P37" s="44"/>
      <c r="Q37" s="44"/>
      <c r="R37" s="44"/>
      <c r="S37" s="44"/>
      <c r="T37" s="44"/>
      <c r="U37" s="40"/>
      <c r="V37" s="44"/>
      <c r="W37" s="44"/>
      <c r="X37" s="44"/>
      <c r="Y37" s="44"/>
      <c r="Z37" s="44"/>
      <c r="AA37" s="44"/>
      <c r="AB37" s="44"/>
    </row>
    <row r="38" spans="3:28" x14ac:dyDescent="0.3">
      <c r="C38" s="42"/>
      <c r="D38" s="44"/>
      <c r="E38" s="44"/>
      <c r="F38" s="24"/>
      <c r="G38" s="44"/>
      <c r="H38" s="44"/>
      <c r="I38" s="44"/>
      <c r="J38" s="44"/>
      <c r="K38" s="44"/>
      <c r="L38" s="44"/>
      <c r="M38" s="44"/>
      <c r="N38" s="44"/>
      <c r="O38" s="44"/>
      <c r="P38" s="44"/>
      <c r="Q38" s="44"/>
      <c r="R38" s="44"/>
      <c r="S38" s="44"/>
      <c r="T38" s="44"/>
      <c r="U38" s="40"/>
      <c r="V38" s="44"/>
      <c r="W38" s="44"/>
      <c r="X38" s="44"/>
      <c r="Y38" s="44"/>
      <c r="Z38" s="44"/>
      <c r="AA38" s="44"/>
      <c r="AB38" s="44"/>
    </row>
    <row r="39" spans="3:28" x14ac:dyDescent="0.3">
      <c r="C39" s="42"/>
      <c r="D39" s="44"/>
      <c r="E39" s="44"/>
      <c r="F39" s="24"/>
      <c r="G39" s="44"/>
      <c r="H39" s="44"/>
      <c r="I39" s="44"/>
      <c r="J39" s="44"/>
      <c r="K39" s="44"/>
      <c r="L39" s="44"/>
      <c r="M39" s="44"/>
      <c r="N39" s="44"/>
      <c r="O39" s="44"/>
      <c r="P39" s="44"/>
      <c r="Q39" s="44"/>
      <c r="R39" s="44"/>
      <c r="S39" s="44"/>
      <c r="T39" s="44"/>
      <c r="U39" s="40"/>
      <c r="V39" s="44"/>
      <c r="W39" s="44"/>
      <c r="X39" s="44"/>
      <c r="Y39" s="44"/>
      <c r="Z39" s="44"/>
      <c r="AA39" s="44"/>
      <c r="AB39" s="44"/>
    </row>
    <row r="40" spans="3:28" x14ac:dyDescent="0.3">
      <c r="C40" s="42"/>
      <c r="D40" s="44"/>
      <c r="E40" s="44"/>
      <c r="F40" s="24"/>
      <c r="G40" s="44"/>
      <c r="H40" s="44"/>
      <c r="I40" s="44"/>
      <c r="J40" s="44"/>
      <c r="K40" s="44"/>
      <c r="L40" s="44"/>
      <c r="M40" s="44"/>
      <c r="N40" s="44"/>
      <c r="O40" s="44"/>
      <c r="P40" s="44"/>
      <c r="Q40" s="44"/>
      <c r="R40" s="44"/>
      <c r="S40" s="44"/>
      <c r="T40" s="44"/>
      <c r="U40" s="40"/>
      <c r="V40" s="44"/>
      <c r="W40" s="44"/>
      <c r="X40" s="44"/>
      <c r="Y40" s="44"/>
      <c r="Z40" s="44"/>
      <c r="AA40" s="44"/>
      <c r="AB40" s="44"/>
    </row>
    <row r="41" spans="3:28" x14ac:dyDescent="0.3">
      <c r="C41" s="42"/>
      <c r="D41" s="44"/>
      <c r="E41" s="44"/>
      <c r="F41" s="24"/>
      <c r="G41" s="44"/>
      <c r="H41" s="44"/>
      <c r="I41" s="44"/>
      <c r="J41" s="44"/>
      <c r="K41" s="44"/>
      <c r="L41" s="44"/>
      <c r="M41" s="44"/>
      <c r="N41" s="44"/>
      <c r="O41" s="44"/>
      <c r="P41" s="44"/>
      <c r="Q41" s="44"/>
      <c r="R41" s="44"/>
      <c r="S41" s="44"/>
      <c r="T41" s="44"/>
      <c r="U41" s="40"/>
      <c r="V41" s="44"/>
      <c r="W41" s="44"/>
      <c r="X41" s="44"/>
      <c r="Y41" s="44"/>
      <c r="Z41" s="44"/>
      <c r="AA41" s="44"/>
      <c r="AB41" s="44"/>
    </row>
    <row r="42" spans="3:28" x14ac:dyDescent="0.3">
      <c r="C42" s="42"/>
      <c r="D42" s="44"/>
      <c r="E42" s="44"/>
      <c r="F42" s="24"/>
      <c r="G42" s="44"/>
      <c r="H42" s="44"/>
      <c r="I42" s="44"/>
      <c r="J42" s="44"/>
      <c r="K42" s="44"/>
      <c r="L42" s="44"/>
      <c r="M42" s="44"/>
      <c r="N42" s="44"/>
      <c r="O42" s="44"/>
      <c r="P42" s="44"/>
      <c r="Q42" s="44"/>
      <c r="R42" s="44"/>
      <c r="S42" s="44"/>
      <c r="T42" s="44"/>
      <c r="U42" s="40"/>
      <c r="V42" s="44"/>
      <c r="W42" s="44"/>
      <c r="X42" s="44"/>
      <c r="Y42" s="44"/>
      <c r="Z42" s="44"/>
      <c r="AA42" s="44"/>
      <c r="AB42" s="44"/>
    </row>
    <row r="43" spans="3:28" x14ac:dyDescent="0.3">
      <c r="C43" s="42"/>
      <c r="D43" s="44"/>
      <c r="E43" s="44"/>
      <c r="F43" s="24"/>
      <c r="G43" s="44"/>
      <c r="H43" s="44"/>
      <c r="I43" s="44"/>
      <c r="J43" s="44"/>
      <c r="K43" s="44"/>
      <c r="L43" s="44"/>
      <c r="M43" s="44"/>
      <c r="N43" s="44"/>
      <c r="O43" s="44"/>
      <c r="P43" s="44"/>
      <c r="Q43" s="44"/>
      <c r="R43" s="44"/>
      <c r="S43" s="44"/>
      <c r="T43" s="44"/>
      <c r="U43" s="40"/>
      <c r="V43" s="44"/>
      <c r="W43" s="44"/>
      <c r="X43" s="44"/>
      <c r="Y43" s="44"/>
      <c r="Z43" s="44"/>
      <c r="AA43" s="44"/>
      <c r="AB43" s="44"/>
    </row>
    <row r="44" spans="3:28" x14ac:dyDescent="0.3">
      <c r="C44" s="42"/>
      <c r="D44" s="44"/>
      <c r="E44" s="44"/>
      <c r="F44" s="24"/>
      <c r="G44" s="44"/>
      <c r="H44" s="44"/>
      <c r="I44" s="44"/>
      <c r="J44" s="44"/>
      <c r="K44" s="44"/>
      <c r="L44" s="44"/>
      <c r="M44" s="44"/>
      <c r="N44" s="44"/>
      <c r="O44" s="44"/>
      <c r="P44" s="44"/>
      <c r="Q44" s="44"/>
      <c r="R44" s="44"/>
      <c r="S44" s="44"/>
      <c r="T44" s="44"/>
      <c r="U44" s="40"/>
      <c r="V44" s="44"/>
      <c r="W44" s="44"/>
      <c r="X44" s="44"/>
      <c r="Y44" s="44"/>
      <c r="Z44" s="44"/>
      <c r="AA44" s="44"/>
      <c r="AB44" s="44"/>
    </row>
    <row r="45" spans="3:28" x14ac:dyDescent="0.3">
      <c r="C45" s="42"/>
      <c r="D45" s="44"/>
      <c r="E45" s="44"/>
      <c r="F45" s="24"/>
      <c r="G45" s="44"/>
      <c r="H45" s="44"/>
      <c r="I45" s="44"/>
      <c r="J45" s="44"/>
      <c r="K45" s="44"/>
      <c r="L45" s="44"/>
      <c r="M45" s="44"/>
      <c r="N45" s="44"/>
      <c r="O45" s="44"/>
      <c r="P45" s="44"/>
      <c r="Q45" s="44"/>
      <c r="R45" s="44"/>
      <c r="S45" s="44"/>
      <c r="T45" s="44"/>
      <c r="U45" s="40"/>
      <c r="V45" s="44"/>
      <c r="W45" s="44"/>
      <c r="X45" s="44"/>
      <c r="Y45" s="44"/>
      <c r="Z45" s="44"/>
      <c r="AA45" s="44"/>
      <c r="AB45" s="44"/>
    </row>
    <row r="46" spans="3:28" x14ac:dyDescent="0.3">
      <c r="C46" s="42"/>
      <c r="D46" s="44"/>
      <c r="E46" s="44"/>
      <c r="F46" s="24"/>
      <c r="G46" s="44"/>
      <c r="H46" s="44"/>
      <c r="I46" s="44"/>
      <c r="J46" s="44"/>
      <c r="K46" s="44"/>
      <c r="L46" s="44"/>
      <c r="M46" s="44"/>
      <c r="N46" s="44"/>
      <c r="O46" s="44"/>
      <c r="P46" s="44"/>
      <c r="Q46" s="44"/>
      <c r="R46" s="44"/>
      <c r="S46" s="44"/>
      <c r="T46" s="44"/>
      <c r="U46" s="40"/>
      <c r="V46" s="44"/>
      <c r="W46" s="44"/>
      <c r="X46" s="44"/>
      <c r="Y46" s="44"/>
      <c r="Z46" s="44"/>
      <c r="AA46" s="44"/>
      <c r="AB46" s="44"/>
    </row>
    <row r="47" spans="3:28" x14ac:dyDescent="0.3">
      <c r="C47" s="42"/>
      <c r="D47" s="44"/>
      <c r="E47" s="44"/>
      <c r="F47" s="24"/>
      <c r="G47" s="44"/>
      <c r="H47" s="44"/>
      <c r="I47" s="44"/>
      <c r="J47" s="44"/>
      <c r="K47" s="44"/>
      <c r="L47" s="44"/>
      <c r="M47" s="44"/>
      <c r="N47" s="44"/>
      <c r="O47" s="44"/>
      <c r="P47" s="44"/>
      <c r="Q47" s="44"/>
      <c r="R47" s="44"/>
      <c r="S47" s="44"/>
      <c r="T47" s="44"/>
      <c r="U47" s="40"/>
      <c r="V47" s="44"/>
      <c r="W47" s="44"/>
      <c r="X47" s="44"/>
      <c r="Y47" s="44"/>
      <c r="Z47" s="44"/>
      <c r="AA47" s="44"/>
      <c r="AB47" s="44"/>
    </row>
    <row r="48" spans="3:28" x14ac:dyDescent="0.3">
      <c r="C48" s="42"/>
      <c r="D48" s="44"/>
      <c r="E48" s="44"/>
      <c r="F48" s="24"/>
      <c r="G48" s="44"/>
      <c r="H48" s="44"/>
      <c r="I48" s="44"/>
      <c r="J48" s="44"/>
      <c r="K48" s="44"/>
      <c r="L48" s="44"/>
      <c r="M48" s="44"/>
      <c r="N48" s="44"/>
      <c r="O48" s="44"/>
      <c r="P48" s="44"/>
      <c r="Q48" s="44"/>
      <c r="R48" s="44"/>
      <c r="S48" s="44"/>
      <c r="T48" s="44"/>
      <c r="U48" s="40"/>
      <c r="V48" s="44"/>
      <c r="W48" s="44"/>
      <c r="X48" s="44"/>
      <c r="Y48" s="44"/>
      <c r="Z48" s="44"/>
      <c r="AA48" s="44"/>
      <c r="AB48" s="44"/>
    </row>
    <row r="49" spans="3:28" x14ac:dyDescent="0.3">
      <c r="C49" s="42"/>
      <c r="D49" s="44"/>
      <c r="E49" s="44"/>
      <c r="F49" s="24"/>
      <c r="G49" s="44"/>
      <c r="H49" s="44"/>
      <c r="I49" s="44"/>
      <c r="J49" s="44"/>
      <c r="K49" s="44"/>
      <c r="L49" s="44"/>
      <c r="M49" s="44"/>
      <c r="N49" s="44"/>
      <c r="O49" s="44"/>
      <c r="P49" s="44"/>
      <c r="Q49" s="44"/>
      <c r="R49" s="44"/>
      <c r="S49" s="44"/>
      <c r="T49" s="44"/>
      <c r="U49" s="40"/>
      <c r="V49" s="44"/>
      <c r="W49" s="44"/>
      <c r="X49" s="44"/>
      <c r="Y49" s="44"/>
      <c r="Z49" s="44"/>
      <c r="AA49" s="44"/>
      <c r="AB49" s="44"/>
    </row>
    <row r="50" spans="3:28" x14ac:dyDescent="0.3">
      <c r="C50" s="42"/>
      <c r="D50" s="44"/>
      <c r="E50" s="44"/>
      <c r="F50" s="24"/>
      <c r="G50" s="44"/>
      <c r="H50" s="44"/>
      <c r="I50" s="44"/>
      <c r="J50" s="44"/>
      <c r="K50" s="44"/>
      <c r="L50" s="44"/>
      <c r="M50" s="44"/>
      <c r="N50" s="44"/>
      <c r="O50" s="44"/>
      <c r="P50" s="44"/>
      <c r="Q50" s="44"/>
      <c r="R50" s="44"/>
      <c r="S50" s="44"/>
      <c r="T50" s="44"/>
      <c r="U50" s="40"/>
      <c r="V50" s="44"/>
      <c r="W50" s="44"/>
      <c r="X50" s="44"/>
      <c r="Y50" s="44"/>
      <c r="Z50" s="44"/>
      <c r="AA50" s="44"/>
      <c r="AB50" s="44"/>
    </row>
    <row r="51" spans="3:28" x14ac:dyDescent="0.3">
      <c r="C51" s="42"/>
      <c r="D51" s="44"/>
      <c r="E51" s="44"/>
      <c r="F51" s="24"/>
      <c r="G51" s="44"/>
      <c r="H51" s="44"/>
      <c r="I51" s="44"/>
      <c r="J51" s="44"/>
      <c r="K51" s="44"/>
      <c r="L51" s="44"/>
      <c r="M51" s="44"/>
      <c r="N51" s="44"/>
      <c r="O51" s="44"/>
      <c r="P51" s="44"/>
      <c r="Q51" s="44"/>
      <c r="R51" s="44"/>
      <c r="S51" s="44"/>
      <c r="T51" s="44"/>
      <c r="U51" s="40"/>
      <c r="V51" s="44"/>
      <c r="W51" s="44"/>
      <c r="X51" s="44"/>
      <c r="Y51" s="44"/>
      <c r="Z51" s="44"/>
      <c r="AA51" s="44"/>
      <c r="AB51" s="44"/>
    </row>
    <row r="52" spans="3:28" x14ac:dyDescent="0.3">
      <c r="C52" s="42"/>
      <c r="D52" s="44"/>
      <c r="E52" s="44"/>
      <c r="F52" s="24"/>
      <c r="G52" s="44"/>
      <c r="H52" s="44"/>
      <c r="I52" s="44"/>
      <c r="J52" s="44"/>
      <c r="K52" s="44"/>
      <c r="L52" s="44"/>
      <c r="M52" s="44"/>
      <c r="N52" s="44"/>
      <c r="O52" s="44"/>
      <c r="P52" s="44"/>
      <c r="Q52" s="44"/>
      <c r="R52" s="44"/>
      <c r="S52" s="44"/>
      <c r="T52" s="44"/>
      <c r="U52" s="40"/>
      <c r="V52" s="44"/>
      <c r="W52" s="44"/>
      <c r="X52" s="44"/>
      <c r="Y52" s="44"/>
      <c r="Z52" s="44"/>
      <c r="AA52" s="44"/>
      <c r="AB52" s="44"/>
    </row>
    <row r="53" spans="3:28" x14ac:dyDescent="0.3">
      <c r="C53" s="42"/>
      <c r="D53" s="44"/>
      <c r="E53" s="44"/>
      <c r="F53" s="24"/>
      <c r="G53" s="44"/>
      <c r="H53" s="44"/>
      <c r="I53" s="44"/>
      <c r="J53" s="44"/>
      <c r="K53" s="44"/>
      <c r="L53" s="44"/>
      <c r="M53" s="44"/>
      <c r="N53" s="44"/>
      <c r="O53" s="44"/>
      <c r="P53" s="44"/>
      <c r="Q53" s="44"/>
      <c r="R53" s="44"/>
      <c r="S53" s="44"/>
      <c r="T53" s="44"/>
      <c r="U53" s="40"/>
      <c r="V53" s="44"/>
      <c r="W53" s="44"/>
      <c r="X53" s="44"/>
      <c r="Y53" s="44"/>
      <c r="Z53" s="44"/>
      <c r="AA53" s="44"/>
      <c r="AB53" s="44"/>
    </row>
    <row r="54" spans="3:28" x14ac:dyDescent="0.3">
      <c r="T54" s="44"/>
      <c r="U54" s="40"/>
      <c r="V54" s="44"/>
      <c r="W54" s="44"/>
      <c r="X54" s="44"/>
      <c r="Y54" s="44"/>
      <c r="Z54" s="44"/>
      <c r="AA54" s="44"/>
      <c r="AB54" s="44"/>
    </row>
    <row r="55" spans="3:28" x14ac:dyDescent="0.3">
      <c r="T55" s="44"/>
      <c r="U55" s="40"/>
      <c r="V55" s="44"/>
      <c r="W55" s="44"/>
      <c r="X55" s="44"/>
      <c r="Y55" s="44"/>
      <c r="Z55" s="44"/>
      <c r="AA55" s="44"/>
      <c r="AB55" s="44"/>
    </row>
    <row r="56" spans="3:28" x14ac:dyDescent="0.3">
      <c r="T56" s="44"/>
      <c r="U56" s="40"/>
      <c r="V56" s="44"/>
      <c r="W56" s="44"/>
      <c r="X56" s="44"/>
      <c r="Y56" s="44"/>
      <c r="Z56" s="44"/>
      <c r="AA56" s="44"/>
      <c r="AB56" s="44"/>
    </row>
    <row r="57" spans="3:28" x14ac:dyDescent="0.3">
      <c r="T57" s="44"/>
      <c r="U57" s="40"/>
      <c r="V57" s="44"/>
      <c r="W57" s="44"/>
      <c r="X57" s="44"/>
      <c r="Y57" s="44"/>
      <c r="Z57" s="44"/>
      <c r="AA57" s="44"/>
      <c r="AB57" s="44"/>
    </row>
    <row r="58" spans="3:28" x14ac:dyDescent="0.3">
      <c r="T58" s="44"/>
      <c r="U58" s="40"/>
      <c r="V58" s="44"/>
      <c r="W58" s="44"/>
      <c r="X58" s="44"/>
      <c r="Y58" s="44"/>
      <c r="Z58" s="44"/>
      <c r="AA58" s="44"/>
      <c r="AB58" s="44"/>
    </row>
    <row r="59" spans="3:28" x14ac:dyDescent="0.3">
      <c r="T59" s="44"/>
      <c r="U59" s="40"/>
      <c r="V59" s="44"/>
      <c r="W59" s="44"/>
      <c r="X59" s="44"/>
      <c r="Y59" s="44"/>
      <c r="Z59" s="44"/>
      <c r="AA59" s="44"/>
      <c r="AB59" s="44"/>
    </row>
    <row r="60" spans="3:28" x14ac:dyDescent="0.3">
      <c r="T60" s="44"/>
      <c r="U60" s="40"/>
      <c r="V60" s="44"/>
      <c r="W60" s="44"/>
      <c r="X60" s="44"/>
      <c r="Y60" s="44"/>
      <c r="Z60" s="44"/>
      <c r="AA60" s="44"/>
      <c r="AB60" s="44"/>
    </row>
    <row r="61" spans="3:28" x14ac:dyDescent="0.3">
      <c r="T61" s="44"/>
      <c r="U61" s="40"/>
      <c r="V61" s="44"/>
      <c r="W61" s="44"/>
      <c r="X61" s="44"/>
      <c r="Y61" s="44"/>
      <c r="Z61" s="44"/>
      <c r="AA61" s="44"/>
      <c r="AB61" s="44"/>
    </row>
    <row r="62" spans="3:28" x14ac:dyDescent="0.3">
      <c r="T62" s="44"/>
      <c r="U62" s="40"/>
      <c r="V62" s="44"/>
      <c r="W62" s="44"/>
      <c r="X62" s="44"/>
      <c r="Y62" s="44"/>
      <c r="Z62" s="44"/>
      <c r="AA62" s="44"/>
      <c r="AB62" s="44"/>
    </row>
    <row r="63" spans="3:28" x14ac:dyDescent="0.3">
      <c r="T63" s="44"/>
      <c r="U63" s="40"/>
      <c r="V63" s="44"/>
      <c r="W63" s="44"/>
      <c r="X63" s="44"/>
      <c r="Y63" s="44"/>
      <c r="Z63" s="44"/>
      <c r="AA63" s="44"/>
      <c r="AB63" s="44"/>
    </row>
    <row r="64" spans="3:28" x14ac:dyDescent="0.3">
      <c r="T64" s="44"/>
      <c r="U64" s="40"/>
      <c r="V64" s="44"/>
      <c r="W64" s="44"/>
      <c r="X64" s="44"/>
      <c r="Y64" s="44"/>
      <c r="Z64" s="44"/>
      <c r="AA64" s="44"/>
      <c r="AB64" s="44"/>
    </row>
    <row r="65" spans="20:28" x14ac:dyDescent="0.3">
      <c r="T65" s="44"/>
      <c r="U65" s="40"/>
      <c r="V65" s="44"/>
      <c r="W65" s="44"/>
      <c r="X65" s="44"/>
      <c r="Y65" s="44"/>
      <c r="Z65" s="44"/>
      <c r="AA65" s="44"/>
      <c r="AB65" s="44"/>
    </row>
    <row r="66" spans="20:28" x14ac:dyDescent="0.3">
      <c r="T66" s="44"/>
      <c r="U66" s="40"/>
      <c r="V66" s="44"/>
      <c r="W66" s="44"/>
      <c r="X66" s="44"/>
      <c r="Y66" s="44"/>
      <c r="Z66" s="44"/>
      <c r="AA66" s="44"/>
      <c r="AB66" s="44"/>
    </row>
    <row r="67" spans="20:28" x14ac:dyDescent="0.3">
      <c r="T67" s="44"/>
      <c r="U67" s="40"/>
      <c r="V67" s="44"/>
      <c r="W67" s="44"/>
      <c r="X67" s="44"/>
      <c r="Y67" s="44"/>
      <c r="Z67" s="44"/>
      <c r="AA67" s="44"/>
      <c r="AB67" s="44"/>
    </row>
    <row r="68" spans="20:28" x14ac:dyDescent="0.3">
      <c r="T68" s="44"/>
      <c r="U68" s="40"/>
      <c r="V68" s="44"/>
      <c r="W68" s="44"/>
      <c r="X68" s="44"/>
      <c r="Y68" s="44"/>
      <c r="Z68" s="44"/>
      <c r="AA68" s="44"/>
      <c r="AB68" s="44"/>
    </row>
    <row r="69" spans="20:28" x14ac:dyDescent="0.3">
      <c r="T69" s="44"/>
      <c r="U69" s="40"/>
      <c r="V69" s="44"/>
      <c r="W69" s="44"/>
      <c r="X69" s="44"/>
      <c r="Y69" s="44"/>
      <c r="Z69" s="44"/>
      <c r="AA69" s="44"/>
      <c r="AB69" s="44"/>
    </row>
    <row r="70" spans="20:28" x14ac:dyDescent="0.3">
      <c r="T70" s="44"/>
      <c r="U70" s="40"/>
      <c r="V70" s="44"/>
      <c r="W70" s="44"/>
      <c r="X70" s="44"/>
      <c r="Y70" s="44"/>
      <c r="Z70" s="44"/>
      <c r="AA70" s="44"/>
      <c r="AB70" s="44"/>
    </row>
    <row r="71" spans="20:28" x14ac:dyDescent="0.3">
      <c r="T71" s="44"/>
      <c r="U71" s="40"/>
      <c r="V71" s="44"/>
      <c r="W71" s="44"/>
      <c r="X71" s="44"/>
      <c r="Y71" s="44"/>
      <c r="Z71" s="44"/>
      <c r="AA71" s="44"/>
      <c r="AB71" s="44"/>
    </row>
    <row r="72" spans="20:28" x14ac:dyDescent="0.3">
      <c r="T72" s="44"/>
      <c r="U72" s="40"/>
      <c r="V72" s="44"/>
      <c r="W72" s="44"/>
      <c r="X72" s="44"/>
      <c r="Y72" s="44"/>
      <c r="Z72" s="44"/>
      <c r="AA72" s="44"/>
      <c r="AB72" s="44"/>
    </row>
    <row r="73" spans="20:28" x14ac:dyDescent="0.3">
      <c r="T73" s="44"/>
      <c r="U73" s="40"/>
      <c r="V73" s="44"/>
      <c r="W73" s="44"/>
      <c r="X73" s="44"/>
      <c r="Y73" s="44"/>
      <c r="Z73" s="44"/>
      <c r="AA73" s="44"/>
      <c r="AB73" s="44"/>
    </row>
    <row r="74" spans="20:28" x14ac:dyDescent="0.3">
      <c r="T74" s="44"/>
      <c r="U74" s="40"/>
      <c r="V74" s="44"/>
      <c r="W74" s="44"/>
      <c r="X74" s="44"/>
      <c r="Y74" s="44"/>
      <c r="Z74" s="44"/>
      <c r="AA74" s="44"/>
      <c r="AB74" s="44"/>
    </row>
    <row r="75" spans="20:28" x14ac:dyDescent="0.3">
      <c r="T75" s="44"/>
      <c r="U75" s="40"/>
      <c r="V75" s="44"/>
      <c r="W75" s="44"/>
      <c r="X75" s="44"/>
      <c r="Y75" s="44"/>
      <c r="Z75" s="44"/>
      <c r="AA75" s="44"/>
      <c r="AB75" s="44"/>
    </row>
    <row r="76" spans="20:28" x14ac:dyDescent="0.3">
      <c r="T76" s="44"/>
      <c r="U76" s="40"/>
      <c r="V76" s="44"/>
      <c r="W76" s="44"/>
      <c r="X76" s="44"/>
      <c r="Y76" s="44"/>
      <c r="Z76" s="44"/>
      <c r="AA76" s="44"/>
      <c r="AB76" s="44"/>
    </row>
    <row r="77" spans="20:28" x14ac:dyDescent="0.3">
      <c r="T77" s="44"/>
      <c r="U77" s="40"/>
      <c r="V77" s="44"/>
      <c r="W77" s="44"/>
      <c r="X77" s="44"/>
      <c r="Y77" s="44"/>
      <c r="Z77" s="44"/>
      <c r="AA77" s="44"/>
      <c r="AB77" s="44"/>
    </row>
    <row r="78" spans="20:28" x14ac:dyDescent="0.3">
      <c r="T78" s="44"/>
      <c r="U78" s="40"/>
      <c r="V78" s="44"/>
      <c r="W78" s="44"/>
      <c r="X78" s="44"/>
      <c r="Y78" s="44"/>
      <c r="Z78" s="44"/>
      <c r="AA78" s="44"/>
      <c r="AB78" s="44"/>
    </row>
    <row r="79" spans="20:28" x14ac:dyDescent="0.3">
      <c r="T79" s="44"/>
      <c r="U79" s="40"/>
      <c r="V79" s="44"/>
      <c r="W79" s="44"/>
      <c r="X79" s="44"/>
      <c r="Y79" s="44"/>
      <c r="Z79" s="44"/>
      <c r="AA79" s="44"/>
      <c r="AB79" s="44"/>
    </row>
    <row r="80" spans="20:28" x14ac:dyDescent="0.3">
      <c r="T80" s="44"/>
      <c r="U80" s="40"/>
      <c r="V80" s="44"/>
      <c r="W80" s="44"/>
      <c r="X80" s="44"/>
      <c r="Y80" s="44"/>
      <c r="Z80" s="44"/>
      <c r="AA80" s="44"/>
      <c r="AB80" s="44"/>
    </row>
    <row r="81" spans="20:28" x14ac:dyDescent="0.3">
      <c r="T81" s="44"/>
      <c r="U81" s="40"/>
      <c r="V81" s="44"/>
      <c r="W81" s="44"/>
      <c r="X81" s="44"/>
      <c r="Y81" s="44"/>
      <c r="Z81" s="44"/>
      <c r="AA81" s="44"/>
      <c r="AB81" s="44"/>
    </row>
    <row r="82" spans="20:28" x14ac:dyDescent="0.3">
      <c r="T82" s="44"/>
      <c r="U82" s="40"/>
      <c r="V82" s="44"/>
      <c r="W82" s="44"/>
      <c r="X82" s="44"/>
      <c r="Y82" s="44"/>
      <c r="Z82" s="44"/>
      <c r="AA82" s="44"/>
      <c r="AB82" s="44"/>
    </row>
    <row r="83" spans="20:28" x14ac:dyDescent="0.3">
      <c r="T83" s="44"/>
      <c r="U83" s="40"/>
      <c r="V83" s="44"/>
      <c r="W83" s="44"/>
      <c r="X83" s="44"/>
      <c r="Y83" s="44"/>
      <c r="Z83" s="44"/>
      <c r="AA83" s="44"/>
      <c r="AB83" s="44"/>
    </row>
    <row r="84" spans="20:28" x14ac:dyDescent="0.3">
      <c r="T84" s="44"/>
      <c r="U84" s="40"/>
      <c r="V84" s="44"/>
      <c r="W84" s="44"/>
      <c r="X84" s="44"/>
      <c r="Y84" s="44"/>
      <c r="Z84" s="44"/>
      <c r="AA84" s="44"/>
      <c r="AB84" s="44"/>
    </row>
    <row r="85" spans="20:28" x14ac:dyDescent="0.3">
      <c r="T85" s="44"/>
      <c r="U85" s="40"/>
      <c r="V85" s="44"/>
      <c r="W85" s="44"/>
      <c r="X85" s="44"/>
      <c r="Y85" s="44"/>
      <c r="Z85" s="44"/>
      <c r="AA85" s="44"/>
      <c r="AB85" s="44"/>
    </row>
    <row r="86" spans="20:28" x14ac:dyDescent="0.3">
      <c r="T86" s="44"/>
      <c r="U86" s="40"/>
      <c r="V86" s="44"/>
      <c r="W86" s="44"/>
      <c r="X86" s="44"/>
      <c r="Y86" s="44"/>
      <c r="Z86" s="44"/>
      <c r="AA86" s="44"/>
      <c r="AB86" s="44"/>
    </row>
    <row r="87" spans="20:28" x14ac:dyDescent="0.3">
      <c r="T87" s="44"/>
      <c r="U87" s="40"/>
      <c r="V87" s="44"/>
      <c r="W87" s="44"/>
      <c r="X87" s="44"/>
      <c r="Y87" s="44"/>
      <c r="Z87" s="44"/>
      <c r="AA87" s="44"/>
      <c r="AB87" s="44"/>
    </row>
    <row r="88" spans="20:28" x14ac:dyDescent="0.3">
      <c r="T88" s="44"/>
      <c r="U88" s="40"/>
      <c r="V88" s="44"/>
      <c r="W88" s="44"/>
      <c r="X88" s="44"/>
      <c r="Y88" s="44"/>
      <c r="Z88" s="44"/>
      <c r="AA88" s="44"/>
      <c r="AB88" s="44"/>
    </row>
    <row r="89" spans="20:28" x14ac:dyDescent="0.3">
      <c r="T89" s="44"/>
      <c r="U89" s="40"/>
      <c r="V89" s="44"/>
      <c r="W89" s="44"/>
      <c r="X89" s="44"/>
      <c r="Y89" s="44"/>
      <c r="Z89" s="44"/>
      <c r="AA89" s="44"/>
      <c r="AB89" s="44"/>
    </row>
    <row r="90" spans="20:28" x14ac:dyDescent="0.3">
      <c r="T90" s="44"/>
      <c r="U90" s="40"/>
      <c r="V90" s="44"/>
      <c r="W90" s="44"/>
      <c r="X90" s="44"/>
      <c r="Y90" s="44"/>
      <c r="Z90" s="44"/>
      <c r="AA90" s="44"/>
      <c r="AB90" s="44"/>
    </row>
    <row r="91" spans="20:28" x14ac:dyDescent="0.3">
      <c r="T91" s="44"/>
      <c r="U91" s="40"/>
      <c r="V91" s="44"/>
      <c r="W91" s="44"/>
      <c r="X91" s="44"/>
      <c r="Y91" s="44"/>
      <c r="Z91" s="44"/>
      <c r="AA91" s="44"/>
      <c r="AB91" s="44"/>
    </row>
    <row r="92" spans="20:28" x14ac:dyDescent="0.3">
      <c r="T92" s="44"/>
      <c r="U92" s="40"/>
      <c r="V92" s="44"/>
      <c r="W92" s="44"/>
      <c r="X92" s="44"/>
      <c r="Y92" s="44"/>
      <c r="Z92" s="44"/>
      <c r="AA92" s="44"/>
      <c r="AB92" s="44"/>
    </row>
    <row r="93" spans="20:28" x14ac:dyDescent="0.3">
      <c r="T93" s="44"/>
      <c r="U93" s="40"/>
      <c r="V93" s="44"/>
      <c r="W93" s="44"/>
      <c r="X93" s="44"/>
      <c r="Y93" s="44"/>
      <c r="Z93" s="44"/>
      <c r="AA93" s="44"/>
      <c r="AB93" s="44"/>
    </row>
    <row r="94" spans="20:28" x14ac:dyDescent="0.3">
      <c r="T94" s="44"/>
      <c r="U94" s="40"/>
      <c r="V94" s="44"/>
      <c r="W94" s="44"/>
      <c r="X94" s="44"/>
      <c r="Y94" s="44"/>
      <c r="Z94" s="44"/>
      <c r="AA94" s="44"/>
      <c r="AB94" s="44"/>
    </row>
    <row r="95" spans="20:28" x14ac:dyDescent="0.3">
      <c r="T95" s="44"/>
      <c r="U95" s="40"/>
      <c r="V95" s="44"/>
      <c r="W95" s="44"/>
      <c r="X95" s="44"/>
      <c r="Y95" s="44"/>
      <c r="Z95" s="44"/>
      <c r="AA95" s="44"/>
      <c r="AB95" s="44"/>
    </row>
    <row r="96" spans="20:28" x14ac:dyDescent="0.3">
      <c r="T96" s="44"/>
      <c r="U96" s="40"/>
      <c r="V96" s="44"/>
      <c r="W96" s="44"/>
      <c r="X96" s="44"/>
      <c r="Y96" s="44"/>
      <c r="Z96" s="44"/>
      <c r="AA96" s="44"/>
      <c r="AB96" s="44"/>
    </row>
    <row r="97" spans="20:28" x14ac:dyDescent="0.3">
      <c r="T97" s="44"/>
      <c r="U97" s="40"/>
      <c r="V97" s="44"/>
      <c r="W97" s="44"/>
      <c r="X97" s="44"/>
      <c r="Y97" s="44"/>
      <c r="Z97" s="44"/>
      <c r="AA97" s="44"/>
      <c r="AB97" s="44"/>
    </row>
    <row r="98" spans="20:28" x14ac:dyDescent="0.3">
      <c r="T98" s="44"/>
      <c r="U98" s="40"/>
      <c r="V98" s="44"/>
      <c r="W98" s="44"/>
      <c r="X98" s="44"/>
      <c r="Y98" s="44"/>
      <c r="Z98" s="44"/>
      <c r="AA98" s="44"/>
      <c r="AB98" s="44"/>
    </row>
    <row r="99" spans="20:28" x14ac:dyDescent="0.3">
      <c r="T99" s="44"/>
      <c r="U99" s="40"/>
      <c r="V99" s="44"/>
      <c r="W99" s="44"/>
      <c r="X99" s="44"/>
      <c r="Y99" s="44"/>
      <c r="Z99" s="44"/>
      <c r="AA99" s="44"/>
      <c r="AB99" s="44"/>
    </row>
    <row r="100" spans="20:28" x14ac:dyDescent="0.3">
      <c r="T100" s="44"/>
      <c r="U100" s="40"/>
      <c r="V100" s="44"/>
      <c r="W100" s="44"/>
      <c r="X100" s="44"/>
      <c r="Y100" s="44"/>
      <c r="Z100" s="44"/>
      <c r="AA100" s="44"/>
      <c r="AB100" s="44"/>
    </row>
    <row r="101" spans="20:28" x14ac:dyDescent="0.3">
      <c r="T101" s="44"/>
      <c r="U101" s="40"/>
      <c r="V101" s="44"/>
      <c r="W101" s="44"/>
      <c r="X101" s="44"/>
      <c r="Y101" s="44"/>
      <c r="Z101" s="44"/>
      <c r="AA101" s="44"/>
      <c r="AB101" s="44"/>
    </row>
    <row r="102" spans="20:28" x14ac:dyDescent="0.3">
      <c r="T102" s="44"/>
      <c r="U102" s="40"/>
      <c r="V102" s="44"/>
      <c r="W102" s="44"/>
      <c r="X102" s="44"/>
      <c r="Y102" s="44"/>
      <c r="Z102" s="44"/>
      <c r="AA102" s="44"/>
      <c r="AB102" s="44"/>
    </row>
    <row r="103" spans="20:28" x14ac:dyDescent="0.3">
      <c r="T103" s="44"/>
      <c r="U103" s="40"/>
      <c r="V103" s="44"/>
      <c r="W103" s="44"/>
      <c r="X103" s="44"/>
      <c r="Y103" s="44"/>
      <c r="Z103" s="44"/>
      <c r="AA103" s="44"/>
      <c r="AB103" s="44"/>
    </row>
    <row r="104" spans="20:28" x14ac:dyDescent="0.3">
      <c r="T104" s="44"/>
      <c r="U104" s="40"/>
      <c r="V104" s="44"/>
      <c r="W104" s="44"/>
      <c r="X104" s="44"/>
      <c r="Y104" s="44"/>
      <c r="Z104" s="44"/>
      <c r="AA104" s="44"/>
      <c r="AB104" s="44"/>
    </row>
    <row r="105" spans="20:28" x14ac:dyDescent="0.3">
      <c r="T105" s="44"/>
      <c r="U105" s="40"/>
      <c r="V105" s="44"/>
      <c r="W105" s="44"/>
      <c r="X105" s="44"/>
      <c r="Y105" s="44"/>
      <c r="Z105" s="44"/>
      <c r="AA105" s="44"/>
      <c r="AB105" s="44"/>
    </row>
    <row r="106" spans="20:28" x14ac:dyDescent="0.3">
      <c r="T106" s="44"/>
      <c r="U106" s="40"/>
      <c r="V106" s="44"/>
      <c r="W106" s="44"/>
      <c r="X106" s="44"/>
      <c r="Y106" s="44"/>
      <c r="Z106" s="44"/>
      <c r="AA106" s="44"/>
      <c r="AB106" s="44"/>
    </row>
    <row r="107" spans="20:28" x14ac:dyDescent="0.3">
      <c r="T107" s="44"/>
      <c r="U107" s="40"/>
      <c r="V107" s="44"/>
      <c r="W107" s="44"/>
      <c r="X107" s="44"/>
      <c r="Y107" s="44"/>
      <c r="Z107" s="44"/>
      <c r="AA107" s="44"/>
      <c r="AB107" s="44"/>
    </row>
    <row r="108" spans="20:28" x14ac:dyDescent="0.3">
      <c r="T108" s="44"/>
      <c r="U108" s="40"/>
      <c r="V108" s="44"/>
      <c r="W108" s="44"/>
      <c r="X108" s="44"/>
      <c r="Y108" s="44"/>
      <c r="Z108" s="44"/>
      <c r="AA108" s="44"/>
      <c r="AB108" s="44"/>
    </row>
    <row r="109" spans="20:28" x14ac:dyDescent="0.3">
      <c r="T109" s="44"/>
      <c r="U109" s="40"/>
      <c r="V109" s="44"/>
      <c r="W109" s="44"/>
      <c r="X109" s="44"/>
      <c r="Y109" s="44"/>
      <c r="Z109" s="44"/>
      <c r="AA109" s="44"/>
      <c r="AB109" s="44"/>
    </row>
    <row r="110" spans="20:28" x14ac:dyDescent="0.3">
      <c r="T110" s="44"/>
      <c r="U110" s="40"/>
      <c r="V110" s="44"/>
      <c r="W110" s="44"/>
      <c r="X110" s="44"/>
      <c r="Y110" s="44"/>
      <c r="Z110" s="44"/>
      <c r="AA110" s="44"/>
      <c r="AB110" s="44"/>
    </row>
    <row r="111" spans="20:28" x14ac:dyDescent="0.3">
      <c r="T111" s="44"/>
      <c r="U111" s="40"/>
      <c r="V111" s="44"/>
      <c r="W111" s="44"/>
      <c r="X111" s="44"/>
      <c r="Y111" s="44"/>
      <c r="Z111" s="44"/>
      <c r="AA111" s="44"/>
      <c r="AB111" s="44"/>
    </row>
    <row r="112" spans="20:28" x14ac:dyDescent="0.3">
      <c r="T112" s="44"/>
      <c r="U112" s="40"/>
      <c r="V112" s="44"/>
      <c r="W112" s="44"/>
      <c r="X112" s="44"/>
      <c r="Y112" s="44"/>
      <c r="Z112" s="44"/>
      <c r="AA112" s="44"/>
      <c r="AB112" s="44"/>
    </row>
    <row r="113" spans="20:28" x14ac:dyDescent="0.3">
      <c r="T113" s="44"/>
      <c r="U113" s="40"/>
      <c r="V113" s="44"/>
      <c r="W113" s="44"/>
      <c r="X113" s="44"/>
      <c r="Y113" s="44"/>
      <c r="Z113" s="44"/>
      <c r="AA113" s="44"/>
      <c r="AB113" s="44"/>
    </row>
    <row r="114" spans="20:28" x14ac:dyDescent="0.3">
      <c r="T114" s="44"/>
      <c r="U114" s="40"/>
      <c r="V114" s="44"/>
      <c r="W114" s="44"/>
      <c r="X114" s="44"/>
      <c r="Y114" s="44"/>
      <c r="Z114" s="44"/>
      <c r="AA114" s="44"/>
      <c r="AB114" s="44"/>
    </row>
    <row r="115" spans="20:28" x14ac:dyDescent="0.3">
      <c r="T115" s="44"/>
      <c r="U115" s="40"/>
      <c r="V115" s="44"/>
      <c r="W115" s="44"/>
      <c r="X115" s="44"/>
      <c r="Y115" s="44"/>
      <c r="Z115" s="44"/>
      <c r="AA115" s="44"/>
      <c r="AB115" s="44"/>
    </row>
    <row r="116" spans="20:28" x14ac:dyDescent="0.3">
      <c r="T116" s="44"/>
      <c r="U116" s="40"/>
      <c r="V116" s="44"/>
      <c r="W116" s="44"/>
      <c r="X116" s="44"/>
      <c r="Y116" s="44"/>
      <c r="Z116" s="44"/>
      <c r="AA116" s="44"/>
      <c r="AB116" s="44"/>
    </row>
    <row r="117" spans="20:28" x14ac:dyDescent="0.3">
      <c r="T117" s="44"/>
      <c r="U117" s="40"/>
      <c r="V117" s="44"/>
      <c r="W117" s="44"/>
      <c r="X117" s="44"/>
      <c r="Y117" s="44"/>
      <c r="Z117" s="44"/>
      <c r="AA117" s="44"/>
      <c r="AB117" s="44"/>
    </row>
    <row r="118" spans="20:28" x14ac:dyDescent="0.3">
      <c r="T118" s="44"/>
      <c r="U118" s="40"/>
      <c r="V118" s="44"/>
      <c r="W118" s="44"/>
      <c r="X118" s="44"/>
      <c r="Y118" s="44"/>
      <c r="Z118" s="44"/>
      <c r="AA118" s="44"/>
      <c r="AB118" s="44"/>
    </row>
    <row r="119" spans="20:28" x14ac:dyDescent="0.3">
      <c r="T119" s="44"/>
      <c r="U119" s="40"/>
      <c r="V119" s="44"/>
      <c r="W119" s="44"/>
      <c r="X119" s="44"/>
      <c r="Y119" s="44"/>
      <c r="Z119" s="44"/>
      <c r="AA119" s="44"/>
      <c r="AB119" s="44"/>
    </row>
    <row r="120" spans="20:28" x14ac:dyDescent="0.3">
      <c r="T120" s="44"/>
      <c r="U120" s="40"/>
      <c r="V120" s="44"/>
      <c r="W120" s="44"/>
      <c r="X120" s="44"/>
      <c r="Y120" s="44"/>
      <c r="Z120" s="44"/>
      <c r="AA120" s="44"/>
      <c r="AB120" s="44"/>
    </row>
    <row r="121" spans="20:28" x14ac:dyDescent="0.3">
      <c r="T121" s="44"/>
      <c r="U121" s="40"/>
      <c r="V121" s="44"/>
      <c r="W121" s="44"/>
      <c r="X121" s="44"/>
      <c r="Y121" s="44"/>
      <c r="Z121" s="44"/>
      <c r="AA121" s="44"/>
      <c r="AB121" s="44"/>
    </row>
    <row r="122" spans="20:28" x14ac:dyDescent="0.3">
      <c r="T122" s="44"/>
      <c r="U122" s="40"/>
      <c r="V122" s="44"/>
      <c r="W122" s="44"/>
      <c r="X122" s="44"/>
      <c r="Y122" s="44"/>
      <c r="Z122" s="44"/>
      <c r="AA122" s="44"/>
      <c r="AB122" s="44"/>
    </row>
    <row r="123" spans="20:28" x14ac:dyDescent="0.3">
      <c r="T123" s="44"/>
      <c r="U123" s="40"/>
      <c r="V123" s="44"/>
      <c r="W123" s="44"/>
      <c r="X123" s="44"/>
      <c r="Y123" s="44"/>
      <c r="Z123" s="44"/>
      <c r="AA123" s="44"/>
      <c r="AB123" s="44"/>
    </row>
    <row r="124" spans="20:28" x14ac:dyDescent="0.3">
      <c r="T124" s="44"/>
      <c r="U124" s="40"/>
      <c r="V124" s="44"/>
      <c r="W124" s="44"/>
      <c r="X124" s="44"/>
      <c r="Y124" s="44"/>
      <c r="Z124" s="44"/>
      <c r="AA124" s="44"/>
      <c r="AB124" s="44"/>
    </row>
    <row r="125" spans="20:28" x14ac:dyDescent="0.3">
      <c r="T125" s="44"/>
      <c r="U125" s="40"/>
      <c r="V125" s="44"/>
      <c r="W125" s="44"/>
      <c r="X125" s="44"/>
      <c r="Y125" s="44"/>
      <c r="Z125" s="44"/>
      <c r="AA125" s="44"/>
      <c r="AB125" s="44"/>
    </row>
    <row r="126" spans="20:28" x14ac:dyDescent="0.3">
      <c r="T126" s="44"/>
      <c r="U126" s="40"/>
      <c r="V126" s="44"/>
      <c r="W126" s="44"/>
      <c r="X126" s="44"/>
      <c r="Y126" s="44"/>
      <c r="Z126" s="44"/>
      <c r="AA126" s="44"/>
      <c r="AB126" s="44"/>
    </row>
    <row r="127" spans="20:28" x14ac:dyDescent="0.3">
      <c r="T127" s="44"/>
      <c r="U127" s="40"/>
      <c r="V127" s="44"/>
      <c r="W127" s="44"/>
      <c r="X127" s="44"/>
      <c r="Y127" s="44"/>
      <c r="Z127" s="44"/>
      <c r="AA127" s="44"/>
      <c r="AB127" s="44"/>
    </row>
    <row r="128" spans="20:28" x14ac:dyDescent="0.3">
      <c r="T128" s="44"/>
      <c r="U128" s="40"/>
      <c r="V128" s="44"/>
      <c r="W128" s="44"/>
      <c r="X128" s="44"/>
      <c r="Y128" s="44"/>
      <c r="Z128" s="44"/>
      <c r="AA128" s="44"/>
      <c r="AB128" s="44"/>
    </row>
    <row r="129" spans="20:28" x14ac:dyDescent="0.3">
      <c r="T129" s="44"/>
      <c r="U129" s="40"/>
      <c r="V129" s="44"/>
      <c r="W129" s="44"/>
      <c r="X129" s="44"/>
      <c r="Y129" s="44"/>
      <c r="Z129" s="44"/>
      <c r="AA129" s="44"/>
      <c r="AB129" s="44"/>
    </row>
    <row r="130" spans="20:28" x14ac:dyDescent="0.3">
      <c r="T130" s="44"/>
      <c r="U130" s="40"/>
      <c r="V130" s="44"/>
      <c r="W130" s="44"/>
      <c r="X130" s="44"/>
      <c r="Y130" s="44"/>
      <c r="Z130" s="44"/>
      <c r="AA130" s="44"/>
      <c r="AB130" s="44"/>
    </row>
    <row r="131" spans="20:28" x14ac:dyDescent="0.3">
      <c r="T131" s="44"/>
      <c r="U131" s="40"/>
      <c r="V131" s="44"/>
      <c r="W131" s="44"/>
      <c r="X131" s="44"/>
      <c r="Y131" s="44"/>
      <c r="Z131" s="44"/>
      <c r="AA131" s="44"/>
      <c r="AB131" s="44"/>
    </row>
    <row r="132" spans="20:28" x14ac:dyDescent="0.3">
      <c r="T132" s="44"/>
      <c r="U132" s="40"/>
      <c r="V132" s="44"/>
      <c r="W132" s="44"/>
      <c r="X132" s="44"/>
      <c r="Y132" s="44"/>
      <c r="Z132" s="44"/>
      <c r="AA132" s="44"/>
      <c r="AB132" s="44"/>
    </row>
    <row r="133" spans="20:28" x14ac:dyDescent="0.3">
      <c r="T133" s="44"/>
      <c r="U133" s="40"/>
      <c r="V133" s="44"/>
      <c r="W133" s="44"/>
      <c r="X133" s="44"/>
      <c r="Y133" s="44"/>
      <c r="Z133" s="44"/>
      <c r="AA133" s="44"/>
      <c r="AB133" s="44"/>
    </row>
    <row r="134" spans="20:28" x14ac:dyDescent="0.3">
      <c r="T134" s="44"/>
      <c r="U134" s="40"/>
      <c r="V134" s="44"/>
      <c r="W134" s="44"/>
      <c r="X134" s="44"/>
      <c r="Y134" s="44"/>
      <c r="Z134" s="44"/>
      <c r="AA134" s="44"/>
      <c r="AB134" s="44"/>
    </row>
    <row r="135" spans="20:28" x14ac:dyDescent="0.3">
      <c r="T135" s="44"/>
      <c r="U135" s="40"/>
      <c r="V135" s="44"/>
      <c r="W135" s="44"/>
      <c r="X135" s="44"/>
      <c r="Y135" s="44"/>
      <c r="Z135" s="44"/>
      <c r="AA135" s="44"/>
      <c r="AB135" s="44"/>
    </row>
    <row r="136" spans="20:28" x14ac:dyDescent="0.3">
      <c r="T136" s="44"/>
      <c r="U136" s="40"/>
      <c r="V136" s="44"/>
      <c r="W136" s="44"/>
      <c r="X136" s="44"/>
      <c r="Y136" s="44"/>
      <c r="Z136" s="44"/>
      <c r="AA136" s="44"/>
      <c r="AB136" s="44"/>
    </row>
    <row r="137" spans="20:28" x14ac:dyDescent="0.3">
      <c r="T137" s="44"/>
      <c r="U137" s="40"/>
      <c r="V137" s="44"/>
      <c r="W137" s="44"/>
      <c r="X137" s="44"/>
      <c r="Y137" s="44"/>
      <c r="Z137" s="44"/>
      <c r="AA137" s="44"/>
      <c r="AB137" s="44"/>
    </row>
    <row r="138" spans="20:28" x14ac:dyDescent="0.3">
      <c r="T138" s="44"/>
      <c r="U138" s="40"/>
      <c r="V138" s="44"/>
      <c r="W138" s="44"/>
      <c r="X138" s="44"/>
      <c r="Y138" s="44"/>
      <c r="Z138" s="44"/>
      <c r="AA138" s="44"/>
      <c r="AB138" s="44"/>
    </row>
    <row r="139" spans="20:28" x14ac:dyDescent="0.3">
      <c r="T139" s="44"/>
      <c r="U139" s="40"/>
      <c r="V139" s="44"/>
      <c r="W139" s="44"/>
      <c r="X139" s="44"/>
      <c r="Y139" s="44"/>
      <c r="Z139" s="44"/>
      <c r="AA139" s="44"/>
      <c r="AB139" s="44"/>
    </row>
    <row r="140" spans="20:28" x14ac:dyDescent="0.3">
      <c r="T140" s="44"/>
      <c r="U140" s="40"/>
      <c r="V140" s="44"/>
      <c r="W140" s="44"/>
      <c r="X140" s="44"/>
      <c r="Y140" s="44"/>
      <c r="Z140" s="44"/>
      <c r="AA140" s="44"/>
      <c r="AB140" s="44"/>
    </row>
    <row r="141" spans="20:28" x14ac:dyDescent="0.3">
      <c r="T141" s="44"/>
      <c r="U141" s="40"/>
      <c r="V141" s="44"/>
      <c r="W141" s="44"/>
      <c r="X141" s="44"/>
      <c r="Y141" s="44"/>
      <c r="Z141" s="44"/>
      <c r="AA141" s="44"/>
      <c r="AB141" s="44"/>
    </row>
    <row r="142" spans="20:28" x14ac:dyDescent="0.3">
      <c r="T142" s="44"/>
      <c r="U142" s="40"/>
      <c r="V142" s="44"/>
      <c r="W142" s="44"/>
      <c r="X142" s="44"/>
      <c r="Y142" s="44"/>
      <c r="Z142" s="44"/>
      <c r="AA142" s="44"/>
      <c r="AB142" s="44"/>
    </row>
    <row r="143" spans="20:28" x14ac:dyDescent="0.3">
      <c r="T143" s="44"/>
      <c r="U143" s="40"/>
      <c r="V143" s="44"/>
      <c r="W143" s="44"/>
      <c r="X143" s="44"/>
      <c r="Y143" s="44"/>
      <c r="Z143" s="44"/>
      <c r="AA143" s="44"/>
      <c r="AB143" s="44"/>
    </row>
    <row r="144" spans="20:28" x14ac:dyDescent="0.3">
      <c r="T144" s="44"/>
      <c r="U144" s="40"/>
      <c r="V144" s="44"/>
      <c r="W144" s="44"/>
      <c r="X144" s="44"/>
      <c r="Y144" s="44"/>
      <c r="Z144" s="44"/>
      <c r="AA144" s="44"/>
      <c r="AB144" s="44"/>
    </row>
    <row r="145" spans="20:28" x14ac:dyDescent="0.3">
      <c r="T145" s="44"/>
      <c r="U145" s="40"/>
      <c r="V145" s="44"/>
      <c r="W145" s="44"/>
      <c r="X145" s="44"/>
      <c r="Y145" s="44"/>
      <c r="Z145" s="44"/>
      <c r="AA145" s="44"/>
      <c r="AB145" s="44"/>
    </row>
    <row r="146" spans="20:28" x14ac:dyDescent="0.3">
      <c r="T146" s="44"/>
      <c r="U146" s="40"/>
      <c r="V146" s="44"/>
      <c r="W146" s="44"/>
      <c r="X146" s="44"/>
      <c r="Y146" s="44"/>
      <c r="Z146" s="44"/>
      <c r="AA146" s="44"/>
      <c r="AB146" s="44"/>
    </row>
    <row r="147" spans="20:28" x14ac:dyDescent="0.3">
      <c r="T147" s="44"/>
      <c r="U147" s="40"/>
      <c r="V147" s="44"/>
      <c r="W147" s="44"/>
      <c r="X147" s="44"/>
      <c r="Y147" s="44"/>
      <c r="Z147" s="44"/>
      <c r="AA147" s="44"/>
      <c r="AB147" s="44"/>
    </row>
    <row r="148" spans="20:28" x14ac:dyDescent="0.3">
      <c r="T148" s="44"/>
      <c r="U148" s="40"/>
      <c r="V148" s="44"/>
      <c r="W148" s="44"/>
      <c r="X148" s="44"/>
      <c r="Y148" s="44"/>
      <c r="Z148" s="44"/>
      <c r="AA148" s="44"/>
      <c r="AB148" s="44"/>
    </row>
    <row r="149" spans="20:28" x14ac:dyDescent="0.3">
      <c r="T149" s="44"/>
      <c r="U149" s="40"/>
      <c r="V149" s="44"/>
      <c r="W149" s="44"/>
      <c r="X149" s="44"/>
      <c r="Y149" s="44"/>
      <c r="Z149" s="44"/>
      <c r="AA149" s="44"/>
      <c r="AB149" s="44"/>
    </row>
    <row r="150" spans="20:28" x14ac:dyDescent="0.3">
      <c r="T150" s="44"/>
      <c r="U150" s="40"/>
      <c r="V150" s="44"/>
      <c r="W150" s="44"/>
      <c r="X150" s="44"/>
      <c r="Y150" s="44"/>
      <c r="Z150" s="44"/>
      <c r="AA150" s="44"/>
      <c r="AB150" s="44"/>
    </row>
    <row r="151" spans="20:28" x14ac:dyDescent="0.3">
      <c r="T151" s="44"/>
      <c r="U151" s="40"/>
      <c r="V151" s="44"/>
      <c r="W151" s="44"/>
      <c r="X151" s="44"/>
      <c r="Y151" s="44"/>
      <c r="Z151" s="44"/>
      <c r="AA151" s="44"/>
      <c r="AB151" s="44"/>
    </row>
    <row r="152" spans="20:28" x14ac:dyDescent="0.3">
      <c r="T152" s="44"/>
      <c r="U152" s="40"/>
      <c r="V152" s="44"/>
      <c r="W152" s="44"/>
      <c r="X152" s="44"/>
      <c r="Y152" s="44"/>
      <c r="Z152" s="44"/>
      <c r="AA152" s="44"/>
      <c r="AB152" s="44"/>
    </row>
    <row r="153" spans="20:28" x14ac:dyDescent="0.3">
      <c r="T153" s="44"/>
      <c r="U153" s="40"/>
      <c r="V153" s="44"/>
      <c r="W153" s="44"/>
      <c r="X153" s="44"/>
      <c r="Y153" s="44"/>
      <c r="Z153" s="44"/>
      <c r="AA153" s="44"/>
      <c r="AB153" s="44"/>
    </row>
    <row r="154" spans="20:28" x14ac:dyDescent="0.3">
      <c r="T154" s="44"/>
      <c r="U154" s="40"/>
      <c r="V154" s="44"/>
      <c r="W154" s="44"/>
      <c r="X154" s="44"/>
      <c r="Y154" s="44"/>
      <c r="Z154" s="44"/>
      <c r="AA154" s="44"/>
      <c r="AB154" s="44"/>
    </row>
    <row r="155" spans="20:28" x14ac:dyDescent="0.3">
      <c r="T155" s="44"/>
      <c r="U155" s="40"/>
      <c r="V155" s="44"/>
      <c r="W155" s="44"/>
      <c r="X155" s="44"/>
      <c r="Y155" s="44"/>
      <c r="Z155" s="44"/>
      <c r="AA155" s="44"/>
      <c r="AB155" s="44"/>
    </row>
    <row r="156" spans="20:28" x14ac:dyDescent="0.3">
      <c r="T156" s="44"/>
      <c r="U156" s="40"/>
      <c r="V156" s="44"/>
      <c r="W156" s="44"/>
      <c r="X156" s="44"/>
      <c r="Y156" s="44"/>
      <c r="Z156" s="44"/>
      <c r="AA156" s="44"/>
      <c r="AB156" s="44"/>
    </row>
    <row r="157" spans="20:28" x14ac:dyDescent="0.3">
      <c r="T157" s="44"/>
      <c r="U157" s="40"/>
      <c r="V157" s="44"/>
      <c r="W157" s="44"/>
      <c r="X157" s="44"/>
      <c r="Y157" s="44"/>
      <c r="Z157" s="44"/>
      <c r="AA157" s="44"/>
      <c r="AB157" s="44"/>
    </row>
    <row r="158" spans="20:28" x14ac:dyDescent="0.3">
      <c r="T158" s="44"/>
      <c r="U158" s="40"/>
      <c r="V158" s="44"/>
      <c r="W158" s="44"/>
      <c r="X158" s="44"/>
      <c r="Y158" s="44"/>
      <c r="Z158" s="44"/>
      <c r="AA158" s="44"/>
      <c r="AB158" s="44"/>
    </row>
    <row r="159" spans="20:28" x14ac:dyDescent="0.3">
      <c r="T159" s="44"/>
      <c r="U159" s="40"/>
      <c r="V159" s="44"/>
      <c r="W159" s="44"/>
      <c r="X159" s="44"/>
      <c r="Y159" s="44"/>
      <c r="Z159" s="44"/>
      <c r="AA159" s="44"/>
      <c r="AB159" s="44"/>
    </row>
    <row r="160" spans="20:28" x14ac:dyDescent="0.3">
      <c r="T160" s="44"/>
      <c r="U160" s="40"/>
      <c r="V160" s="44"/>
      <c r="W160" s="44"/>
      <c r="X160" s="44"/>
      <c r="Y160" s="44"/>
      <c r="Z160" s="44"/>
      <c r="AA160" s="44"/>
      <c r="AB160" s="44"/>
    </row>
    <row r="161" spans="20:28" x14ac:dyDescent="0.3">
      <c r="T161" s="44"/>
      <c r="U161" s="40"/>
      <c r="V161" s="44"/>
      <c r="W161" s="44"/>
      <c r="X161" s="44"/>
      <c r="Y161" s="44"/>
      <c r="Z161" s="44"/>
      <c r="AA161" s="44"/>
      <c r="AB161" s="44"/>
    </row>
    <row r="162" spans="20:28" x14ac:dyDescent="0.3">
      <c r="T162" s="44"/>
      <c r="U162" s="40"/>
      <c r="V162" s="44"/>
      <c r="W162" s="44"/>
      <c r="X162" s="44"/>
      <c r="Y162" s="44"/>
      <c r="Z162" s="44"/>
      <c r="AA162" s="44"/>
      <c r="AB162" s="44"/>
    </row>
    <row r="163" spans="20:28" x14ac:dyDescent="0.3">
      <c r="T163" s="44"/>
      <c r="U163" s="40"/>
      <c r="V163" s="44"/>
      <c r="W163" s="44"/>
      <c r="X163" s="44"/>
      <c r="Y163" s="44"/>
      <c r="Z163" s="44"/>
      <c r="AA163" s="44"/>
      <c r="AB163" s="44"/>
    </row>
    <row r="164" spans="20:28" x14ac:dyDescent="0.3">
      <c r="T164" s="44"/>
      <c r="U164" s="40"/>
      <c r="V164" s="44"/>
      <c r="W164" s="44"/>
      <c r="X164" s="44"/>
      <c r="Y164" s="44"/>
      <c r="Z164" s="44"/>
      <c r="AA164" s="44"/>
      <c r="AB164" s="44"/>
    </row>
    <row r="165" spans="20:28" x14ac:dyDescent="0.3">
      <c r="T165" s="44"/>
      <c r="U165" s="40"/>
      <c r="V165" s="44"/>
      <c r="W165" s="44"/>
      <c r="X165" s="44"/>
      <c r="Y165" s="44"/>
      <c r="Z165" s="44"/>
      <c r="AA165" s="44"/>
      <c r="AB165" s="44"/>
    </row>
    <row r="166" spans="20:28" x14ac:dyDescent="0.3">
      <c r="T166" s="44"/>
      <c r="U166" s="40"/>
      <c r="V166" s="44"/>
      <c r="W166" s="44"/>
      <c r="X166" s="44"/>
      <c r="Y166" s="44"/>
      <c r="Z166" s="44"/>
      <c r="AA166" s="44"/>
      <c r="AB166" s="44"/>
    </row>
    <row r="167" spans="20:28" x14ac:dyDescent="0.3">
      <c r="T167" s="44"/>
      <c r="U167" s="40"/>
      <c r="V167" s="44"/>
      <c r="W167" s="44"/>
      <c r="X167" s="44"/>
      <c r="Y167" s="44"/>
      <c r="Z167" s="44"/>
      <c r="AA167" s="44"/>
      <c r="AB167" s="44"/>
    </row>
    <row r="168" spans="20:28" x14ac:dyDescent="0.3">
      <c r="T168" s="44"/>
      <c r="U168" s="40"/>
      <c r="V168" s="44"/>
      <c r="W168" s="44"/>
      <c r="X168" s="44"/>
      <c r="Y168" s="44"/>
      <c r="Z168" s="44"/>
      <c r="AA168" s="44"/>
      <c r="AB168" s="44"/>
    </row>
    <row r="169" spans="20:28" x14ac:dyDescent="0.3">
      <c r="T169" s="44"/>
      <c r="U169" s="40"/>
      <c r="V169" s="44"/>
      <c r="W169" s="44"/>
      <c r="X169" s="44"/>
      <c r="Y169" s="44"/>
      <c r="Z169" s="44"/>
      <c r="AA169" s="44"/>
      <c r="AB169" s="44"/>
    </row>
    <row r="170" spans="20:28" x14ac:dyDescent="0.3">
      <c r="T170" s="44"/>
      <c r="U170" s="40"/>
      <c r="V170" s="44"/>
      <c r="W170" s="44"/>
      <c r="X170" s="44"/>
      <c r="Y170" s="44"/>
      <c r="Z170" s="44"/>
      <c r="AA170" s="44"/>
      <c r="AB170" s="44"/>
    </row>
    <row r="171" spans="20:28" x14ac:dyDescent="0.3">
      <c r="T171" s="44"/>
      <c r="U171" s="40"/>
      <c r="V171" s="44"/>
      <c r="W171" s="44"/>
      <c r="X171" s="44"/>
      <c r="Y171" s="44"/>
      <c r="Z171" s="44"/>
      <c r="AA171" s="44"/>
      <c r="AB171" s="44"/>
    </row>
    <row r="172" spans="20:28" x14ac:dyDescent="0.3">
      <c r="T172" s="44"/>
      <c r="U172" s="40"/>
      <c r="V172" s="44"/>
      <c r="W172" s="44"/>
      <c r="X172" s="44"/>
      <c r="Y172" s="44"/>
      <c r="Z172" s="44"/>
      <c r="AA172" s="44"/>
      <c r="AB172" s="44"/>
    </row>
    <row r="173" spans="20:28" x14ac:dyDescent="0.3">
      <c r="T173" s="44"/>
      <c r="U173" s="40"/>
      <c r="V173" s="44"/>
      <c r="W173" s="44"/>
      <c r="X173" s="44"/>
      <c r="Y173" s="44"/>
      <c r="Z173" s="44"/>
      <c r="AA173" s="44"/>
      <c r="AB173" s="44"/>
    </row>
    <row r="174" spans="20:28" x14ac:dyDescent="0.3">
      <c r="T174" s="44"/>
      <c r="U174" s="40"/>
      <c r="V174" s="44"/>
      <c r="W174" s="44"/>
      <c r="X174" s="44"/>
      <c r="Y174" s="44"/>
      <c r="Z174" s="44"/>
      <c r="AA174" s="44"/>
      <c r="AB174" s="44"/>
    </row>
    <row r="175" spans="20:28" x14ac:dyDescent="0.3">
      <c r="T175" s="44"/>
      <c r="U175" s="40"/>
      <c r="V175" s="44"/>
      <c r="W175" s="44"/>
      <c r="X175" s="44"/>
      <c r="Y175" s="44"/>
      <c r="Z175" s="44"/>
      <c r="AA175" s="44"/>
      <c r="AB175" s="44"/>
    </row>
    <row r="176" spans="20:28" x14ac:dyDescent="0.3">
      <c r="T176" s="44"/>
      <c r="U176" s="40"/>
      <c r="V176" s="44"/>
      <c r="W176" s="44"/>
      <c r="X176" s="44"/>
      <c r="Y176" s="44"/>
      <c r="Z176" s="44"/>
      <c r="AA176" s="44"/>
      <c r="AB176" s="44"/>
    </row>
    <row r="177" spans="20:28" x14ac:dyDescent="0.3">
      <c r="T177" s="44"/>
      <c r="U177" s="40"/>
      <c r="V177" s="44"/>
      <c r="W177" s="44"/>
      <c r="X177" s="44"/>
      <c r="Y177" s="44"/>
      <c r="Z177" s="44"/>
      <c r="AA177" s="44"/>
      <c r="AB177" s="44"/>
    </row>
    <row r="178" spans="20:28" x14ac:dyDescent="0.3">
      <c r="T178" s="44"/>
      <c r="U178" s="40"/>
      <c r="V178" s="44"/>
      <c r="W178" s="44"/>
      <c r="X178" s="44"/>
      <c r="Y178" s="44"/>
      <c r="Z178" s="44"/>
      <c r="AA178" s="44"/>
      <c r="AB178" s="44"/>
    </row>
    <row r="179" spans="20:28" x14ac:dyDescent="0.3">
      <c r="T179" s="44"/>
      <c r="U179" s="40"/>
      <c r="V179" s="44"/>
      <c r="W179" s="44"/>
      <c r="X179" s="44"/>
      <c r="Y179" s="44"/>
      <c r="Z179" s="44"/>
      <c r="AA179" s="44"/>
      <c r="AB179" s="44"/>
    </row>
    <row r="180" spans="20:28" x14ac:dyDescent="0.3">
      <c r="T180" s="44"/>
      <c r="U180" s="40"/>
      <c r="V180" s="44"/>
      <c r="W180" s="44"/>
      <c r="X180" s="44"/>
      <c r="Y180" s="44"/>
      <c r="Z180" s="44"/>
      <c r="AA180" s="44"/>
      <c r="AB180" s="44"/>
    </row>
    <row r="181" spans="20:28" x14ac:dyDescent="0.3">
      <c r="T181" s="44"/>
      <c r="U181" s="40"/>
      <c r="V181" s="44"/>
      <c r="W181" s="44"/>
      <c r="X181" s="44"/>
      <c r="Y181" s="44"/>
      <c r="Z181" s="44"/>
      <c r="AA181" s="44"/>
      <c r="AB181" s="44"/>
    </row>
    <row r="182" spans="20:28" x14ac:dyDescent="0.3">
      <c r="T182" s="44"/>
      <c r="U182" s="40"/>
      <c r="V182" s="44"/>
      <c r="W182" s="44"/>
      <c r="X182" s="44"/>
      <c r="Y182" s="44"/>
      <c r="Z182" s="44"/>
      <c r="AA182" s="44"/>
      <c r="AB182" s="44"/>
    </row>
    <row r="183" spans="20:28" x14ac:dyDescent="0.3">
      <c r="T183" s="44"/>
      <c r="U183" s="40"/>
      <c r="V183" s="44"/>
      <c r="W183" s="44"/>
      <c r="X183" s="44"/>
      <c r="Y183" s="44"/>
      <c r="Z183" s="44"/>
      <c r="AA183" s="44"/>
      <c r="AB183" s="44"/>
    </row>
    <row r="184" spans="20:28" x14ac:dyDescent="0.3">
      <c r="T184" s="44"/>
      <c r="U184" s="40"/>
      <c r="V184" s="44"/>
      <c r="W184" s="44"/>
      <c r="X184" s="44"/>
      <c r="Y184" s="44"/>
      <c r="Z184" s="44"/>
      <c r="AA184" s="44"/>
      <c r="AB184" s="44"/>
    </row>
    <row r="185" spans="20:28" x14ac:dyDescent="0.3">
      <c r="T185" s="44"/>
      <c r="U185" s="40"/>
      <c r="V185" s="44"/>
      <c r="W185" s="44"/>
      <c r="X185" s="44"/>
      <c r="Y185" s="44"/>
      <c r="Z185" s="44"/>
      <c r="AA185" s="44"/>
      <c r="AB185" s="44"/>
    </row>
    <row r="186" spans="20:28" x14ac:dyDescent="0.3">
      <c r="T186" s="44"/>
      <c r="U186" s="40"/>
      <c r="V186" s="44"/>
      <c r="W186" s="44"/>
      <c r="X186" s="44"/>
      <c r="Y186" s="44"/>
      <c r="Z186" s="44"/>
      <c r="AA186" s="44"/>
      <c r="AB186" s="44"/>
    </row>
    <row r="187" spans="20:28" x14ac:dyDescent="0.3">
      <c r="T187" s="44"/>
      <c r="U187" s="40"/>
      <c r="V187" s="44"/>
      <c r="W187" s="44"/>
      <c r="X187" s="44"/>
      <c r="Y187" s="44"/>
      <c r="Z187" s="44"/>
      <c r="AA187" s="44"/>
      <c r="AB187" s="44"/>
    </row>
    <row r="188" spans="20:28" x14ac:dyDescent="0.3">
      <c r="T188" s="44"/>
      <c r="U188" s="40"/>
      <c r="V188" s="44"/>
      <c r="W188" s="44"/>
      <c r="X188" s="44"/>
      <c r="Y188" s="44"/>
      <c r="Z188" s="44"/>
      <c r="AA188" s="44"/>
      <c r="AB188" s="44"/>
    </row>
    <row r="189" spans="20:28" x14ac:dyDescent="0.3">
      <c r="T189" s="44"/>
      <c r="U189" s="40"/>
      <c r="V189" s="44"/>
      <c r="W189" s="44"/>
      <c r="X189" s="44"/>
      <c r="Y189" s="44"/>
      <c r="Z189" s="44"/>
      <c r="AA189" s="44"/>
      <c r="AB189" s="44"/>
    </row>
    <row r="190" spans="20:28" x14ac:dyDescent="0.3">
      <c r="T190" s="44"/>
      <c r="U190" s="40"/>
      <c r="V190" s="44"/>
      <c r="W190" s="44"/>
      <c r="X190" s="44"/>
      <c r="Y190" s="44"/>
      <c r="Z190" s="44"/>
      <c r="AA190" s="44"/>
      <c r="AB190" s="44"/>
    </row>
    <row r="191" spans="20:28" x14ac:dyDescent="0.3">
      <c r="T191" s="44"/>
      <c r="U191" s="40"/>
      <c r="V191" s="44"/>
      <c r="W191" s="44"/>
      <c r="X191" s="44"/>
      <c r="Y191" s="44"/>
      <c r="Z191" s="44"/>
      <c r="AA191" s="44"/>
      <c r="AB191" s="44"/>
    </row>
    <row r="192" spans="20:28" x14ac:dyDescent="0.3">
      <c r="T192" s="44"/>
      <c r="U192" s="40"/>
      <c r="V192" s="44"/>
      <c r="W192" s="44"/>
      <c r="X192" s="44"/>
      <c r="Y192" s="44"/>
      <c r="Z192" s="44"/>
      <c r="AA192" s="44"/>
      <c r="AB192" s="44"/>
    </row>
    <row r="193" spans="20:28" x14ac:dyDescent="0.3">
      <c r="T193" s="44"/>
      <c r="U193" s="40"/>
      <c r="V193" s="44"/>
      <c r="W193" s="44"/>
      <c r="X193" s="44"/>
      <c r="Y193" s="44"/>
      <c r="Z193" s="44"/>
      <c r="AA193" s="44"/>
      <c r="AB193" s="44"/>
    </row>
    <row r="194" spans="20:28" x14ac:dyDescent="0.3">
      <c r="T194" s="44"/>
      <c r="U194" s="40"/>
      <c r="V194" s="44"/>
      <c r="W194" s="44"/>
      <c r="X194" s="44"/>
      <c r="Y194" s="44"/>
      <c r="Z194" s="44"/>
      <c r="AA194" s="44"/>
      <c r="AB194" s="44"/>
    </row>
    <row r="195" spans="20:28" x14ac:dyDescent="0.3">
      <c r="T195" s="44"/>
      <c r="U195" s="40"/>
      <c r="V195" s="44"/>
      <c r="W195" s="44"/>
      <c r="X195" s="44"/>
      <c r="Y195" s="44"/>
      <c r="Z195" s="44"/>
      <c r="AA195" s="44"/>
      <c r="AB195" s="44"/>
    </row>
    <row r="196" spans="20:28" x14ac:dyDescent="0.3">
      <c r="T196" s="44"/>
      <c r="U196" s="40"/>
      <c r="V196" s="44"/>
      <c r="W196" s="44"/>
      <c r="X196" s="44"/>
      <c r="Y196" s="44"/>
      <c r="Z196" s="44"/>
      <c r="AA196" s="44"/>
      <c r="AB196" s="44"/>
    </row>
    <row r="197" spans="20:28" x14ac:dyDescent="0.3">
      <c r="T197" s="44"/>
      <c r="U197" s="40"/>
      <c r="V197" s="44"/>
      <c r="W197" s="44"/>
      <c r="X197" s="44"/>
      <c r="Y197" s="44"/>
      <c r="Z197" s="44"/>
      <c r="AA197" s="44"/>
      <c r="AB197" s="44"/>
    </row>
    <row r="198" spans="20:28" x14ac:dyDescent="0.3">
      <c r="T198" s="44"/>
      <c r="U198" s="40"/>
      <c r="V198" s="44"/>
      <c r="W198" s="44"/>
      <c r="X198" s="44"/>
      <c r="Y198" s="44"/>
      <c r="Z198" s="44"/>
      <c r="AA198" s="44"/>
      <c r="AB198" s="44"/>
    </row>
    <row r="199" spans="20:28" x14ac:dyDescent="0.3">
      <c r="T199" s="44"/>
      <c r="U199" s="40"/>
      <c r="V199" s="44"/>
      <c r="W199" s="44"/>
      <c r="X199" s="44"/>
      <c r="Y199" s="44"/>
      <c r="Z199" s="44"/>
      <c r="AA199" s="44"/>
      <c r="AB199" s="44"/>
    </row>
    <row r="200" spans="20:28" x14ac:dyDescent="0.3">
      <c r="T200" s="44"/>
      <c r="U200" s="40"/>
      <c r="V200" s="44"/>
      <c r="W200" s="44"/>
      <c r="X200" s="44"/>
      <c r="Y200" s="44"/>
      <c r="Z200" s="44"/>
      <c r="AA200" s="44"/>
      <c r="AB200" s="44"/>
    </row>
    <row r="201" spans="20:28" x14ac:dyDescent="0.3">
      <c r="T201" s="44"/>
      <c r="U201" s="40"/>
      <c r="V201" s="44"/>
      <c r="W201" s="44"/>
      <c r="X201" s="44"/>
      <c r="Y201" s="44"/>
      <c r="Z201" s="44"/>
      <c r="AA201" s="44"/>
      <c r="AB201" s="44"/>
    </row>
    <row r="202" spans="20:28" x14ac:dyDescent="0.3">
      <c r="T202" s="44"/>
      <c r="U202" s="40"/>
      <c r="V202" s="44"/>
      <c r="W202" s="44"/>
      <c r="X202" s="44"/>
      <c r="Y202" s="44"/>
      <c r="Z202" s="44"/>
      <c r="AA202" s="44"/>
      <c r="AB202" s="44"/>
    </row>
    <row r="203" spans="20:28" x14ac:dyDescent="0.3">
      <c r="T203" s="44"/>
      <c r="U203" s="40"/>
      <c r="V203" s="44"/>
      <c r="W203" s="44"/>
      <c r="X203" s="44"/>
      <c r="Y203" s="44"/>
      <c r="Z203" s="44"/>
      <c r="AA203" s="44"/>
      <c r="AB203" s="44"/>
    </row>
    <row r="204" spans="20:28" x14ac:dyDescent="0.3">
      <c r="T204" s="44"/>
      <c r="U204" s="40"/>
      <c r="V204" s="44"/>
      <c r="W204" s="44"/>
      <c r="X204" s="44"/>
      <c r="Y204" s="44"/>
      <c r="Z204" s="44"/>
      <c r="AA204" s="44"/>
      <c r="AB204" s="44"/>
    </row>
    <row r="205" spans="20:28" x14ac:dyDescent="0.3">
      <c r="T205" s="44"/>
      <c r="U205" s="40"/>
      <c r="V205" s="44"/>
      <c r="W205" s="44"/>
      <c r="X205" s="44"/>
      <c r="Y205" s="44"/>
      <c r="Z205" s="44"/>
      <c r="AA205" s="44"/>
      <c r="AB205" s="44"/>
    </row>
    <row r="206" spans="20:28" x14ac:dyDescent="0.3">
      <c r="T206" s="44"/>
      <c r="U206" s="40"/>
      <c r="V206" s="44"/>
      <c r="W206" s="44"/>
      <c r="X206" s="44"/>
      <c r="Y206" s="44"/>
      <c r="Z206" s="44"/>
      <c r="AA206" s="44"/>
      <c r="AB206" s="44"/>
    </row>
    <row r="207" spans="20:28" x14ac:dyDescent="0.3">
      <c r="T207" s="44"/>
      <c r="U207" s="40"/>
      <c r="V207" s="44"/>
      <c r="W207" s="44"/>
      <c r="X207" s="44"/>
      <c r="Y207" s="44"/>
      <c r="Z207" s="44"/>
      <c r="AA207" s="44"/>
      <c r="AB207" s="44"/>
    </row>
    <row r="208" spans="20:28" x14ac:dyDescent="0.3">
      <c r="T208" s="44"/>
      <c r="U208" s="40"/>
      <c r="V208" s="44"/>
      <c r="W208" s="44"/>
      <c r="X208" s="44"/>
      <c r="Y208" s="44"/>
      <c r="Z208" s="44"/>
      <c r="AA208" s="44"/>
      <c r="AB208" s="44"/>
    </row>
    <row r="209" spans="20:28" x14ac:dyDescent="0.3">
      <c r="T209" s="44"/>
      <c r="U209" s="40"/>
      <c r="V209" s="44"/>
      <c r="W209" s="44"/>
      <c r="X209" s="44"/>
      <c r="Y209" s="44"/>
      <c r="Z209" s="44"/>
      <c r="AA209" s="44"/>
      <c r="AB209" s="44"/>
    </row>
  </sheetData>
  <sheetProtection formatCells="0" formatRows="0" insertHyperlinks="0"/>
  <mergeCells count="22">
    <mergeCell ref="H10:R10"/>
    <mergeCell ref="D2:F2"/>
    <mergeCell ref="G4:R4"/>
    <mergeCell ref="D5:F5"/>
    <mergeCell ref="H8:R8"/>
    <mergeCell ref="H9:R9"/>
    <mergeCell ref="G19:R19"/>
    <mergeCell ref="D21:R21"/>
    <mergeCell ref="D20:M20"/>
    <mergeCell ref="G2:R2"/>
    <mergeCell ref="G12:R12"/>
    <mergeCell ref="G13:R13"/>
    <mergeCell ref="G14:R14"/>
    <mergeCell ref="G15:R15"/>
    <mergeCell ref="G16:R16"/>
    <mergeCell ref="G17:R17"/>
    <mergeCell ref="H5:R5"/>
    <mergeCell ref="I6:O6"/>
    <mergeCell ref="P6:Q6"/>
    <mergeCell ref="D4:F4"/>
    <mergeCell ref="H18:R18"/>
    <mergeCell ref="H7:R7"/>
  </mergeCells>
  <conditionalFormatting sqref="H21:M21 N20:R21 H24:Q58">
    <cfRule type="colorScale" priority="1">
      <colorScale>
        <cfvo type="num" val="0"/>
        <cfvo type="num" val="5"/>
        <cfvo type="num" val="10"/>
        <color rgb="FF00B050"/>
        <color rgb="FFFFFF00"/>
        <color rgb="FFFF0000"/>
      </colorScale>
    </cfRule>
  </conditionalFormatting>
  <conditionalFormatting sqref="Q20:Q21 Q24:Q58">
    <cfRule type="expression" dxfId="2650" priority="2" stopIfTrue="1">
      <formula>IF($U20&lt;10,TRUE,)</formula>
    </cfRule>
  </conditionalFormatting>
  <conditionalFormatting sqref="P20:P21 P24:P58">
    <cfRule type="expression" dxfId="2649" priority="82" stopIfTrue="1">
      <formula>IF($U20&lt;9,TRUE,)</formula>
    </cfRule>
  </conditionalFormatting>
  <conditionalFormatting sqref="O20:O21 O24:O58">
    <cfRule type="expression" dxfId="2648" priority="81" stopIfTrue="1">
      <formula>IF($U20&lt;8,TRUE,)</formula>
    </cfRule>
  </conditionalFormatting>
  <conditionalFormatting sqref="N20:N21 N24:N58">
    <cfRule type="expression" dxfId="2647" priority="80" stopIfTrue="1">
      <formula>IF($U20&lt;7,TRUE,)</formula>
    </cfRule>
  </conditionalFormatting>
  <conditionalFormatting sqref="M21 M24:M58">
    <cfRule type="expression" dxfId="2646" priority="79" stopIfTrue="1">
      <formula>IF($U21&lt;6,TRUE,)</formula>
    </cfRule>
  </conditionalFormatting>
  <conditionalFormatting sqref="L21 L24:L58">
    <cfRule type="expression" dxfId="2645" priority="78" stopIfTrue="1">
      <formula>IF($U21&lt;5,TRUE,)</formula>
    </cfRule>
  </conditionalFormatting>
  <conditionalFormatting sqref="K21 K24:K58">
    <cfRule type="expression" dxfId="2644" priority="77" stopIfTrue="1">
      <formula>IF($U21&lt;4,TRUE,)</formula>
    </cfRule>
  </conditionalFormatting>
  <conditionalFormatting sqref="J21 J24:J58">
    <cfRule type="expression" dxfId="2643" priority="76" stopIfTrue="1">
      <formula>IF($U21&lt;3,TRUE,)</formula>
    </cfRule>
  </conditionalFormatting>
  <conditionalFormatting sqref="I21 I24:I58">
    <cfRule type="expression" dxfId="2642" priority="75" stopIfTrue="1">
      <formula>IF($U21&lt;2,TRUE,)</formula>
    </cfRule>
  </conditionalFormatting>
  <conditionalFormatting sqref="R20:R21">
    <cfRule type="expression" dxfId="2641" priority="28" stopIfTrue="1">
      <formula>IF(AND($X20="H",$Y20&lt;10),TRUE,)</formula>
    </cfRule>
  </conditionalFormatting>
  <conditionalFormatting sqref="L21">
    <cfRule type="expression" dxfId="2640" priority="27" stopIfTrue="1">
      <formula>IF(AND($X21="H",$Y21&lt;1),TRUE,)</formula>
    </cfRule>
  </conditionalFormatting>
  <conditionalFormatting sqref="M21">
    <cfRule type="expression" dxfId="2639" priority="26" stopIfTrue="1">
      <formula>IF(AND($X21="H",$Y21&lt;2),TRUE,)</formula>
    </cfRule>
  </conditionalFormatting>
  <conditionalFormatting sqref="O20:O21">
    <cfRule type="expression" dxfId="2638" priority="25" stopIfTrue="1">
      <formula>IF(AND($X20="H",$Y20&lt;4),TRUE,)</formula>
    </cfRule>
  </conditionalFormatting>
  <conditionalFormatting sqref="P20:P21">
    <cfRule type="expression" dxfId="2637" priority="24" stopIfTrue="1">
      <formula>IF(AND($X20="H",$Y20&lt;5),TRUE,)</formula>
    </cfRule>
  </conditionalFormatting>
  <conditionalFormatting sqref="Q20:Q21">
    <cfRule type="expression" dxfId="2636" priority="23" stopIfTrue="1">
      <formula>IF(AND($X20="H",$Y20&lt;8),TRUE,)</formula>
    </cfRule>
  </conditionalFormatting>
  <conditionalFormatting sqref="N20:N21">
    <cfRule type="expression" dxfId="2635" priority="22" stopIfTrue="1">
      <formula>IF(AND($X20="H",$Y20&lt;3),TRUE,)</formula>
    </cfRule>
  </conditionalFormatting>
  <conditionalFormatting sqref="H21">
    <cfRule type="expression" dxfId="2634" priority="83" stopIfTrue="1">
      <formula>IF($U21&lt;1,TRUE,)</formula>
    </cfRule>
  </conditionalFormatting>
  <dataValidations xWindow="746" yWindow="406" count="12">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19:R19"/>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1:R21"/>
    <dataValidation allowBlank="1" showInputMessage="1" showErrorMessage="1" promptTitle="FORMAT" sqref="H18:R18 H8:R10"/>
    <dataValidation allowBlank="1" showInputMessage="1" showErrorMessage="1" promptTitle="FORMAT" prompt="##### = Accounting assigned project number_x000a__x000a__x000a_" sqref="G18"/>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promptTitle="FORMAT" prompt="RM-AaaaAaaa where:_x000a__x000a_    RM          indicates this is a rulemaking project_x000a__x000a_    -AaaaAaaa    is a hyphen followed by the very short code for the project, using  CamelBack with no spaces " sqref="G12:R12"/>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9" r:id="rId1" display="Comment-AaaaAaaa@dep.state.or.us"/>
    <hyperlink ref="A1" location="R.0Header" display="⧀ Go to Content"/>
    <hyperlink ref="A7" r:id="rId2" display="⧀ Go to Q-Time"/>
    <hyperlink ref="G19:R19" r:id="rId3" display="mailto:Comment-AaaaAaaa@deq.state.or.us"/>
  </hyperlinks>
  <pageMargins left="0.56999999999999995" right="0.55000000000000004" top="0.75" bottom="0.75" header="0.3" footer="0.3"/>
  <pageSetup scale="94" orientation="portrait" r:id="rId4"/>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O22"/>
  <sheetViews>
    <sheetView showGridLines="0" zoomScaleNormal="100" workbookViewId="0">
      <selection activeCell="D2" sqref="D2"/>
    </sheetView>
  </sheetViews>
  <sheetFormatPr defaultColWidth="9" defaultRowHeight="20.25" outlineLevelCol="1" x14ac:dyDescent="0.3"/>
  <cols>
    <col min="1" max="1" width="13.75" style="339" customWidth="1"/>
    <col min="2" max="2" width="3.625" customWidth="1"/>
    <col min="3" max="3" width="3.625" style="43" customWidth="1"/>
    <col min="4" max="4" width="25.625" style="103" customWidth="1"/>
    <col min="5" max="5" width="2.625" style="103" customWidth="1"/>
    <col min="6" max="6" width="25.625" style="103" customWidth="1"/>
    <col min="7" max="7" width="3" style="103" customWidth="1"/>
    <col min="8" max="8" width="25.625" style="103" customWidth="1"/>
    <col min="9" max="9" width="3.625" style="55" customWidth="1"/>
    <col min="10" max="10" width="3.625" style="63" customWidth="1"/>
    <col min="11" max="11" width="5.125" style="112" hidden="1" customWidth="1" outlineLevel="1"/>
    <col min="12" max="12" width="13.625" style="63" hidden="1" customWidth="1" outlineLevel="1"/>
    <col min="13" max="13" width="14.875" style="63" hidden="1" customWidth="1" outlineLevel="1"/>
    <col min="14" max="14" width="14.625" style="63" hidden="1" customWidth="1" outlineLevel="1"/>
    <col min="15" max="15" width="30.625" style="63" customWidth="1" collapsed="1"/>
    <col min="16" max="16" width="16.5" style="63" customWidth="1"/>
    <col min="17" max="17" width="18" style="63" customWidth="1"/>
    <col min="18" max="26" width="31.125" style="63" customWidth="1"/>
    <col min="27" max="41" width="9" style="63"/>
    <col min="42" max="16384" width="9" style="55"/>
  </cols>
  <sheetData>
    <row r="1" spans="1:41" s="103" customFormat="1" ht="15.75" customHeight="1" x14ac:dyDescent="0.2">
      <c r="A1" s="349" t="s">
        <v>100</v>
      </c>
      <c r="B1" s="333"/>
      <c r="C1" s="333"/>
      <c r="D1" s="333"/>
      <c r="E1" s="333"/>
      <c r="F1" s="333"/>
      <c r="G1" s="333"/>
      <c r="H1" s="333"/>
      <c r="I1" s="333"/>
      <c r="J1" s="333"/>
      <c r="K1" s="112"/>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s="6" customFormat="1" ht="30" customHeight="1" thickBot="1" x14ac:dyDescent="0.35">
      <c r="A2" s="349" t="s">
        <v>76</v>
      </c>
      <c r="B2" s="333"/>
      <c r="C2" s="247">
        <v>2</v>
      </c>
      <c r="D2" s="248" t="s">
        <v>39</v>
      </c>
      <c r="E2" s="248"/>
      <c r="F2" s="679" t="str">
        <f>R.1MediaAndLongName</f>
        <v>AQ GrantsPassLMP</v>
      </c>
      <c r="G2" s="679"/>
      <c r="H2" s="679"/>
      <c r="I2" s="249"/>
      <c r="J2" s="333"/>
      <c r="K2" s="63"/>
      <c r="L2" s="63"/>
      <c r="M2" s="63"/>
      <c r="N2" s="63"/>
      <c r="O2" s="169"/>
      <c r="P2" s="63"/>
      <c r="Q2" s="63"/>
      <c r="R2" s="63"/>
      <c r="S2" s="63"/>
      <c r="T2" s="63"/>
      <c r="U2" s="63"/>
      <c r="V2" s="63"/>
      <c r="W2" s="65"/>
      <c r="X2" s="65"/>
      <c r="Y2" s="65"/>
      <c r="Z2" s="65"/>
      <c r="AA2" s="65"/>
      <c r="AB2" s="65"/>
      <c r="AC2" s="65"/>
      <c r="AD2" s="65"/>
      <c r="AE2" s="65"/>
      <c r="AF2" s="65"/>
      <c r="AG2" s="65"/>
      <c r="AH2" s="65"/>
      <c r="AI2" s="65"/>
      <c r="AJ2" s="65"/>
      <c r="AK2" s="65"/>
      <c r="AL2" s="65"/>
      <c r="AM2" s="65"/>
      <c r="AN2" s="65"/>
      <c r="AO2" s="65"/>
    </row>
    <row r="3" spans="1:41" s="6" customFormat="1" ht="20.25" customHeight="1" thickTop="1" x14ac:dyDescent="0.3">
      <c r="A3" s="336"/>
      <c r="B3" s="333"/>
      <c r="C3" s="135"/>
      <c r="D3" s="12"/>
      <c r="E3" s="12"/>
      <c r="F3" s="12"/>
      <c r="G3" s="12"/>
      <c r="H3" s="250"/>
      <c r="I3" s="147"/>
      <c r="J3" s="333"/>
      <c r="K3" s="166"/>
      <c r="L3" s="64"/>
      <c r="M3" s="64"/>
      <c r="N3" s="63"/>
      <c r="O3" s="304"/>
      <c r="P3" s="63"/>
      <c r="Q3" s="63"/>
      <c r="R3" s="63"/>
      <c r="S3" s="63"/>
      <c r="T3" s="63"/>
      <c r="U3" s="63"/>
      <c r="V3" s="63"/>
      <c r="W3" s="65"/>
      <c r="X3" s="65"/>
      <c r="Y3" s="65"/>
      <c r="Z3" s="65"/>
      <c r="AA3" s="65"/>
      <c r="AB3" s="65"/>
      <c r="AC3" s="65"/>
      <c r="AD3" s="65"/>
      <c r="AE3" s="65"/>
      <c r="AF3" s="65"/>
      <c r="AG3" s="65"/>
      <c r="AH3" s="65"/>
      <c r="AI3" s="65"/>
      <c r="AJ3" s="65"/>
      <c r="AK3" s="65"/>
      <c r="AL3" s="65"/>
      <c r="AM3" s="65"/>
      <c r="AN3" s="65"/>
      <c r="AO3" s="65"/>
    </row>
    <row r="4" spans="1:41" s="47" customFormat="1" ht="20.25" customHeight="1" x14ac:dyDescent="0.3">
      <c r="A4" s="349" t="s">
        <v>103</v>
      </c>
      <c r="B4" s="333"/>
      <c r="C4" s="251"/>
      <c r="D4" s="303" t="s">
        <v>36</v>
      </c>
      <c r="E4" s="106"/>
      <c r="F4" s="45"/>
      <c r="G4" s="45"/>
      <c r="H4" s="46"/>
      <c r="I4" s="252"/>
      <c r="J4" s="333"/>
      <c r="K4" s="167"/>
      <c r="L4" s="167" t="s">
        <v>0</v>
      </c>
      <c r="M4" s="168"/>
      <c r="N4" s="167"/>
      <c r="O4" s="190"/>
      <c r="P4" s="170"/>
      <c r="Q4" s="170"/>
      <c r="R4" s="170"/>
      <c r="S4" s="170"/>
      <c r="T4" s="171"/>
      <c r="U4" s="167"/>
      <c r="V4" s="172"/>
      <c r="W4" s="173" t="s">
        <v>9</v>
      </c>
      <c r="X4" s="174"/>
      <c r="Y4" s="174"/>
      <c r="Z4" s="174"/>
      <c r="AA4" s="174"/>
      <c r="AB4" s="174"/>
      <c r="AC4" s="174"/>
      <c r="AD4" s="174"/>
      <c r="AE4" s="174"/>
      <c r="AF4" s="174"/>
      <c r="AG4" s="174"/>
      <c r="AH4" s="174"/>
      <c r="AI4" s="174"/>
      <c r="AJ4" s="174"/>
      <c r="AK4" s="174"/>
      <c r="AL4" s="174"/>
      <c r="AM4" s="174"/>
      <c r="AN4" s="174"/>
      <c r="AO4" s="174"/>
    </row>
    <row r="5" spans="1:41" s="1" customFormat="1" ht="59.25" customHeight="1" x14ac:dyDescent="0.2">
      <c r="A5" s="337"/>
      <c r="B5" s="333"/>
      <c r="C5" s="253"/>
      <c r="D5" s="191" t="s">
        <v>28</v>
      </c>
      <c r="E5" s="192"/>
      <c r="F5" s="193" t="s">
        <v>34</v>
      </c>
      <c r="G5" s="193"/>
      <c r="H5" s="194" t="s">
        <v>35</v>
      </c>
      <c r="I5" s="254"/>
      <c r="J5" s="333"/>
      <c r="K5" s="175"/>
      <c r="L5" s="260" t="s">
        <v>89</v>
      </c>
      <c r="M5" s="176"/>
      <c r="N5" s="175"/>
      <c r="O5"/>
      <c r="P5" s="63"/>
      <c r="Q5" s="63"/>
      <c r="R5" s="177"/>
      <c r="S5" s="177"/>
      <c r="T5" s="177"/>
      <c r="U5" s="175"/>
      <c r="V5" s="110"/>
      <c r="W5" s="178"/>
      <c r="X5" s="179"/>
      <c r="Y5" s="179"/>
      <c r="Z5" s="179"/>
      <c r="AA5" s="179"/>
      <c r="AB5" s="179"/>
      <c r="AC5" s="179"/>
      <c r="AD5" s="179"/>
      <c r="AE5" s="179"/>
      <c r="AF5" s="179"/>
      <c r="AG5" s="179"/>
      <c r="AH5" s="179"/>
      <c r="AI5" s="179"/>
      <c r="AJ5" s="179"/>
      <c r="AK5" s="179"/>
      <c r="AL5" s="179"/>
      <c r="AM5" s="179"/>
      <c r="AN5" s="179"/>
      <c r="AO5" s="179"/>
    </row>
    <row r="6" spans="1:41" s="1" customFormat="1" ht="30" customHeight="1" x14ac:dyDescent="0.2">
      <c r="A6" s="337"/>
      <c r="B6" s="333"/>
      <c r="C6" s="253"/>
      <c r="D6" s="672" t="s">
        <v>27</v>
      </c>
      <c r="E6" s="673"/>
      <c r="F6" s="674"/>
      <c r="G6" s="674"/>
      <c r="H6" s="195"/>
      <c r="I6" s="255"/>
      <c r="J6" s="333"/>
      <c r="K6" s="175"/>
      <c r="L6" s="289">
        <v>1</v>
      </c>
      <c r="M6" s="176"/>
      <c r="N6" s="175"/>
      <c r="O6" s="183"/>
      <c r="P6" s="63"/>
      <c r="Q6" s="63"/>
      <c r="R6" s="177"/>
      <c r="S6" s="177"/>
      <c r="T6" s="177"/>
      <c r="U6" s="175"/>
      <c r="V6" s="110"/>
      <c r="W6" s="178"/>
      <c r="X6" s="179"/>
      <c r="Y6" s="179"/>
      <c r="Z6" s="179"/>
      <c r="AA6" s="179"/>
      <c r="AB6" s="179"/>
      <c r="AC6" s="179"/>
      <c r="AD6" s="179"/>
      <c r="AE6" s="179"/>
      <c r="AF6" s="179"/>
      <c r="AG6" s="179"/>
      <c r="AH6" s="179"/>
      <c r="AI6" s="179"/>
      <c r="AJ6" s="179"/>
      <c r="AK6" s="179"/>
      <c r="AL6" s="179"/>
      <c r="AM6" s="179"/>
      <c r="AN6" s="179"/>
      <c r="AO6" s="179"/>
    </row>
    <row r="7" spans="1:41" s="1" customFormat="1" ht="17.25" customHeight="1" x14ac:dyDescent="0.2">
      <c r="A7" s="337"/>
      <c r="B7" s="333"/>
      <c r="C7" s="253"/>
      <c r="D7" s="347" t="s">
        <v>98</v>
      </c>
      <c r="E7" s="298"/>
      <c r="F7" s="298"/>
      <c r="G7" s="298"/>
      <c r="H7" s="298"/>
      <c r="I7" s="255"/>
      <c r="J7" s="333"/>
      <c r="K7" s="175"/>
      <c r="L7" s="297"/>
      <c r="M7" s="176"/>
      <c r="N7" s="175"/>
      <c r="O7" s="183"/>
      <c r="P7" s="63"/>
      <c r="Q7" s="63"/>
      <c r="R7" s="177"/>
      <c r="S7" s="177"/>
      <c r="T7" s="177"/>
      <c r="U7" s="175"/>
      <c r="V7" s="110"/>
      <c r="W7" s="178"/>
      <c r="X7" s="179"/>
      <c r="Y7" s="179"/>
      <c r="Z7" s="179"/>
      <c r="AA7" s="179"/>
      <c r="AB7" s="179"/>
      <c r="AC7" s="179"/>
      <c r="AD7" s="179"/>
      <c r="AE7" s="179"/>
      <c r="AF7" s="179"/>
      <c r="AG7" s="179"/>
      <c r="AH7" s="179"/>
      <c r="AI7" s="179"/>
      <c r="AJ7" s="179"/>
      <c r="AK7" s="179"/>
      <c r="AL7" s="179"/>
      <c r="AM7" s="179"/>
      <c r="AN7" s="179"/>
      <c r="AO7" s="179"/>
    </row>
    <row r="8" spans="1:41" s="1" customFormat="1" ht="15.75" customHeight="1" x14ac:dyDescent="0.2">
      <c r="A8" s="337"/>
      <c r="B8" s="333"/>
      <c r="C8" s="253"/>
      <c r="D8" s="681"/>
      <c r="E8" s="682"/>
      <c r="F8" s="682"/>
      <c r="G8" s="682"/>
      <c r="H8" s="683"/>
      <c r="I8" s="255"/>
      <c r="J8" s="333"/>
      <c r="K8" s="175"/>
      <c r="L8" s="297"/>
      <c r="M8" s="176"/>
      <c r="N8" s="175"/>
      <c r="O8" s="183"/>
      <c r="P8" s="63"/>
      <c r="Q8" s="63"/>
      <c r="R8" s="177"/>
      <c r="S8" s="177"/>
      <c r="T8" s="177"/>
      <c r="U8" s="175"/>
      <c r="V8" s="110"/>
      <c r="W8" s="178"/>
      <c r="X8" s="179"/>
      <c r="Y8" s="179"/>
      <c r="Z8" s="179"/>
      <c r="AA8" s="179"/>
      <c r="AB8" s="179"/>
      <c r="AC8" s="179"/>
      <c r="AD8" s="179"/>
      <c r="AE8" s="179"/>
      <c r="AF8" s="179"/>
      <c r="AG8" s="179"/>
      <c r="AH8" s="179"/>
      <c r="AI8" s="179"/>
      <c r="AJ8" s="179"/>
      <c r="AK8" s="179"/>
      <c r="AL8" s="179"/>
      <c r="AM8" s="179"/>
      <c r="AN8" s="179"/>
      <c r="AO8" s="179"/>
    </row>
    <row r="9" spans="1:41" s="3" customFormat="1" ht="30" customHeight="1" x14ac:dyDescent="0.3">
      <c r="A9" s="579"/>
      <c r="B9" s="333"/>
      <c r="C9" s="135"/>
      <c r="D9" s="303" t="s">
        <v>29</v>
      </c>
      <c r="E9" s="106"/>
      <c r="F9" s="161"/>
      <c r="G9" s="161"/>
      <c r="H9" s="159"/>
      <c r="I9" s="256"/>
      <c r="J9" s="333"/>
      <c r="K9" s="181"/>
      <c r="L9" s="181" t="s">
        <v>0</v>
      </c>
      <c r="M9" s="182"/>
      <c r="N9" s="181"/>
      <c r="O9" s="190"/>
      <c r="P9" s="128"/>
      <c r="Q9" s="128"/>
      <c r="R9" s="128"/>
      <c r="S9" s="128"/>
      <c r="T9" s="184"/>
      <c r="U9" s="181"/>
      <c r="V9" s="185"/>
      <c r="W9" s="186" t="s">
        <v>9</v>
      </c>
      <c r="X9" s="187"/>
      <c r="Y9" s="187"/>
      <c r="Z9" s="187"/>
      <c r="AA9" s="187"/>
      <c r="AB9" s="187"/>
      <c r="AC9" s="187"/>
      <c r="AD9" s="187"/>
      <c r="AE9" s="187"/>
      <c r="AF9" s="187"/>
      <c r="AG9" s="187"/>
      <c r="AH9" s="187"/>
      <c r="AI9" s="187"/>
      <c r="AJ9" s="187"/>
      <c r="AK9" s="187"/>
      <c r="AL9" s="187"/>
      <c r="AM9" s="187"/>
      <c r="AN9" s="187"/>
      <c r="AO9" s="187"/>
    </row>
    <row r="10" spans="1:41" s="1" customFormat="1" ht="68.25" customHeight="1" x14ac:dyDescent="0.2">
      <c r="A10" s="338"/>
      <c r="B10" s="333"/>
      <c r="C10" s="253"/>
      <c r="D10" s="292" t="s">
        <v>30</v>
      </c>
      <c r="E10" s="193"/>
      <c r="F10" s="193" t="s">
        <v>31</v>
      </c>
      <c r="G10" s="193"/>
      <c r="H10" s="293" t="s">
        <v>32</v>
      </c>
      <c r="I10" s="257"/>
      <c r="J10" s="333"/>
      <c r="K10" s="175"/>
      <c r="L10" s="260" t="s">
        <v>90</v>
      </c>
      <c r="M10" s="188"/>
      <c r="N10" s="175"/>
      <c r="O10" s="180"/>
      <c r="P10" s="189"/>
      <c r="Q10" s="189"/>
      <c r="R10" s="177"/>
      <c r="S10" s="177"/>
      <c r="T10" s="177"/>
      <c r="U10" s="175"/>
      <c r="V10" s="190"/>
      <c r="W10" s="178"/>
      <c r="X10" s="179"/>
      <c r="Y10" s="179"/>
      <c r="Z10" s="179"/>
      <c r="AA10" s="179"/>
      <c r="AB10" s="179"/>
      <c r="AC10" s="179"/>
      <c r="AD10" s="179"/>
      <c r="AE10" s="179"/>
      <c r="AF10" s="179"/>
      <c r="AG10" s="179"/>
      <c r="AH10" s="179"/>
      <c r="AI10" s="179"/>
      <c r="AJ10" s="179"/>
      <c r="AK10" s="179"/>
      <c r="AL10" s="179"/>
      <c r="AM10" s="179"/>
      <c r="AN10" s="179"/>
      <c r="AO10" s="179"/>
    </row>
    <row r="11" spans="1:41" s="1" customFormat="1" ht="30" customHeight="1" x14ac:dyDescent="0.2">
      <c r="A11" s="337"/>
      <c r="B11" s="333"/>
      <c r="C11" s="253"/>
      <c r="D11" s="680" t="s">
        <v>27</v>
      </c>
      <c r="E11" s="673"/>
      <c r="F11" s="674"/>
      <c r="G11" s="674"/>
      <c r="H11" s="195"/>
      <c r="I11" s="255"/>
      <c r="J11" s="333"/>
      <c r="K11" s="175"/>
      <c r="L11" s="289">
        <v>1</v>
      </c>
      <c r="M11" s="176"/>
      <c r="N11" s="175"/>
      <c r="O11" s="63"/>
      <c r="P11" s="63"/>
      <c r="Q11" s="175"/>
      <c r="R11" s="177"/>
      <c r="S11" s="177"/>
      <c r="T11" s="177"/>
      <c r="U11" s="175"/>
      <c r="V11" s="110"/>
      <c r="W11" s="178"/>
      <c r="X11" s="179"/>
      <c r="Y11" s="179"/>
      <c r="Z11" s="179"/>
      <c r="AA11" s="179"/>
      <c r="AB11" s="179"/>
      <c r="AC11" s="179"/>
      <c r="AD11" s="179"/>
      <c r="AE11" s="179"/>
      <c r="AF11" s="179"/>
      <c r="AG11" s="179"/>
      <c r="AH11" s="179"/>
      <c r="AI11" s="179"/>
      <c r="AJ11" s="179"/>
      <c r="AK11" s="179"/>
      <c r="AL11" s="179"/>
      <c r="AM11" s="179"/>
      <c r="AN11" s="179"/>
      <c r="AO11" s="179"/>
    </row>
    <row r="12" spans="1:41" s="1" customFormat="1" ht="17.25" customHeight="1" x14ac:dyDescent="0.2">
      <c r="A12" s="337"/>
      <c r="B12" s="333"/>
      <c r="C12" s="253"/>
      <c r="D12" s="347" t="s">
        <v>98</v>
      </c>
      <c r="E12" s="298"/>
      <c r="F12" s="298"/>
      <c r="G12" s="298"/>
      <c r="H12" s="298"/>
      <c r="I12" s="255"/>
      <c r="J12" s="333"/>
      <c r="K12" s="175"/>
      <c r="L12" s="297"/>
      <c r="M12" s="176"/>
      <c r="N12" s="175"/>
      <c r="O12" s="183"/>
      <c r="P12" s="63"/>
      <c r="Q12" s="63"/>
      <c r="R12" s="177"/>
      <c r="S12" s="177"/>
      <c r="T12" s="177"/>
      <c r="U12" s="175"/>
      <c r="V12" s="110"/>
      <c r="W12" s="178"/>
      <c r="X12" s="179"/>
      <c r="Y12" s="179"/>
      <c r="Z12" s="179"/>
      <c r="AA12" s="179"/>
      <c r="AB12" s="179"/>
      <c r="AC12" s="179"/>
      <c r="AD12" s="179"/>
      <c r="AE12" s="179"/>
      <c r="AF12" s="179"/>
      <c r="AG12" s="179"/>
      <c r="AH12" s="179"/>
      <c r="AI12" s="179"/>
      <c r="AJ12" s="179"/>
      <c r="AK12" s="179"/>
      <c r="AL12" s="179"/>
      <c r="AM12" s="179"/>
      <c r="AN12" s="179"/>
      <c r="AO12" s="179"/>
    </row>
    <row r="13" spans="1:41" s="1" customFormat="1" ht="15.75" customHeight="1" x14ac:dyDescent="0.2">
      <c r="A13" s="337"/>
      <c r="B13" s="333"/>
      <c r="C13" s="253"/>
      <c r="D13" s="681"/>
      <c r="E13" s="682"/>
      <c r="F13" s="682"/>
      <c r="G13" s="682"/>
      <c r="H13" s="683"/>
      <c r="I13" s="255"/>
      <c r="J13" s="333"/>
      <c r="K13" s="175"/>
      <c r="L13" s="297"/>
      <c r="M13" s="176"/>
      <c r="N13" s="175"/>
      <c r="O13" s="183"/>
      <c r="P13" s="63"/>
      <c r="Q13" s="63"/>
      <c r="R13" s="177"/>
      <c r="S13" s="177"/>
      <c r="T13" s="177"/>
      <c r="U13" s="175"/>
      <c r="V13" s="110"/>
      <c r="W13" s="178"/>
      <c r="X13" s="179"/>
      <c r="Y13" s="179"/>
      <c r="Z13" s="179"/>
      <c r="AA13" s="179"/>
      <c r="AB13" s="179"/>
      <c r="AC13" s="179"/>
      <c r="AD13" s="179"/>
      <c r="AE13" s="179"/>
      <c r="AF13" s="179"/>
      <c r="AG13" s="179"/>
      <c r="AH13" s="179"/>
      <c r="AI13" s="179"/>
      <c r="AJ13" s="179"/>
      <c r="AK13" s="179"/>
      <c r="AL13" s="179"/>
      <c r="AM13" s="179"/>
      <c r="AN13" s="179"/>
      <c r="AO13" s="179"/>
    </row>
    <row r="14" spans="1:41" s="3" customFormat="1" ht="30" customHeight="1" x14ac:dyDescent="0.3">
      <c r="A14" s="579"/>
      <c r="B14" s="333"/>
      <c r="C14" s="135"/>
      <c r="D14" s="303" t="s">
        <v>37</v>
      </c>
      <c r="E14" s="106"/>
      <c r="F14" s="161"/>
      <c r="G14" s="161"/>
      <c r="H14" s="159"/>
      <c r="I14" s="256"/>
      <c r="J14" s="333"/>
      <c r="K14" s="181"/>
      <c r="L14" s="181" t="s">
        <v>0</v>
      </c>
      <c r="M14" s="182"/>
      <c r="N14" s="181"/>
      <c r="O14" s="63"/>
      <c r="P14" s="128"/>
      <c r="Q14" s="128"/>
      <c r="R14" s="128"/>
      <c r="S14" s="128"/>
      <c r="T14" s="184"/>
      <c r="U14" s="181"/>
      <c r="V14" s="185"/>
      <c r="W14" s="186" t="s">
        <v>9</v>
      </c>
      <c r="X14" s="187"/>
      <c r="Y14" s="187"/>
      <c r="Z14" s="187"/>
      <c r="AA14" s="187"/>
      <c r="AB14" s="187"/>
      <c r="AC14" s="187"/>
      <c r="AD14" s="187"/>
      <c r="AE14" s="187"/>
      <c r="AF14" s="187"/>
      <c r="AG14" s="187"/>
      <c r="AH14" s="187"/>
      <c r="AI14" s="187"/>
      <c r="AJ14" s="187"/>
      <c r="AK14" s="187"/>
      <c r="AL14" s="187"/>
      <c r="AM14" s="187"/>
      <c r="AN14" s="187"/>
      <c r="AO14" s="187"/>
    </row>
    <row r="15" spans="1:41" s="1" customFormat="1" ht="68.25" customHeight="1" x14ac:dyDescent="0.2">
      <c r="A15" s="338"/>
      <c r="B15" s="333"/>
      <c r="C15" s="253"/>
      <c r="D15" s="292" t="s">
        <v>33</v>
      </c>
      <c r="E15" s="193"/>
      <c r="F15" s="193" t="s">
        <v>41</v>
      </c>
      <c r="G15" s="193"/>
      <c r="H15" s="293" t="s">
        <v>47</v>
      </c>
      <c r="I15" s="257"/>
      <c r="J15" s="333"/>
      <c r="K15" s="175"/>
      <c r="L15" s="260" t="s">
        <v>91</v>
      </c>
      <c r="M15" s="188"/>
      <c r="N15" s="175"/>
      <c r="O15" s="63"/>
      <c r="P15" s="189"/>
      <c r="Q15" s="189" t="s">
        <v>0</v>
      </c>
      <c r="R15" s="177"/>
      <c r="S15" s="177"/>
      <c r="T15" s="177"/>
      <c r="U15" s="175"/>
      <c r="V15" s="190"/>
      <c r="W15" s="178"/>
      <c r="X15" s="179"/>
      <c r="Y15" s="179"/>
      <c r="Z15" s="179"/>
      <c r="AA15" s="179"/>
      <c r="AB15" s="179"/>
      <c r="AC15" s="179"/>
      <c r="AD15" s="179"/>
      <c r="AE15" s="179"/>
      <c r="AF15" s="179"/>
      <c r="AG15" s="179"/>
      <c r="AH15" s="179"/>
      <c r="AI15" s="179"/>
      <c r="AJ15" s="179"/>
      <c r="AK15" s="179"/>
      <c r="AL15" s="179"/>
      <c r="AM15" s="179"/>
      <c r="AN15" s="179"/>
      <c r="AO15" s="179"/>
    </row>
    <row r="16" spans="1:41" s="1" customFormat="1" ht="30" customHeight="1" x14ac:dyDescent="0.2">
      <c r="A16" s="337"/>
      <c r="B16" s="333"/>
      <c r="C16" s="253"/>
      <c r="D16" s="680" t="s">
        <v>27</v>
      </c>
      <c r="E16" s="673"/>
      <c r="F16" s="674"/>
      <c r="G16" s="674"/>
      <c r="H16" s="195"/>
      <c r="I16" s="255"/>
      <c r="J16" s="333"/>
      <c r="K16" s="175"/>
      <c r="L16" s="289">
        <v>1</v>
      </c>
      <c r="M16" s="176"/>
      <c r="N16" s="175"/>
      <c r="O16" s="63"/>
      <c r="P16" s="63"/>
      <c r="Q16" s="63" t="s">
        <v>0</v>
      </c>
      <c r="R16" s="177"/>
      <c r="S16" s="177"/>
      <c r="T16" s="177"/>
      <c r="U16" s="175"/>
      <c r="V16" s="110"/>
      <c r="W16" s="178"/>
      <c r="X16" s="179"/>
      <c r="Y16" s="179"/>
      <c r="Z16" s="179"/>
      <c r="AA16" s="179"/>
      <c r="AB16" s="179"/>
      <c r="AC16" s="179"/>
      <c r="AD16" s="179"/>
      <c r="AE16" s="179"/>
      <c r="AF16" s="179"/>
      <c r="AG16" s="179"/>
      <c r="AH16" s="179"/>
      <c r="AI16" s="179"/>
      <c r="AJ16" s="179"/>
      <c r="AK16" s="179"/>
      <c r="AL16" s="179"/>
      <c r="AM16" s="179"/>
      <c r="AN16" s="179"/>
      <c r="AO16" s="179"/>
    </row>
    <row r="17" spans="1:41" s="1" customFormat="1" ht="17.25" customHeight="1" x14ac:dyDescent="0.2">
      <c r="A17" s="337"/>
      <c r="B17" s="333"/>
      <c r="C17" s="253"/>
      <c r="D17" s="347" t="s">
        <v>98</v>
      </c>
      <c r="E17" s="298"/>
      <c r="F17" s="298"/>
      <c r="G17" s="298"/>
      <c r="H17" s="298"/>
      <c r="I17" s="255"/>
      <c r="J17" s="333"/>
      <c r="K17" s="175"/>
      <c r="L17" s="297"/>
      <c r="M17" s="176"/>
      <c r="N17" s="175"/>
      <c r="O17" s="183"/>
      <c r="P17" s="63"/>
      <c r="Q17" s="63"/>
      <c r="R17" s="177"/>
      <c r="S17" s="177"/>
      <c r="T17" s="177"/>
      <c r="U17" s="175"/>
      <c r="V17" s="110"/>
      <c r="W17" s="178"/>
      <c r="X17" s="179"/>
      <c r="Y17" s="179"/>
      <c r="Z17" s="179"/>
      <c r="AA17" s="179"/>
      <c r="AB17" s="179"/>
      <c r="AC17" s="179"/>
      <c r="AD17" s="179"/>
      <c r="AE17" s="179"/>
      <c r="AF17" s="179"/>
      <c r="AG17" s="179"/>
      <c r="AH17" s="179"/>
      <c r="AI17" s="179"/>
      <c r="AJ17" s="179"/>
      <c r="AK17" s="179"/>
      <c r="AL17" s="179"/>
      <c r="AM17" s="179"/>
      <c r="AN17" s="179"/>
      <c r="AO17" s="179"/>
    </row>
    <row r="18" spans="1:41" s="1" customFormat="1" ht="15.75" customHeight="1" x14ac:dyDescent="0.2">
      <c r="A18" s="337"/>
      <c r="B18" s="333"/>
      <c r="C18" s="253"/>
      <c r="D18" s="676"/>
      <c r="E18" s="677"/>
      <c r="F18" s="677"/>
      <c r="G18" s="677"/>
      <c r="H18" s="678"/>
      <c r="I18" s="255"/>
      <c r="J18" s="333"/>
      <c r="K18" s="175"/>
      <c r="L18" s="297"/>
      <c r="M18" s="176"/>
      <c r="N18" s="175"/>
      <c r="O18" s="183"/>
      <c r="P18" s="63"/>
      <c r="Q18" s="63"/>
      <c r="R18" s="177"/>
      <c r="S18" s="177"/>
      <c r="T18" s="177"/>
      <c r="U18" s="175"/>
      <c r="V18" s="110"/>
      <c r="W18" s="178"/>
      <c r="X18" s="179"/>
      <c r="Y18" s="179"/>
      <c r="Z18" s="179"/>
      <c r="AA18" s="179"/>
      <c r="AB18" s="179"/>
      <c r="AC18" s="179"/>
      <c r="AD18" s="179"/>
      <c r="AE18" s="179"/>
      <c r="AF18" s="179"/>
      <c r="AG18" s="179"/>
      <c r="AH18" s="179"/>
      <c r="AI18" s="179"/>
      <c r="AJ18" s="179"/>
      <c r="AK18" s="179"/>
      <c r="AL18" s="179"/>
      <c r="AM18" s="179"/>
      <c r="AN18" s="179"/>
      <c r="AO18" s="179"/>
    </row>
    <row r="19" spans="1:41" s="5" customFormat="1" ht="30" customHeight="1" x14ac:dyDescent="0.25">
      <c r="A19" s="336"/>
      <c r="B19" s="333"/>
      <c r="C19" s="258"/>
      <c r="D19" s="675" t="str">
        <f>"Please suggest process improvements to the "&amp;D2&amp;" worksheet."</f>
        <v>Please suggest process improvements to the DEQ resource risks worksheet.</v>
      </c>
      <c r="E19" s="675"/>
      <c r="F19" s="675"/>
      <c r="G19" s="675"/>
      <c r="H19" s="675"/>
      <c r="I19" s="259"/>
      <c r="J19" s="333"/>
      <c r="K19" s="224"/>
      <c r="L19" s="223"/>
      <c r="M19" s="223"/>
      <c r="N19" s="207"/>
      <c r="O19" s="207"/>
      <c r="P19" s="207"/>
      <c r="Q19" s="207"/>
      <c r="R19" s="207"/>
      <c r="S19" s="207"/>
      <c r="T19" s="207"/>
      <c r="U19" s="207"/>
      <c r="V19" s="207"/>
      <c r="W19" s="223"/>
      <c r="X19" s="223"/>
      <c r="Y19" s="223"/>
      <c r="Z19" s="223"/>
      <c r="AA19" s="223"/>
      <c r="AB19" s="223"/>
      <c r="AC19" s="223"/>
      <c r="AD19" s="223"/>
      <c r="AE19" s="223"/>
      <c r="AF19" s="223"/>
      <c r="AG19" s="223"/>
      <c r="AH19" s="223"/>
      <c r="AI19" s="223"/>
      <c r="AJ19" s="223"/>
      <c r="AK19" s="223"/>
      <c r="AL19" s="223"/>
      <c r="AM19" s="223"/>
      <c r="AN19" s="223"/>
      <c r="AO19" s="223"/>
    </row>
    <row r="20" spans="1:41" s="6" customFormat="1" ht="30.75" customHeight="1" x14ac:dyDescent="0.3">
      <c r="A20" s="336"/>
      <c r="B20" s="333"/>
      <c r="C20" s="135"/>
      <c r="D20" s="669"/>
      <c r="E20" s="670"/>
      <c r="F20" s="670"/>
      <c r="G20" s="670"/>
      <c r="H20" s="671"/>
      <c r="I20" s="147"/>
      <c r="J20" s="333"/>
      <c r="K20" s="166"/>
      <c r="L20" s="64"/>
      <c r="M20" s="64"/>
      <c r="N20" s="63"/>
      <c r="O20" s="63"/>
      <c r="P20" s="63"/>
      <c r="Q20" s="63"/>
      <c r="R20" s="63"/>
      <c r="S20" s="63"/>
      <c r="T20" s="63"/>
      <c r="U20" s="63"/>
      <c r="V20" s="63"/>
      <c r="W20" s="65"/>
      <c r="X20" s="65"/>
      <c r="Y20" s="65"/>
      <c r="Z20" s="65"/>
      <c r="AA20" s="65"/>
      <c r="AB20" s="65"/>
      <c r="AC20" s="65"/>
      <c r="AD20" s="65"/>
      <c r="AE20" s="65"/>
      <c r="AF20" s="65"/>
      <c r="AG20" s="65"/>
      <c r="AH20" s="65"/>
      <c r="AI20" s="65"/>
      <c r="AJ20" s="65"/>
      <c r="AK20" s="65"/>
      <c r="AL20" s="65"/>
      <c r="AM20" s="65"/>
      <c r="AN20" s="65"/>
      <c r="AO20" s="65"/>
    </row>
    <row r="21" spans="1:41" ht="15.75" customHeight="1" x14ac:dyDescent="0.3">
      <c r="A21" s="349" t="s">
        <v>104</v>
      </c>
      <c r="B21" s="333"/>
      <c r="C21" s="148"/>
      <c r="D21" s="11"/>
      <c r="E21" s="11"/>
      <c r="F21" s="11"/>
      <c r="G21" s="11"/>
      <c r="H21" s="11"/>
      <c r="I21" s="150"/>
      <c r="J21" s="333"/>
      <c r="K21" s="63"/>
    </row>
    <row r="22" spans="1:41" s="63" customFormat="1" ht="14.25" x14ac:dyDescent="0.2">
      <c r="A22" s="339"/>
      <c r="B22" s="333"/>
      <c r="C22" s="333"/>
      <c r="D22" s="333"/>
      <c r="E22" s="333"/>
      <c r="F22" s="333"/>
      <c r="G22" s="333"/>
      <c r="H22" s="333"/>
      <c r="I22" s="333"/>
      <c r="J22" s="333"/>
      <c r="K22" s="112"/>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cfvo type="percentile" val="50"/>
        <cfvo type="max"/>
        <color rgb="FF00B050"/>
        <color rgb="FFFFEB84"/>
        <color rgb="FFC00000"/>
      </colorScale>
    </cfRule>
  </conditionalFormatting>
  <conditionalFormatting sqref="F11:F13 D11:D13 H11:H13">
    <cfRule type="colorScale" priority="19">
      <colorScale>
        <cfvo type="min"/>
        <cfvo type="percentile" val="50"/>
        <cfvo type="max"/>
        <color rgb="FF00B050"/>
        <color rgb="FFFFEB84"/>
        <color rgb="FFC00000"/>
      </colorScale>
    </cfRule>
  </conditionalFormatting>
  <conditionalFormatting sqref="F16:F18 D16:D18 H16:H18">
    <cfRule type="colorScale" priority="18">
      <colorScale>
        <cfvo type="min"/>
        <cfvo type="percentile" val="50"/>
        <cfvo type="max"/>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cfvo type="percentile" val="50"/>
        <cfvo type="max"/>
        <color rgb="FF00B050"/>
        <color rgb="FFFFEB84"/>
        <color rgb="FFC00000"/>
      </colorScale>
    </cfRule>
  </conditionalFormatting>
  <conditionalFormatting sqref="F17:F18 D17:D18 H17:H18">
    <cfRule type="colorScale" priority="16">
      <colorScale>
        <cfvo type="min"/>
        <cfvo type="percentile" val="50"/>
        <cfvo type="max"/>
        <color rgb="FF00B050"/>
        <color rgb="FFFFEB84"/>
        <color rgb="FFC00000"/>
      </colorScale>
    </cfRule>
  </conditionalFormatting>
  <conditionalFormatting sqref="F13 D13 H13">
    <cfRule type="colorScale" priority="14">
      <colorScale>
        <cfvo type="min"/>
        <cfvo type="percentile" val="50"/>
        <cfvo type="max"/>
        <color rgb="FF00B050"/>
        <color rgb="FFFFEB84"/>
        <color rgb="FFC00000"/>
      </colorScale>
    </cfRule>
  </conditionalFormatting>
  <conditionalFormatting sqref="D13 F13 H13">
    <cfRule type="colorScale" priority="13">
      <colorScale>
        <cfvo type="min"/>
        <cfvo type="percentile" val="50"/>
        <cfvo type="max"/>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cfvo type="percentile" val="50"/>
        <cfvo type="max"/>
        <color rgb="FF00B050"/>
        <color rgb="FFFFEB84"/>
        <color rgb="FFC00000"/>
      </colorScale>
    </cfRule>
  </conditionalFormatting>
  <conditionalFormatting sqref="D17">
    <cfRule type="colorScale" priority="5">
      <colorScale>
        <cfvo type="min"/>
        <cfvo type="percentile" val="50"/>
        <cfvo type="max"/>
        <color rgb="FF00B050"/>
        <color rgb="FFFFEB84"/>
        <color rgb="FFC00000"/>
      </colorScale>
    </cfRule>
  </conditionalFormatting>
  <conditionalFormatting sqref="D8 F8 H8">
    <cfRule type="colorScale" priority="4">
      <colorScale>
        <cfvo type="min"/>
        <cfvo type="percentile" val="50"/>
        <cfvo type="max"/>
        <color rgb="FF00B050"/>
        <color rgb="FFFFEB84"/>
        <color rgb="FFC00000"/>
      </colorScale>
    </cfRule>
  </conditionalFormatting>
  <conditionalFormatting sqref="F8 D8 H8">
    <cfRule type="colorScale" priority="3">
      <colorScale>
        <cfvo type="min"/>
        <cfvo type="percentile" val="50"/>
        <cfvo type="max"/>
        <color rgb="FF00B050"/>
        <color rgb="FFFFEB84"/>
        <color rgb="FFC00000"/>
      </colorScale>
    </cfRule>
  </conditionalFormatting>
  <conditionalFormatting sqref="D8 F8 H8">
    <cfRule type="colorScale" priority="2">
      <colorScale>
        <cfvo type="min"/>
        <cfvo type="percentile" val="50"/>
        <cfvo type="max"/>
        <color rgb="FF00B050"/>
        <color rgb="FFFFEB84"/>
        <color rgb="FFC00000"/>
      </colorScale>
    </cfRule>
  </conditionalFormatting>
  <conditionalFormatting sqref="D8 F8 H8">
    <cfRule type="colorScale" priority="1">
      <colorScale>
        <cfvo type="min"/>
        <cfvo type="percentile" val="50"/>
        <cfvo type="max"/>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mc:AlternateContent xmlns:mc="http://schemas.openxmlformats.org/markup-compatibility/2006">
    <mc:Choice Requires="x14">
      <controls>
        <mc:AlternateContent xmlns:mc="http://schemas.openxmlformats.org/markup-compatibility/2006">
          <mc:Choice Requires="x14">
            <control shapeId="128002" r:id="rId6" name="Group Box 2">
              <controlPr locked="0" defaultSize="0" print="0" autoFill="0" autoPict="0">
                <anchor moveWithCells="1">
                  <from>
                    <xdr:col>3</xdr:col>
                    <xdr:colOff>0</xdr:colOff>
                    <xdr:row>10</xdr:row>
                    <xdr:rowOff>0</xdr:rowOff>
                  </from>
                  <to>
                    <xdr:col>8</xdr:col>
                    <xdr:colOff>0</xdr:colOff>
                    <xdr:row>11</xdr:row>
                    <xdr:rowOff>0</xdr:rowOff>
                  </to>
                </anchor>
              </controlPr>
            </control>
          </mc:Choice>
        </mc:AlternateContent>
        <mc:AlternateContent xmlns:mc="http://schemas.openxmlformats.org/markup-compatibility/2006">
          <mc:Choice Requires="x14">
            <control shapeId="128004" r:id="rId7" name="Option Button 4">
              <controlPr locked="0" defaultSize="0" autoFill="0" autoLine="0" autoPict="0">
                <anchor moveWithCells="1">
                  <from>
                    <xdr:col>3</xdr:col>
                    <xdr:colOff>219075</xdr:colOff>
                    <xdr:row>5</xdr:row>
                    <xdr:rowOff>9525</xdr:rowOff>
                  </from>
                  <to>
                    <xdr:col>3</xdr:col>
                    <xdr:colOff>981075</xdr:colOff>
                    <xdr:row>5</xdr:row>
                    <xdr:rowOff>352425</xdr:rowOff>
                  </to>
                </anchor>
              </controlPr>
            </control>
          </mc:Choice>
        </mc:AlternateContent>
        <mc:AlternateContent xmlns:mc="http://schemas.openxmlformats.org/markup-compatibility/2006">
          <mc:Choice Requires="x14">
            <control shapeId="128005" r:id="rId8" name="Option Button 5">
              <controlPr locked="0" defaultSize="0" autoFill="0" autoLine="0" autoPict="0">
                <anchor moveWithCells="1">
                  <from>
                    <xdr:col>3</xdr:col>
                    <xdr:colOff>1743075</xdr:colOff>
                    <xdr:row>5</xdr:row>
                    <xdr:rowOff>9525</xdr:rowOff>
                  </from>
                  <to>
                    <xdr:col>4</xdr:col>
                    <xdr:colOff>161925</xdr:colOff>
                    <xdr:row>5</xdr:row>
                    <xdr:rowOff>352425</xdr:rowOff>
                  </to>
                </anchor>
              </controlPr>
            </control>
          </mc:Choice>
        </mc:AlternateContent>
        <mc:AlternateContent xmlns:mc="http://schemas.openxmlformats.org/markup-compatibility/2006">
          <mc:Choice Requires="x14">
            <control shapeId="128006" r:id="rId9" name="Option Button 6">
              <controlPr locked="0" defaultSize="0" autoFill="0" autoLine="0" autoPict="0">
                <anchor moveWithCells="1">
                  <from>
                    <xdr:col>5</xdr:col>
                    <xdr:colOff>571500</xdr:colOff>
                    <xdr:row>5</xdr:row>
                    <xdr:rowOff>9525</xdr:rowOff>
                  </from>
                  <to>
                    <xdr:col>5</xdr:col>
                    <xdr:colOff>1266825</xdr:colOff>
                    <xdr:row>5</xdr:row>
                    <xdr:rowOff>342900</xdr:rowOff>
                  </to>
                </anchor>
              </controlPr>
            </control>
          </mc:Choice>
        </mc:AlternateContent>
        <mc:AlternateContent xmlns:mc="http://schemas.openxmlformats.org/markup-compatibility/2006">
          <mc:Choice Requires="x14">
            <control shapeId="128007" r:id="rId10" name="Option Button 7">
              <controlPr locked="0" defaultSize="0" autoFill="0" autoLine="0" autoPict="0">
                <anchor moveWithCells="1">
                  <from>
                    <xdr:col>6</xdr:col>
                    <xdr:colOff>209550</xdr:colOff>
                    <xdr:row>5</xdr:row>
                    <xdr:rowOff>9525</xdr:rowOff>
                  </from>
                  <to>
                    <xdr:col>7</xdr:col>
                    <xdr:colOff>504825</xdr:colOff>
                    <xdr:row>5</xdr:row>
                    <xdr:rowOff>352425</xdr:rowOff>
                  </to>
                </anchor>
              </controlPr>
            </control>
          </mc:Choice>
        </mc:AlternateContent>
        <mc:AlternateContent xmlns:mc="http://schemas.openxmlformats.org/markup-compatibility/2006">
          <mc:Choice Requires="x14">
            <control shapeId="128008" r:id="rId11" name="Option Button 8">
              <controlPr locked="0" defaultSize="0" autoFill="0" autoLine="0" autoPict="0">
                <anchor moveWithCells="1">
                  <from>
                    <xdr:col>7</xdr:col>
                    <xdr:colOff>1333500</xdr:colOff>
                    <xdr:row>5</xdr:row>
                    <xdr:rowOff>9525</xdr:rowOff>
                  </from>
                  <to>
                    <xdr:col>7</xdr:col>
                    <xdr:colOff>1876425</xdr:colOff>
                    <xdr:row>5</xdr:row>
                    <xdr:rowOff>352425</xdr:rowOff>
                  </to>
                </anchor>
              </controlPr>
            </control>
          </mc:Choice>
        </mc:AlternateContent>
        <mc:AlternateContent xmlns:mc="http://schemas.openxmlformats.org/markup-compatibility/2006">
          <mc:Choice Requires="x14">
            <control shapeId="128009" r:id="rId12" name="Option Button 9">
              <controlPr locked="0" defaultSize="0" autoFill="0" autoLine="0" autoPict="0">
                <anchor moveWithCells="1">
                  <from>
                    <xdr:col>3</xdr:col>
                    <xdr:colOff>238125</xdr:colOff>
                    <xdr:row>10</xdr:row>
                    <xdr:rowOff>38100</xdr:rowOff>
                  </from>
                  <to>
                    <xdr:col>3</xdr:col>
                    <xdr:colOff>866775</xdr:colOff>
                    <xdr:row>10</xdr:row>
                    <xdr:rowOff>352425</xdr:rowOff>
                  </to>
                </anchor>
              </controlPr>
            </control>
          </mc:Choice>
        </mc:AlternateContent>
        <mc:AlternateContent xmlns:mc="http://schemas.openxmlformats.org/markup-compatibility/2006">
          <mc:Choice Requires="x14">
            <control shapeId="128010" r:id="rId13" name="Option Button 10">
              <controlPr locked="0" defaultSize="0" autoFill="0" autoLine="0" autoPict="0">
                <anchor moveWithCells="1">
                  <from>
                    <xdr:col>3</xdr:col>
                    <xdr:colOff>1781175</xdr:colOff>
                    <xdr:row>10</xdr:row>
                    <xdr:rowOff>57150</xdr:rowOff>
                  </from>
                  <to>
                    <xdr:col>4</xdr:col>
                    <xdr:colOff>104775</xdr:colOff>
                    <xdr:row>10</xdr:row>
                    <xdr:rowOff>333375</xdr:rowOff>
                  </to>
                </anchor>
              </controlPr>
            </control>
          </mc:Choice>
        </mc:AlternateContent>
        <mc:AlternateContent xmlns:mc="http://schemas.openxmlformats.org/markup-compatibility/2006">
          <mc:Choice Requires="x14">
            <control shapeId="128011" r:id="rId14" name="Option Button 11">
              <controlPr locked="0" defaultSize="0" autoFill="0" autoLine="0" autoPict="0">
                <anchor moveWithCells="1">
                  <from>
                    <xdr:col>5</xdr:col>
                    <xdr:colOff>590550</xdr:colOff>
                    <xdr:row>10</xdr:row>
                    <xdr:rowOff>38100</xdr:rowOff>
                  </from>
                  <to>
                    <xdr:col>5</xdr:col>
                    <xdr:colOff>1190625</xdr:colOff>
                    <xdr:row>10</xdr:row>
                    <xdr:rowOff>352425</xdr:rowOff>
                  </to>
                </anchor>
              </controlPr>
            </control>
          </mc:Choice>
        </mc:AlternateContent>
        <mc:AlternateContent xmlns:mc="http://schemas.openxmlformats.org/markup-compatibility/2006">
          <mc:Choice Requires="x14">
            <control shapeId="128012" r:id="rId15" name="Option Button 12">
              <controlPr locked="0" defaultSize="0" autoFill="0" autoLine="0" autoPict="0">
                <anchor moveWithCells="1">
                  <from>
                    <xdr:col>7</xdr:col>
                    <xdr:colOff>0</xdr:colOff>
                    <xdr:row>10</xdr:row>
                    <xdr:rowOff>57150</xdr:rowOff>
                  </from>
                  <to>
                    <xdr:col>7</xdr:col>
                    <xdr:colOff>352425</xdr:colOff>
                    <xdr:row>10</xdr:row>
                    <xdr:rowOff>333375</xdr:rowOff>
                  </to>
                </anchor>
              </controlPr>
            </control>
          </mc:Choice>
        </mc:AlternateContent>
        <mc:AlternateContent xmlns:mc="http://schemas.openxmlformats.org/markup-compatibility/2006">
          <mc:Choice Requires="x14">
            <control shapeId="128013" r:id="rId16" name="Option Button 13">
              <controlPr locked="0" defaultSize="0" autoFill="0" autoLine="0" autoPict="0">
                <anchor moveWithCells="1">
                  <from>
                    <xdr:col>7</xdr:col>
                    <xdr:colOff>1314450</xdr:colOff>
                    <xdr:row>10</xdr:row>
                    <xdr:rowOff>9525</xdr:rowOff>
                  </from>
                  <to>
                    <xdr:col>7</xdr:col>
                    <xdr:colOff>1790700</xdr:colOff>
                    <xdr:row>11</xdr:row>
                    <xdr:rowOff>0</xdr:rowOff>
                  </to>
                </anchor>
              </controlPr>
            </control>
          </mc:Choice>
        </mc:AlternateContent>
        <mc:AlternateContent xmlns:mc="http://schemas.openxmlformats.org/markup-compatibility/2006">
          <mc:Choice Requires="x14">
            <control shapeId="128014" r:id="rId17" name="Option Button 14">
              <controlPr locked="0" defaultSize="0" autoFill="0" autoLine="0" autoPict="0">
                <anchor moveWithCells="1">
                  <from>
                    <xdr:col>3</xdr:col>
                    <xdr:colOff>323850</xdr:colOff>
                    <xdr:row>15</xdr:row>
                    <xdr:rowOff>66675</xdr:rowOff>
                  </from>
                  <to>
                    <xdr:col>3</xdr:col>
                    <xdr:colOff>876300</xdr:colOff>
                    <xdr:row>15</xdr:row>
                    <xdr:rowOff>352425</xdr:rowOff>
                  </to>
                </anchor>
              </controlPr>
            </control>
          </mc:Choice>
        </mc:AlternateContent>
        <mc:AlternateContent xmlns:mc="http://schemas.openxmlformats.org/markup-compatibility/2006">
          <mc:Choice Requires="x14">
            <control shapeId="128015" r:id="rId18" name="Option Button 15">
              <controlPr locked="0" defaultSize="0" autoFill="0" autoLine="0" autoPict="0">
                <anchor moveWithCells="1">
                  <from>
                    <xdr:col>3</xdr:col>
                    <xdr:colOff>1752600</xdr:colOff>
                    <xdr:row>15</xdr:row>
                    <xdr:rowOff>28575</xdr:rowOff>
                  </from>
                  <to>
                    <xdr:col>4</xdr:col>
                    <xdr:colOff>142875</xdr:colOff>
                    <xdr:row>15</xdr:row>
                    <xdr:rowOff>342900</xdr:rowOff>
                  </to>
                </anchor>
              </controlPr>
            </control>
          </mc:Choice>
        </mc:AlternateContent>
        <mc:AlternateContent xmlns:mc="http://schemas.openxmlformats.org/markup-compatibility/2006">
          <mc:Choice Requires="x14">
            <control shapeId="128016" r:id="rId19" name="Option Button 16">
              <controlPr locked="0" defaultSize="0" autoFill="0" autoLine="0" autoPict="0">
                <anchor moveWithCells="1">
                  <from>
                    <xdr:col>5</xdr:col>
                    <xdr:colOff>561975</xdr:colOff>
                    <xdr:row>15</xdr:row>
                    <xdr:rowOff>38100</xdr:rowOff>
                  </from>
                  <to>
                    <xdr:col>5</xdr:col>
                    <xdr:colOff>1076325</xdr:colOff>
                    <xdr:row>15</xdr:row>
                    <xdr:rowOff>352425</xdr:rowOff>
                  </to>
                </anchor>
              </controlPr>
            </control>
          </mc:Choice>
        </mc:AlternateContent>
        <mc:AlternateContent xmlns:mc="http://schemas.openxmlformats.org/markup-compatibility/2006">
          <mc:Choice Requires="x14">
            <control shapeId="128017" r:id="rId20" name="Option Button 17">
              <controlPr locked="0" defaultSize="0" autoFill="0" autoLine="0" autoPict="0">
                <anchor moveWithCells="1">
                  <from>
                    <xdr:col>7</xdr:col>
                    <xdr:colOff>0</xdr:colOff>
                    <xdr:row>15</xdr:row>
                    <xdr:rowOff>66675</xdr:rowOff>
                  </from>
                  <to>
                    <xdr:col>7</xdr:col>
                    <xdr:colOff>323850</xdr:colOff>
                    <xdr:row>15</xdr:row>
                    <xdr:rowOff>333375</xdr:rowOff>
                  </to>
                </anchor>
              </controlPr>
            </control>
          </mc:Choice>
        </mc:AlternateContent>
        <mc:AlternateContent xmlns:mc="http://schemas.openxmlformats.org/markup-compatibility/2006">
          <mc:Choice Requires="x14">
            <control shapeId="128018" r:id="rId21" name="Option Button 18">
              <controlPr locked="0" defaultSize="0" autoFill="0" autoLine="0" autoPict="0">
                <anchor moveWithCells="1">
                  <from>
                    <xdr:col>7</xdr:col>
                    <xdr:colOff>1362075</xdr:colOff>
                    <xdr:row>15</xdr:row>
                    <xdr:rowOff>38100</xdr:rowOff>
                  </from>
                  <to>
                    <xdr:col>7</xdr:col>
                    <xdr:colOff>1809750</xdr:colOff>
                    <xdr:row>15</xdr:row>
                    <xdr:rowOff>352425</xdr:rowOff>
                  </to>
                </anchor>
              </controlPr>
            </control>
          </mc:Choice>
        </mc:AlternateContent>
        <mc:AlternateContent xmlns:mc="http://schemas.openxmlformats.org/markup-compatibility/2006">
          <mc:Choice Requires="x14">
            <control shapeId="128020" r:id="rId22" name="Group Box 20">
              <controlPr locked="0" defaultSize="0" print="0" autoFill="0" autoPict="0">
                <anchor moveWithCells="1">
                  <from>
                    <xdr:col>3</xdr:col>
                    <xdr:colOff>0</xdr:colOff>
                    <xdr:row>10</xdr:row>
                    <xdr:rowOff>9525</xdr:rowOff>
                  </from>
                  <to>
                    <xdr:col>8</xdr:col>
                    <xdr:colOff>9525</xdr:colOff>
                    <xdr:row>11</xdr:row>
                    <xdr:rowOff>0</xdr:rowOff>
                  </to>
                </anchor>
              </controlPr>
            </control>
          </mc:Choice>
        </mc:AlternateContent>
        <mc:AlternateContent xmlns:mc="http://schemas.openxmlformats.org/markup-compatibility/2006">
          <mc:Choice Requires="x14">
            <control shapeId="128021" r:id="rId23" name="Group Box 21">
              <controlPr locked="0" defaultSize="0" print="0" autoFill="0" autoPict="0">
                <anchor moveWithCells="1">
                  <from>
                    <xdr:col>3</xdr:col>
                    <xdr:colOff>0</xdr:colOff>
                    <xdr:row>15</xdr:row>
                    <xdr:rowOff>0</xdr:rowOff>
                  </from>
                  <to>
                    <xdr:col>8</xdr:col>
                    <xdr:colOff>0</xdr:colOff>
                    <xdr:row>15</xdr:row>
                    <xdr:rowOff>371475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G85"/>
  <sheetViews>
    <sheetView showGridLines="0" topLeftCell="A25" zoomScaleNormal="100" workbookViewId="0">
      <selection activeCell="D14" sqref="D14"/>
    </sheetView>
  </sheetViews>
  <sheetFormatPr defaultColWidth="9" defaultRowHeight="20.25" outlineLevelCol="1" x14ac:dyDescent="0.3"/>
  <cols>
    <col min="1" max="1" width="13.75" style="336" customWidth="1"/>
    <col min="2" max="2" width="3.625" customWidth="1"/>
    <col min="3" max="3" width="3.625" style="43" customWidth="1"/>
    <col min="4" max="4" width="40.5" style="101" customWidth="1"/>
    <col min="5" max="5" width="18.125" style="101" customWidth="1"/>
    <col min="6" max="15" width="1.625" style="101" customWidth="1"/>
    <col min="16" max="16" width="15.7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x14ac:dyDescent="0.2">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x14ac:dyDescent="0.35">
      <c r="A2" s="342"/>
      <c r="B2" s="333"/>
      <c r="C2" s="331">
        <v>3</v>
      </c>
      <c r="D2" s="330" t="s">
        <v>60</v>
      </c>
      <c r="E2" s="701" t="str">
        <f>R.1MediaAndLongName</f>
        <v>AQ GrantsPassLMP</v>
      </c>
      <c r="F2" s="701"/>
      <c r="G2" s="701"/>
      <c r="H2" s="701"/>
      <c r="I2" s="701"/>
      <c r="J2" s="701"/>
      <c r="K2" s="701"/>
      <c r="L2" s="701"/>
      <c r="M2" s="701"/>
      <c r="N2" s="701"/>
      <c r="O2" s="701"/>
      <c r="P2" s="701"/>
      <c r="Q2" s="153"/>
      <c r="R2" s="333"/>
      <c r="S2" s="118" t="str">
        <f>"R."&amp;$C$2&amp;"StaffCount"</f>
        <v>R.3StaffCount</v>
      </c>
      <c r="T2" s="118" t="str">
        <f>"R."&amp;$C$2&amp;"LowHrs"</f>
        <v>R.3LowHrs</v>
      </c>
      <c r="U2" s="348" t="str">
        <f>"R."&amp;$C$2&amp;"HighHrs"</f>
        <v>R.3HighHrs</v>
      </c>
      <c r="V2" s="119" t="s">
        <v>0</v>
      </c>
      <c r="W2" s="63"/>
      <c r="X2" s="63"/>
      <c r="Y2" s="63"/>
      <c r="Z2" s="63"/>
      <c r="AA2" s="63"/>
      <c r="AB2" s="63"/>
      <c r="AC2" s="63"/>
      <c r="AD2" s="65"/>
      <c r="AE2" s="65"/>
      <c r="AF2" s="65"/>
      <c r="AG2" s="65"/>
    </row>
    <row r="3" spans="1:33" s="6" customFormat="1" ht="20.25" customHeight="1" thickTop="1" x14ac:dyDescent="0.3">
      <c r="A3" s="343"/>
      <c r="B3" s="333"/>
      <c r="C3" s="154"/>
      <c r="D3" s="95"/>
      <c r="E3" s="95"/>
      <c r="F3" s="95"/>
      <c r="G3" s="163"/>
      <c r="H3" s="163"/>
      <c r="I3" s="163"/>
      <c r="J3" s="96"/>
      <c r="K3" s="12"/>
      <c r="L3" s="12"/>
      <c r="M3" s="702" t="s">
        <v>54</v>
      </c>
      <c r="N3" s="702"/>
      <c r="O3" s="702"/>
      <c r="P3" s="702"/>
      <c r="Q3" s="155"/>
      <c r="R3" s="333"/>
      <c r="S3" s="353">
        <f>COUNTIFS(S13:S49,"&gt;0")</f>
        <v>5</v>
      </c>
      <c r="T3" s="354">
        <f>SUM(T13:T49)</f>
        <v>599</v>
      </c>
      <c r="U3" s="354">
        <f>SUM(U13:U49)</f>
        <v>1238</v>
      </c>
      <c r="V3" s="119"/>
      <c r="W3" s="63"/>
      <c r="X3" s="63"/>
      <c r="Y3" s="63"/>
      <c r="Z3" s="63"/>
      <c r="AA3" s="63"/>
      <c r="AB3" s="63"/>
      <c r="AC3" s="63"/>
      <c r="AD3" s="65"/>
      <c r="AE3" s="65"/>
      <c r="AF3" s="65"/>
      <c r="AG3" s="65"/>
    </row>
    <row r="4" spans="1:33" s="6" customFormat="1" x14ac:dyDescent="0.3">
      <c r="A4" s="343"/>
      <c r="B4" s="333"/>
      <c r="C4" s="154"/>
      <c r="D4" s="493" t="s">
        <v>52</v>
      </c>
      <c r="E4" s="80">
        <f>S3</f>
        <v>5</v>
      </c>
      <c r="F4" s="703" t="s">
        <v>51</v>
      </c>
      <c r="G4" s="703"/>
      <c r="H4" s="703"/>
      <c r="I4" s="703"/>
      <c r="J4" s="703"/>
      <c r="K4" s="703"/>
      <c r="L4" s="703"/>
      <c r="M4" s="704" t="str">
        <f>S4</f>
        <v>599-1,238</v>
      </c>
      <c r="N4" s="704"/>
      <c r="O4" s="704"/>
      <c r="P4" s="704"/>
      <c r="Q4" s="155"/>
      <c r="R4" s="333"/>
      <c r="S4" s="121" t="str">
        <f>IF(R.3StaffCount=0,"0",IF(R.3LowHrs=0,"0-"&amp;TEXT(R.3HighHrs,"#,###"),TEXT(R.3LowHrs,"#,###")&amp;"-"&amp;TEXT(R.3HighHrs,"#,###")))</f>
        <v>599-1,238</v>
      </c>
      <c r="T4" s="118" t="str">
        <f>"R."&amp;$C$2&amp;"LowDollars"</f>
        <v>R.3LowDollars</v>
      </c>
      <c r="U4" s="348" t="str">
        <f>"R."&amp;$C$2&amp;"HighDollars"</f>
        <v>R.3HighDollars</v>
      </c>
      <c r="V4" s="119"/>
      <c r="W4" s="63"/>
      <c r="X4" s="63"/>
      <c r="Y4" s="63"/>
      <c r="Z4" s="63"/>
      <c r="AA4" s="63"/>
      <c r="AB4" s="63"/>
      <c r="AC4" s="63"/>
      <c r="AD4" s="65"/>
      <c r="AE4" s="65"/>
      <c r="AF4" s="65"/>
      <c r="AG4" s="65"/>
    </row>
    <row r="5" spans="1:33" s="6" customFormat="1" x14ac:dyDescent="0.3">
      <c r="A5" s="343"/>
      <c r="B5" s="333"/>
      <c r="C5" s="154"/>
      <c r="D5" s="493" t="s">
        <v>53</v>
      </c>
      <c r="E5" s="97">
        <f>R.AvgHrDEQCost</f>
        <v>58</v>
      </c>
      <c r="F5" s="703" t="s">
        <v>55</v>
      </c>
      <c r="G5" s="703"/>
      <c r="H5" s="703"/>
      <c r="I5" s="703"/>
      <c r="J5" s="703"/>
      <c r="K5" s="703"/>
      <c r="L5" s="703"/>
      <c r="M5" s="705" t="str">
        <f>S5</f>
        <v>$34,742-71,804</v>
      </c>
      <c r="N5" s="705"/>
      <c r="O5" s="705"/>
      <c r="P5" s="705"/>
      <c r="Q5" s="155"/>
      <c r="R5" s="333"/>
      <c r="S5" s="122" t="str">
        <f>IF(R.3StaffCount=0,"$0",IF(R.3LowDollars=0,"$0-"&amp;TEXT(R.3HighDollars,"#,###"),TEXT(R.3LowDollars,"$#,###")&amp;"-"&amp;TEXT(R.3HighDollars,"#,###")))</f>
        <v>$34,742-71,804</v>
      </c>
      <c r="T5" s="123">
        <f>T3*E5</f>
        <v>34742</v>
      </c>
      <c r="U5" s="123">
        <f>U3*E5</f>
        <v>71804</v>
      </c>
      <c r="V5" s="119"/>
      <c r="W5" s="63"/>
      <c r="X5" s="63"/>
      <c r="Y5" s="63"/>
      <c r="Z5" s="63"/>
      <c r="AA5" s="63"/>
      <c r="AB5" s="63"/>
      <c r="AC5" s="63"/>
      <c r="AD5" s="65"/>
      <c r="AE5" s="65"/>
      <c r="AF5" s="65"/>
      <c r="AG5" s="65"/>
    </row>
    <row r="6" spans="1:33" s="6" customFormat="1" ht="25.5" customHeight="1" x14ac:dyDescent="0.3">
      <c r="A6" s="343"/>
      <c r="B6" s="333"/>
      <c r="C6" s="154"/>
      <c r="D6" s="446" t="s">
        <v>63</v>
      </c>
      <c r="E6" s="99"/>
      <c r="F6" s="98"/>
      <c r="G6" s="98"/>
      <c r="H6" s="98"/>
      <c r="I6" s="98"/>
      <c r="J6" s="98"/>
      <c r="K6" s="98"/>
      <c r="L6" s="98"/>
      <c r="M6" s="98"/>
      <c r="N6" s="98"/>
      <c r="O6" s="98"/>
      <c r="P6" s="98"/>
      <c r="Q6" s="155"/>
      <c r="R6" s="333"/>
      <c r="S6" s="449">
        <f>SUM(S13:S49)/R.3StaffCount</f>
        <v>3.6</v>
      </c>
      <c r="T6" s="65"/>
      <c r="U6" s="65"/>
      <c r="V6" s="119"/>
      <c r="W6" s="63"/>
      <c r="X6" s="63"/>
      <c r="Y6" s="63"/>
      <c r="Z6" s="63"/>
      <c r="AA6" s="63"/>
      <c r="AB6" s="63"/>
      <c r="AC6" s="63"/>
      <c r="AD6" s="65"/>
      <c r="AE6" s="65"/>
      <c r="AF6" s="65"/>
      <c r="AG6" s="65"/>
    </row>
    <row r="7" spans="1:33" s="68" customFormat="1" ht="15.75" customHeight="1" x14ac:dyDescent="0.2">
      <c r="A7" s="343"/>
      <c r="B7" s="333"/>
      <c r="C7" s="156"/>
      <c r="D7" s="697"/>
      <c r="E7" s="698"/>
      <c r="F7" s="698"/>
      <c r="G7" s="698"/>
      <c r="H7" s="698"/>
      <c r="I7" s="698"/>
      <c r="J7" s="698"/>
      <c r="K7" s="698"/>
      <c r="L7" s="698"/>
      <c r="M7" s="698"/>
      <c r="N7" s="698"/>
      <c r="O7" s="698"/>
      <c r="P7" s="699"/>
      <c r="Q7" s="157"/>
      <c r="R7" s="333"/>
      <c r="S7" s="450" t="s">
        <v>0</v>
      </c>
      <c r="T7" s="448"/>
      <c r="U7" s="448"/>
      <c r="V7" s="125"/>
      <c r="W7" s="125" t="s">
        <v>0</v>
      </c>
      <c r="X7" s="125"/>
      <c r="Y7" s="125"/>
      <c r="Z7" s="125"/>
      <c r="AA7" s="125"/>
      <c r="AB7" s="125"/>
      <c r="AC7" s="125"/>
      <c r="AD7" s="124"/>
      <c r="AE7" s="124"/>
      <c r="AF7" s="124"/>
      <c r="AG7" s="124"/>
    </row>
    <row r="8" spans="1:33" s="68" customFormat="1" ht="14.25" customHeight="1" x14ac:dyDescent="0.2">
      <c r="A8" s="343"/>
      <c r="B8" s="333"/>
      <c r="C8" s="156"/>
      <c r="D8" s="82"/>
      <c r="E8" s="82"/>
      <c r="F8" s="82"/>
      <c r="G8" s="82"/>
      <c r="H8" s="82"/>
      <c r="I8" s="82"/>
      <c r="J8" s="82"/>
      <c r="K8" s="82"/>
      <c r="L8" s="82"/>
      <c r="M8" s="82"/>
      <c r="N8" s="82"/>
      <c r="O8" s="82"/>
      <c r="P8" s="82"/>
      <c r="Q8" s="157"/>
      <c r="R8" s="333"/>
      <c r="S8"/>
      <c r="T8" s="124"/>
      <c r="U8" s="124"/>
      <c r="V8" s="125"/>
      <c r="W8" s="125"/>
      <c r="X8" s="125"/>
      <c r="Y8" s="125"/>
      <c r="Z8" s="125"/>
      <c r="AA8" s="125"/>
      <c r="AB8" s="125"/>
      <c r="AC8" s="125"/>
      <c r="AD8" s="124"/>
      <c r="AE8" s="124"/>
      <c r="AF8" s="124"/>
      <c r="AG8" s="124"/>
    </row>
    <row r="9" spans="1:33" s="218" customFormat="1" ht="30" customHeight="1" x14ac:dyDescent="0.25">
      <c r="A9" s="342"/>
      <c r="B9" s="333"/>
      <c r="C9" s="391" t="s">
        <v>0</v>
      </c>
      <c r="D9" s="380" t="s">
        <v>114</v>
      </c>
      <c r="E9" s="385"/>
      <c r="F9" s="385"/>
      <c r="G9" s="385"/>
      <c r="H9" s="385"/>
      <c r="I9" s="385"/>
      <c r="J9" s="385"/>
      <c r="K9" s="385"/>
      <c r="L9" s="385"/>
      <c r="M9" s="385"/>
      <c r="N9" s="385"/>
      <c r="O9" s="385"/>
      <c r="P9" s="385"/>
      <c r="Q9" s="387"/>
      <c r="R9" s="333"/>
      <c r="S9"/>
      <c r="T9" s="215"/>
      <c r="U9" s="215"/>
      <c r="V9" s="217"/>
      <c r="W9" s="217"/>
      <c r="X9" s="217"/>
      <c r="Y9" s="217"/>
      <c r="Z9" s="217"/>
      <c r="AA9" s="217"/>
      <c r="AB9" s="217"/>
      <c r="AC9" s="217"/>
      <c r="AD9" s="215"/>
      <c r="AE9" s="215"/>
      <c r="AF9" s="215"/>
      <c r="AG9" s="215"/>
    </row>
    <row r="10" spans="1:33" s="32" customFormat="1" ht="14.25" customHeight="1" x14ac:dyDescent="0.3">
      <c r="A10" s="343"/>
      <c r="B10" s="333"/>
      <c r="C10" s="135"/>
      <c r="D10" s="438" t="s">
        <v>61</v>
      </c>
      <c r="E10" s="368"/>
      <c r="F10" s="368"/>
      <c r="G10" s="368"/>
      <c r="H10" s="368"/>
      <c r="I10" s="368"/>
      <c r="J10" s="368"/>
      <c r="K10" s="368"/>
      <c r="L10" s="368"/>
      <c r="M10" s="368"/>
      <c r="N10" s="368"/>
      <c r="O10" s="368"/>
      <c r="P10" s="368"/>
      <c r="Q10" s="136"/>
      <c r="R10" s="333"/>
      <c r="S10"/>
      <c r="T10" s="126"/>
      <c r="U10" s="126"/>
      <c r="V10" s="128"/>
      <c r="W10" s="128"/>
      <c r="X10" s="128"/>
      <c r="Y10" s="128"/>
      <c r="Z10" s="128"/>
      <c r="AA10" s="128"/>
      <c r="AB10" s="128"/>
      <c r="AC10" s="128"/>
      <c r="AD10" s="126"/>
      <c r="AE10" s="126"/>
      <c r="AF10" s="126"/>
      <c r="AG10" s="126"/>
    </row>
    <row r="11" spans="1:33" s="27" customFormat="1" ht="131.25" customHeight="1" x14ac:dyDescent="0.2">
      <c r="A11" s="343"/>
      <c r="B11" s="333"/>
      <c r="C11" s="369"/>
      <c r="D11" s="706" t="s">
        <v>95</v>
      </c>
      <c r="E11" s="707"/>
      <c r="F11" s="707"/>
      <c r="G11" s="707"/>
      <c r="H11" s="707"/>
      <c r="I11" s="707"/>
      <c r="J11" s="707"/>
      <c r="K11" s="707"/>
      <c r="L11" s="707"/>
      <c r="M11" s="707"/>
      <c r="N11" s="707"/>
      <c r="O11" s="707"/>
      <c r="P11" s="708"/>
      <c r="Q11" s="138"/>
      <c r="R11" s="333"/>
      <c r="S11"/>
      <c r="T11" s="129"/>
      <c r="U11" s="129"/>
      <c r="V11" s="63"/>
      <c r="W11" s="63"/>
      <c r="X11" s="63"/>
      <c r="Y11" s="63"/>
      <c r="Z11" s="63"/>
      <c r="AA11" s="63"/>
      <c r="AB11" s="63"/>
      <c r="AC11" s="63"/>
      <c r="AD11" s="129"/>
      <c r="AE11" s="129"/>
      <c r="AF11" s="129"/>
      <c r="AG11" s="129"/>
    </row>
    <row r="12" spans="1:33" s="32" customFormat="1" ht="14.25" customHeight="1" x14ac:dyDescent="0.2">
      <c r="A12" s="343"/>
      <c r="B12" s="333"/>
      <c r="C12" s="232"/>
      <c r="D12" s="445" t="s">
        <v>57</v>
      </c>
      <c r="E12" s="364" t="s">
        <v>15</v>
      </c>
      <c r="F12" s="700" t="s">
        <v>16</v>
      </c>
      <c r="G12" s="700"/>
      <c r="H12" s="700"/>
      <c r="I12" s="700"/>
      <c r="J12" s="700"/>
      <c r="K12" s="700"/>
      <c r="L12" s="700"/>
      <c r="M12" s="700"/>
      <c r="N12" s="700"/>
      <c r="O12" s="700"/>
      <c r="P12" s="277"/>
      <c r="Q12" s="136"/>
      <c r="R12" s="333"/>
      <c r="S12"/>
      <c r="T12" s="228"/>
      <c r="U12" s="228"/>
      <c r="V12" s="229"/>
      <c r="W12" s="229"/>
      <c r="X12" s="229"/>
      <c r="Y12" s="229"/>
      <c r="Z12" s="229"/>
      <c r="AA12" s="229"/>
      <c r="AB12" s="229"/>
      <c r="AC12" s="229"/>
      <c r="AD12" s="126"/>
      <c r="AE12" s="126"/>
      <c r="AF12" s="126"/>
      <c r="AG12" s="126"/>
    </row>
    <row r="13" spans="1:33" s="27" customFormat="1" x14ac:dyDescent="0.2">
      <c r="A13" s="343"/>
      <c r="B13" s="333"/>
      <c r="C13" s="137"/>
      <c r="D13" s="604" t="s">
        <v>605</v>
      </c>
      <c r="E13" s="29" t="s">
        <v>224</v>
      </c>
      <c r="F13" s="70">
        <v>1</v>
      </c>
      <c r="G13" s="71">
        <v>2</v>
      </c>
      <c r="H13" s="72">
        <v>3</v>
      </c>
      <c r="I13" s="73">
        <v>4</v>
      </c>
      <c r="J13" s="74">
        <v>5</v>
      </c>
      <c r="K13" s="75">
        <v>6</v>
      </c>
      <c r="L13" s="76">
        <v>7</v>
      </c>
      <c r="M13" s="77">
        <v>8</v>
      </c>
      <c r="N13" s="78">
        <v>9</v>
      </c>
      <c r="O13" s="79">
        <v>10</v>
      </c>
      <c r="P13" s="52"/>
      <c r="Q13" s="138"/>
      <c r="R13" s="333"/>
      <c r="S13" s="132">
        <f>VLOOKUP($E13,R.VL_DEQResourcesInvolved,2,FALSE)</f>
        <v>6</v>
      </c>
      <c r="T13" s="120">
        <f>VLOOKUP($E13,R.VL_DEQResourcesInvolved,3,FALSE)</f>
        <v>340</v>
      </c>
      <c r="U13" s="120">
        <f>IF(S13=10,T13,VLOOKUP($E13,R.VL_DEQResourcesInvolved,4,FALSE))</f>
        <v>680</v>
      </c>
      <c r="V13" s="574" t="s">
        <v>575</v>
      </c>
      <c r="W13" s="63"/>
      <c r="X13" s="63"/>
      <c r="Y13" s="63"/>
      <c r="Z13" s="63"/>
      <c r="AA13" s="63"/>
      <c r="AB13" s="63"/>
      <c r="AC13" s="63"/>
      <c r="AD13" s="129"/>
      <c r="AE13" s="129"/>
      <c r="AF13" s="129"/>
      <c r="AG13" s="129"/>
    </row>
    <row r="14" spans="1:33" s="27" customFormat="1" ht="14.25" customHeight="1" x14ac:dyDescent="0.2">
      <c r="A14" s="343"/>
      <c r="B14" s="333"/>
      <c r="C14" s="375"/>
      <c r="D14" s="376"/>
      <c r="E14" s="431"/>
      <c r="F14" s="431"/>
      <c r="G14" s="431"/>
      <c r="H14" s="431"/>
      <c r="I14" s="431"/>
      <c r="J14" s="431"/>
      <c r="K14" s="431"/>
      <c r="L14" s="431"/>
      <c r="M14" s="431"/>
      <c r="N14" s="431"/>
      <c r="O14" s="431"/>
      <c r="P14" s="431"/>
      <c r="Q14" s="378"/>
      <c r="R14" s="333"/>
      <c r="S14"/>
      <c r="T14" s="130"/>
      <c r="U14" s="130"/>
      <c r="V14" s="63"/>
      <c r="W14" s="63"/>
      <c r="X14" s="63"/>
      <c r="Y14" s="63"/>
      <c r="Z14" s="63"/>
      <c r="AA14" s="63"/>
      <c r="AB14" s="63"/>
      <c r="AC14" s="63"/>
      <c r="AD14" s="129"/>
      <c r="AE14" s="129"/>
      <c r="AF14" s="129"/>
      <c r="AG14" s="129"/>
    </row>
    <row r="15" spans="1:33" s="218" customFormat="1" ht="30" customHeight="1" x14ac:dyDescent="0.3">
      <c r="A15" s="342"/>
      <c r="B15" s="333"/>
      <c r="C15" s="242"/>
      <c r="D15" s="303" t="s">
        <v>206</v>
      </c>
      <c r="E15" s="246"/>
      <c r="F15" s="370"/>
      <c r="G15" s="370"/>
      <c r="H15" s="370"/>
      <c r="I15" s="370"/>
      <c r="J15" s="370"/>
      <c r="K15" s="370"/>
      <c r="L15" s="370"/>
      <c r="M15" s="370"/>
      <c r="N15" s="370"/>
      <c r="O15" s="370"/>
      <c r="P15" s="370"/>
      <c r="Q15" s="243"/>
      <c r="R15" s="333"/>
      <c r="S15"/>
      <c r="T15" s="216"/>
      <c r="U15" s="216"/>
      <c r="V15" s="217"/>
      <c r="W15" s="217"/>
      <c r="X15" s="217"/>
      <c r="Y15" s="217"/>
      <c r="Z15" s="217"/>
      <c r="AA15" s="217"/>
      <c r="AB15" s="217"/>
      <c r="AC15" s="217"/>
      <c r="AD15" s="215"/>
      <c r="AE15" s="215"/>
      <c r="AF15" s="215"/>
      <c r="AG15" s="215"/>
    </row>
    <row r="16" spans="1:33" s="32" customFormat="1" ht="14.25" customHeight="1" x14ac:dyDescent="0.3">
      <c r="A16" s="343"/>
      <c r="B16" s="333"/>
      <c r="C16" s="135"/>
      <c r="D16" s="442" t="s">
        <v>61</v>
      </c>
      <c r="E16" s="93"/>
      <c r="F16" s="93"/>
      <c r="G16" s="93"/>
      <c r="H16" s="93"/>
      <c r="I16" s="93"/>
      <c r="J16" s="93"/>
      <c r="K16" s="93"/>
      <c r="L16" s="93"/>
      <c r="M16" s="93"/>
      <c r="N16" s="93"/>
      <c r="O16" s="93"/>
      <c r="P16" s="93"/>
      <c r="Q16" s="136"/>
      <c r="R16" s="333"/>
      <c r="S16"/>
      <c r="T16" s="130"/>
      <c r="U16" s="130"/>
      <c r="V16" s="128"/>
      <c r="W16" s="128"/>
      <c r="X16" s="128"/>
      <c r="Y16" s="128"/>
      <c r="Z16" s="128"/>
      <c r="AA16" s="128"/>
      <c r="AB16" s="128"/>
      <c r="AC16" s="128"/>
      <c r="AD16" s="126"/>
      <c r="AE16" s="126"/>
      <c r="AF16" s="126"/>
      <c r="AG16" s="126"/>
    </row>
    <row r="17" spans="1:33" s="27" customFormat="1" ht="154.9" customHeight="1" x14ac:dyDescent="0.2">
      <c r="A17" s="343"/>
      <c r="B17" s="333"/>
      <c r="C17" s="137"/>
      <c r="D17" s="684" t="s">
        <v>587</v>
      </c>
      <c r="E17" s="685"/>
      <c r="F17" s="685"/>
      <c r="G17" s="685"/>
      <c r="H17" s="685"/>
      <c r="I17" s="685"/>
      <c r="J17" s="685"/>
      <c r="K17" s="685"/>
      <c r="L17" s="685"/>
      <c r="M17" s="685"/>
      <c r="N17" s="685"/>
      <c r="O17" s="685"/>
      <c r="P17" s="686"/>
      <c r="Q17" s="138"/>
      <c r="R17" s="333"/>
      <c r="S17"/>
      <c r="T17" s="130"/>
      <c r="U17" s="130"/>
      <c r="V17" s="63"/>
      <c r="W17" s="63"/>
      <c r="X17" s="63"/>
      <c r="Y17" s="63"/>
      <c r="Z17" s="63"/>
      <c r="AA17" s="63"/>
      <c r="AB17" s="63"/>
      <c r="AC17" s="63"/>
      <c r="AD17" s="129"/>
      <c r="AE17" s="129"/>
      <c r="AF17" s="129"/>
      <c r="AG17" s="129"/>
    </row>
    <row r="18" spans="1:33" s="202" customFormat="1" ht="14.25" customHeight="1" x14ac:dyDescent="0.25">
      <c r="A18" s="343"/>
      <c r="B18" s="333"/>
      <c r="C18" s="209"/>
      <c r="D18" s="441" t="s">
        <v>57</v>
      </c>
      <c r="E18" s="290" t="s">
        <v>15</v>
      </c>
      <c r="F18" s="290" t="s">
        <v>16</v>
      </c>
      <c r="G18" s="290"/>
      <c r="H18" s="290"/>
      <c r="I18" s="290"/>
      <c r="J18" s="290"/>
      <c r="K18" s="290"/>
      <c r="L18" s="290"/>
      <c r="M18" s="290"/>
      <c r="N18" s="290"/>
      <c r="O18" s="290"/>
      <c r="P18" s="214" t="s">
        <v>0</v>
      </c>
      <c r="Q18" s="210"/>
      <c r="R18" s="333"/>
      <c r="S18"/>
      <c r="T18" s="204"/>
      <c r="U18" s="204"/>
      <c r="V18" s="201"/>
      <c r="W18" s="201"/>
      <c r="X18" s="201"/>
      <c r="Y18" s="201"/>
      <c r="Z18" s="201"/>
      <c r="AA18" s="201"/>
      <c r="AB18" s="201"/>
      <c r="AC18" s="201"/>
      <c r="AD18" s="187"/>
      <c r="AE18" s="187"/>
      <c r="AF18" s="187"/>
      <c r="AG18" s="187"/>
    </row>
    <row r="19" spans="1:33" s="27" customFormat="1" ht="20.25" customHeight="1" x14ac:dyDescent="0.2">
      <c r="A19" s="343"/>
      <c r="B19" s="333"/>
      <c r="C19" s="137"/>
      <c r="D19" s="603" t="s">
        <v>590</v>
      </c>
      <c r="E19" s="29" t="s">
        <v>220</v>
      </c>
      <c r="F19" s="70">
        <v>1</v>
      </c>
      <c r="G19" s="71">
        <v>2</v>
      </c>
      <c r="H19" s="72">
        <v>3</v>
      </c>
      <c r="I19" s="73">
        <v>4</v>
      </c>
      <c r="J19" s="74">
        <v>5</v>
      </c>
      <c r="K19" s="75">
        <v>6</v>
      </c>
      <c r="L19" s="76">
        <v>7</v>
      </c>
      <c r="M19" s="77">
        <v>8</v>
      </c>
      <c r="N19" s="78">
        <v>9</v>
      </c>
      <c r="O19" s="79">
        <v>10</v>
      </c>
      <c r="P19" s="22"/>
      <c r="Q19" s="138"/>
      <c r="R19" s="333"/>
      <c r="S19" s="132">
        <f>VLOOKUP($E19,R.VL_DEQResourcesInvolved,2,FALSE)</f>
        <v>2</v>
      </c>
      <c r="T19" s="120">
        <f>VLOOKUP($E19,R.VL_DEQResourcesInvolved,3,FALSE)</f>
        <v>8</v>
      </c>
      <c r="U19" s="120">
        <f>IF(S19=10,T19,VLOOKUP($E19,R.VL_DEQResourcesInvolved,4,FALSE))</f>
        <v>40</v>
      </c>
      <c r="V19" s="574" t="s">
        <v>575</v>
      </c>
      <c r="W19" s="63"/>
      <c r="X19" s="63"/>
      <c r="Y19" s="63"/>
      <c r="Z19" s="63"/>
      <c r="AA19" s="63"/>
      <c r="AB19" s="63"/>
      <c r="AC19" s="63"/>
      <c r="AD19" s="129"/>
      <c r="AE19" s="129"/>
      <c r="AF19" s="129"/>
      <c r="AG19" s="129"/>
    </row>
    <row r="20" spans="1:33" s="27" customFormat="1" ht="14.25" customHeight="1" x14ac:dyDescent="0.2">
      <c r="A20" s="343"/>
      <c r="B20" s="333"/>
      <c r="C20" s="139"/>
      <c r="D20" s="108"/>
      <c r="E20" s="434"/>
      <c r="F20" s="52"/>
      <c r="G20" s="52"/>
      <c r="H20" s="52"/>
      <c r="I20" s="52"/>
      <c r="J20" s="52"/>
      <c r="K20" s="52"/>
      <c r="L20" s="52"/>
      <c r="M20" s="52"/>
      <c r="N20" s="52"/>
      <c r="O20" s="52"/>
      <c r="P20" s="52"/>
      <c r="Q20" s="140"/>
      <c r="R20" s="333"/>
      <c r="S20"/>
      <c r="T20" s="133"/>
      <c r="U20" s="133"/>
      <c r="V20" s="63"/>
      <c r="W20" s="63"/>
      <c r="X20" s="63"/>
      <c r="Y20" s="63"/>
      <c r="Z20" s="63"/>
      <c r="AA20" s="63"/>
      <c r="AB20" s="63"/>
      <c r="AC20" s="63"/>
      <c r="AD20" s="129"/>
      <c r="AE20" s="129"/>
      <c r="AF20" s="129"/>
      <c r="AG20" s="129"/>
    </row>
    <row r="21" spans="1:33" s="218" customFormat="1" ht="30" customHeight="1" x14ac:dyDescent="0.3">
      <c r="A21" s="349" t="s">
        <v>103</v>
      </c>
      <c r="B21" s="333"/>
      <c r="C21" s="384"/>
      <c r="D21" s="512" t="s">
        <v>207</v>
      </c>
      <c r="E21" s="385"/>
      <c r="F21" s="386"/>
      <c r="G21" s="386"/>
      <c r="H21" s="386"/>
      <c r="I21" s="386"/>
      <c r="J21" s="386"/>
      <c r="K21" s="386"/>
      <c r="L21" s="386"/>
      <c r="M21" s="386"/>
      <c r="N21" s="386"/>
      <c r="O21" s="386"/>
      <c r="P21" s="385"/>
      <c r="Q21" s="387"/>
      <c r="R21" s="333"/>
      <c r="S21"/>
      <c r="T21" s="216"/>
      <c r="U21" s="216"/>
      <c r="V21" s="217"/>
      <c r="W21" s="217"/>
      <c r="X21" s="217"/>
      <c r="Y21" s="217"/>
      <c r="Z21" s="217"/>
      <c r="AA21" s="217"/>
      <c r="AB21" s="217"/>
      <c r="AC21" s="217"/>
      <c r="AD21" s="215"/>
      <c r="AE21" s="215"/>
      <c r="AF21" s="215"/>
      <c r="AG21" s="215"/>
    </row>
    <row r="22" spans="1:33" s="32" customFormat="1" ht="14.25" customHeight="1" x14ac:dyDescent="0.3">
      <c r="A22" s="343"/>
      <c r="B22" s="333"/>
      <c r="C22" s="135"/>
      <c r="D22" s="442" t="s">
        <v>61</v>
      </c>
      <c r="E22" s="93"/>
      <c r="F22" s="93"/>
      <c r="G22" s="93"/>
      <c r="H22" s="93"/>
      <c r="I22" s="93"/>
      <c r="J22" s="93"/>
      <c r="K22" s="93"/>
      <c r="L22" s="93"/>
      <c r="M22" s="93"/>
      <c r="N22" s="93"/>
      <c r="O22" s="93"/>
      <c r="P22" s="93"/>
      <c r="Q22" s="136"/>
      <c r="R22" s="333"/>
      <c r="S22"/>
      <c r="T22" s="130"/>
      <c r="U22" s="130"/>
      <c r="V22" s="128"/>
      <c r="W22" s="128"/>
      <c r="X22" s="128"/>
      <c r="Y22" s="128"/>
      <c r="Z22" s="128"/>
      <c r="AA22" s="128"/>
      <c r="AB22" s="128"/>
      <c r="AC22" s="128"/>
      <c r="AD22" s="126"/>
      <c r="AE22" s="126"/>
      <c r="AF22" s="126"/>
      <c r="AG22" s="126"/>
    </row>
    <row r="23" spans="1:33" s="27" customFormat="1" ht="89.25" customHeight="1" x14ac:dyDescent="0.2">
      <c r="A23" s="343"/>
      <c r="B23" s="333"/>
      <c r="C23" s="137"/>
      <c r="D23" s="684" t="s">
        <v>62</v>
      </c>
      <c r="E23" s="685"/>
      <c r="F23" s="685"/>
      <c r="G23" s="685"/>
      <c r="H23" s="685"/>
      <c r="I23" s="685"/>
      <c r="J23" s="685"/>
      <c r="K23" s="685"/>
      <c r="L23" s="685"/>
      <c r="M23" s="685"/>
      <c r="N23" s="685"/>
      <c r="O23" s="685"/>
      <c r="P23" s="686"/>
      <c r="Q23" s="138"/>
      <c r="R23" s="333"/>
      <c r="S23"/>
      <c r="T23" s="130"/>
      <c r="U23" s="130"/>
      <c r="V23" s="63"/>
      <c r="W23" s="63"/>
      <c r="X23" s="63"/>
      <c r="Y23" s="63"/>
      <c r="Z23" s="63"/>
      <c r="AA23" s="63"/>
      <c r="AB23" s="63"/>
      <c r="AC23" s="63"/>
      <c r="AD23" s="129"/>
      <c r="AE23" s="129"/>
      <c r="AF23" s="129"/>
      <c r="AG23" s="129"/>
    </row>
    <row r="24" spans="1:33" s="32" customFormat="1" ht="14.25" customHeight="1" x14ac:dyDescent="0.2">
      <c r="A24" s="343"/>
      <c r="B24" s="333"/>
      <c r="C24" s="231"/>
      <c r="D24" s="441" t="s">
        <v>57</v>
      </c>
      <c r="E24" s="291" t="s">
        <v>15</v>
      </c>
      <c r="F24" s="291" t="s">
        <v>16</v>
      </c>
      <c r="G24" s="291"/>
      <c r="H24" s="291"/>
      <c r="I24" s="291"/>
      <c r="J24" s="291"/>
      <c r="K24" s="291"/>
      <c r="L24" s="291"/>
      <c r="M24" s="291"/>
      <c r="N24" s="291"/>
      <c r="O24" s="291"/>
      <c r="P24" s="230" t="s">
        <v>0</v>
      </c>
      <c r="Q24" s="136"/>
      <c r="R24" s="333"/>
      <c r="S24"/>
      <c r="T24" s="228"/>
      <c r="U24" s="228"/>
      <c r="V24" s="229"/>
      <c r="W24" s="229"/>
      <c r="X24" s="229"/>
      <c r="Y24" s="229"/>
      <c r="Z24" s="229"/>
      <c r="AA24" s="229"/>
      <c r="AB24" s="229"/>
      <c r="AC24" s="229"/>
      <c r="AD24" s="126"/>
      <c r="AE24" s="126"/>
      <c r="AF24" s="126"/>
      <c r="AG24" s="126"/>
    </row>
    <row r="25" spans="1:33" s="27" customFormat="1" ht="20.25" customHeight="1" x14ac:dyDescent="0.2">
      <c r="A25" s="343"/>
      <c r="B25" s="333"/>
      <c r="C25" s="137"/>
      <c r="D25" s="603" t="s">
        <v>591</v>
      </c>
      <c r="E25" s="29" t="s">
        <v>219</v>
      </c>
      <c r="F25" s="70">
        <v>1</v>
      </c>
      <c r="G25" s="71">
        <v>2</v>
      </c>
      <c r="H25" s="72">
        <v>3</v>
      </c>
      <c r="I25" s="73">
        <v>4</v>
      </c>
      <c r="J25" s="74">
        <v>5</v>
      </c>
      <c r="K25" s="75">
        <v>6</v>
      </c>
      <c r="L25" s="76">
        <v>7</v>
      </c>
      <c r="M25" s="77">
        <v>8</v>
      </c>
      <c r="N25" s="78">
        <v>9</v>
      </c>
      <c r="O25" s="79">
        <v>10</v>
      </c>
      <c r="P25" s="52"/>
      <c r="Q25" s="138"/>
      <c r="R25" s="333"/>
      <c r="S25" s="132">
        <f>VLOOKUP($E25,R.VL_DEQResourcesInvolved,2,FALSE)</f>
        <v>1</v>
      </c>
      <c r="T25" s="120">
        <f>VLOOKUP($E25,R.VL_DEQResourcesInvolved,3,FALSE)</f>
        <v>1</v>
      </c>
      <c r="U25" s="120">
        <f>IF(S25=10,T25,VLOOKUP($E25,R.VL_DEQResourcesInvolved,4,FALSE))</f>
        <v>8</v>
      </c>
      <c r="V25" s="574" t="s">
        <v>575</v>
      </c>
      <c r="W25" s="63"/>
      <c r="X25" s="63"/>
      <c r="Y25" s="63"/>
      <c r="Z25" s="63"/>
      <c r="AA25" s="63"/>
      <c r="AB25" s="63"/>
      <c r="AC25" s="63"/>
      <c r="AD25" s="129"/>
      <c r="AE25" s="129"/>
      <c r="AF25" s="129"/>
      <c r="AG25" s="129"/>
    </row>
    <row r="26" spans="1:33" s="27" customFormat="1" ht="14.25" customHeight="1" x14ac:dyDescent="0.2">
      <c r="A26" s="343"/>
      <c r="B26" s="333"/>
      <c r="C26" s="388"/>
      <c r="D26" s="389"/>
      <c r="E26" s="377"/>
      <c r="F26" s="377"/>
      <c r="G26" s="377"/>
      <c r="H26" s="377"/>
      <c r="I26" s="377"/>
      <c r="J26" s="377"/>
      <c r="K26" s="377"/>
      <c r="L26" s="377"/>
      <c r="M26" s="377"/>
      <c r="N26" s="377"/>
      <c r="O26" s="377"/>
      <c r="P26" s="377"/>
      <c r="Q26" s="390"/>
      <c r="R26" s="333"/>
      <c r="S26"/>
      <c r="T26" s="133"/>
      <c r="U26" s="133"/>
      <c r="V26" s="63"/>
      <c r="W26" s="63"/>
      <c r="X26" s="63"/>
      <c r="Y26" s="63"/>
      <c r="Z26" s="63"/>
      <c r="AA26" s="63"/>
      <c r="AB26" s="63"/>
      <c r="AC26" s="63"/>
      <c r="AD26" s="129"/>
      <c r="AE26" s="129"/>
      <c r="AF26" s="129"/>
      <c r="AG26" s="129"/>
    </row>
    <row r="27" spans="1:33" s="218" customFormat="1" ht="30" customHeight="1" x14ac:dyDescent="0.3">
      <c r="A27" s="349" t="s">
        <v>103</v>
      </c>
      <c r="B27" s="333"/>
      <c r="C27" s="242"/>
      <c r="D27" s="303" t="s">
        <v>208</v>
      </c>
      <c r="E27" s="246"/>
      <c r="F27" s="246"/>
      <c r="G27" s="246"/>
      <c r="H27" s="246"/>
      <c r="I27" s="246"/>
      <c r="J27" s="246"/>
      <c r="K27" s="246"/>
      <c r="L27" s="246"/>
      <c r="M27" s="246"/>
      <c r="N27" s="246"/>
      <c r="O27" s="246"/>
      <c r="P27" s="246"/>
      <c r="Q27" s="243"/>
      <c r="R27" s="333"/>
      <c r="S27"/>
      <c r="T27" s="216"/>
      <c r="U27" s="216"/>
      <c r="V27" s="217"/>
      <c r="W27" s="217"/>
      <c r="X27" s="217"/>
      <c r="Y27" s="217"/>
      <c r="Z27" s="217"/>
      <c r="AA27" s="217"/>
      <c r="AB27" s="217"/>
      <c r="AC27" s="217"/>
      <c r="AD27" s="215"/>
      <c r="AE27" s="215"/>
      <c r="AF27" s="215"/>
      <c r="AG27" s="215"/>
    </row>
    <row r="28" spans="1:33" s="32" customFormat="1" ht="14.25" customHeight="1" x14ac:dyDescent="0.3">
      <c r="A28" s="343"/>
      <c r="B28" s="333"/>
      <c r="C28" s="135"/>
      <c r="D28" s="442" t="s">
        <v>61</v>
      </c>
      <c r="E28" s="93"/>
      <c r="F28" s="93"/>
      <c r="G28" s="93"/>
      <c r="H28" s="93"/>
      <c r="I28" s="93"/>
      <c r="J28" s="93"/>
      <c r="K28" s="93"/>
      <c r="L28" s="93"/>
      <c r="M28" s="93"/>
      <c r="N28" s="93"/>
      <c r="O28" s="93"/>
      <c r="P28" s="93"/>
      <c r="Q28" s="136"/>
      <c r="R28" s="333"/>
      <c r="S28"/>
      <c r="T28" s="130"/>
      <c r="U28" s="130"/>
      <c r="V28" s="128"/>
      <c r="W28" s="128"/>
      <c r="X28" s="128"/>
      <c r="Y28" s="128"/>
      <c r="Z28" s="128"/>
      <c r="AA28" s="128"/>
      <c r="AB28" s="128"/>
      <c r="AC28" s="128"/>
      <c r="AD28" s="126"/>
      <c r="AE28" s="126"/>
      <c r="AF28" s="126"/>
      <c r="AG28" s="126"/>
    </row>
    <row r="29" spans="1:33" s="27" customFormat="1" ht="149.25" customHeight="1" x14ac:dyDescent="0.2">
      <c r="A29" s="343"/>
      <c r="B29" s="333"/>
      <c r="C29" s="137"/>
      <c r="D29" s="684" t="s">
        <v>96</v>
      </c>
      <c r="E29" s="685"/>
      <c r="F29" s="685"/>
      <c r="G29" s="685"/>
      <c r="H29" s="685"/>
      <c r="I29" s="685"/>
      <c r="J29" s="685"/>
      <c r="K29" s="685"/>
      <c r="L29" s="685"/>
      <c r="M29" s="685"/>
      <c r="N29" s="685"/>
      <c r="O29" s="685"/>
      <c r="P29" s="686"/>
      <c r="Q29" s="138"/>
      <c r="R29" s="333"/>
      <c r="S29"/>
      <c r="T29" s="130"/>
      <c r="U29" s="130"/>
      <c r="V29" s="63"/>
      <c r="W29" s="63"/>
      <c r="X29" s="63"/>
      <c r="Y29" s="63"/>
      <c r="Z29" s="63"/>
      <c r="AA29" s="63"/>
      <c r="AB29" s="63"/>
      <c r="AC29" s="63"/>
      <c r="AD29" s="129"/>
      <c r="AE29" s="129"/>
      <c r="AF29" s="129"/>
      <c r="AG29" s="129"/>
    </row>
    <row r="30" spans="1:33" s="32" customFormat="1" ht="14.25" customHeight="1" x14ac:dyDescent="0.2">
      <c r="A30" s="343"/>
      <c r="B30" s="333"/>
      <c r="C30" s="231"/>
      <c r="D30" s="441" t="s">
        <v>57</v>
      </c>
      <c r="E30" s="291" t="s">
        <v>15</v>
      </c>
      <c r="F30" s="291" t="s">
        <v>16</v>
      </c>
      <c r="G30" s="291"/>
      <c r="H30" s="291"/>
      <c r="I30" s="291"/>
      <c r="J30" s="291"/>
      <c r="K30" s="291"/>
      <c r="L30" s="291"/>
      <c r="M30" s="291"/>
      <c r="N30" s="291"/>
      <c r="O30" s="291"/>
      <c r="P30" s="230" t="s">
        <v>0</v>
      </c>
      <c r="Q30" s="136"/>
      <c r="R30" s="333"/>
      <c r="S30"/>
      <c r="T30" s="228"/>
      <c r="U30" s="228"/>
      <c r="V30" s="229"/>
      <c r="W30" s="229"/>
      <c r="X30" s="229"/>
      <c r="Y30" s="229"/>
      <c r="Z30" s="229"/>
      <c r="AA30" s="229"/>
      <c r="AB30" s="229"/>
      <c r="AC30" s="229"/>
      <c r="AD30" s="126"/>
      <c r="AE30" s="126"/>
      <c r="AF30" s="126"/>
      <c r="AG30" s="126"/>
    </row>
    <row r="31" spans="1:33" s="27" customFormat="1" x14ac:dyDescent="0.2">
      <c r="A31" s="343"/>
      <c r="B31" s="333"/>
      <c r="C31" s="137"/>
      <c r="D31" s="603" t="s">
        <v>592</v>
      </c>
      <c r="E31" s="29" t="s">
        <v>222</v>
      </c>
      <c r="F31" s="70">
        <v>1</v>
      </c>
      <c r="G31" s="71">
        <v>2</v>
      </c>
      <c r="H31" s="72">
        <v>3</v>
      </c>
      <c r="I31" s="73">
        <v>4</v>
      </c>
      <c r="J31" s="74">
        <v>5</v>
      </c>
      <c r="K31" s="75">
        <v>6</v>
      </c>
      <c r="L31" s="76">
        <v>7</v>
      </c>
      <c r="M31" s="77">
        <v>8</v>
      </c>
      <c r="N31" s="78">
        <v>9</v>
      </c>
      <c r="O31" s="79">
        <v>10</v>
      </c>
      <c r="P31" s="22"/>
      <c r="Q31" s="138"/>
      <c r="R31" s="333"/>
      <c r="S31" s="132">
        <f>VLOOKUP($E31,R.VL_DEQResourcesInvolved,2,FALSE)</f>
        <v>4</v>
      </c>
      <c r="T31" s="120">
        <f>VLOOKUP($E31,R.VL_DEQResourcesInvolved,3,FALSE)</f>
        <v>80</v>
      </c>
      <c r="U31" s="120">
        <f>IF(S31=10,T31,VLOOKUP($E31,R.VL_DEQResourcesInvolved,4,FALSE))</f>
        <v>170</v>
      </c>
      <c r="V31" s="574" t="s">
        <v>575</v>
      </c>
      <c r="W31" s="63"/>
      <c r="X31" s="63"/>
      <c r="Y31" s="63"/>
      <c r="Z31" s="63"/>
      <c r="AA31" s="63"/>
      <c r="AB31" s="63"/>
      <c r="AC31" s="63"/>
      <c r="AD31" s="129"/>
      <c r="AE31" s="129"/>
      <c r="AF31" s="129"/>
      <c r="AG31" s="129"/>
    </row>
    <row r="32" spans="1:33" s="27" customFormat="1" ht="14.25" customHeight="1" x14ac:dyDescent="0.2">
      <c r="A32" s="343"/>
      <c r="B32" s="333"/>
      <c r="C32" s="137"/>
      <c r="D32" s="295"/>
      <c r="E32" s="690"/>
      <c r="F32" s="690"/>
      <c r="G32" s="690"/>
      <c r="H32" s="690"/>
      <c r="I32" s="690"/>
      <c r="J32" s="690"/>
      <c r="K32" s="690"/>
      <c r="L32" s="690"/>
      <c r="M32" s="690"/>
      <c r="N32" s="690"/>
      <c r="O32" s="690"/>
      <c r="P32" s="690"/>
      <c r="Q32" s="138"/>
      <c r="R32" s="333"/>
      <c r="S32"/>
      <c r="T32" s="130"/>
      <c r="U32" s="130"/>
      <c r="V32" s="63"/>
      <c r="W32" s="63"/>
      <c r="X32" s="63"/>
      <c r="Y32" s="63"/>
      <c r="Z32" s="63"/>
      <c r="AA32" s="63"/>
      <c r="AB32" s="63"/>
      <c r="AC32" s="63"/>
      <c r="AD32" s="129"/>
      <c r="AE32" s="129"/>
      <c r="AF32" s="129"/>
      <c r="AG32" s="129"/>
    </row>
    <row r="33" spans="1:33" s="32" customFormat="1" ht="30" customHeight="1" x14ac:dyDescent="0.3">
      <c r="A33" s="342"/>
      <c r="B33" s="333"/>
      <c r="C33" s="379"/>
      <c r="D33" s="512" t="s">
        <v>209</v>
      </c>
      <c r="E33" s="381"/>
      <c r="F33" s="382"/>
      <c r="G33" s="382"/>
      <c r="H33" s="382"/>
      <c r="I33" s="382"/>
      <c r="J33" s="382"/>
      <c r="K33" s="382"/>
      <c r="L33" s="382"/>
      <c r="M33" s="382"/>
      <c r="N33" s="382"/>
      <c r="O33" s="382"/>
      <c r="P33" s="381"/>
      <c r="Q33" s="383"/>
      <c r="R33" s="333"/>
      <c r="S33"/>
      <c r="T33" s="130"/>
      <c r="U33" s="130"/>
      <c r="V33" s="128"/>
      <c r="W33" s="128"/>
      <c r="X33" s="128"/>
      <c r="Y33" s="128"/>
      <c r="Z33" s="128"/>
      <c r="AA33" s="128"/>
      <c r="AB33" s="128"/>
      <c r="AC33" s="128"/>
      <c r="AD33" s="126"/>
      <c r="AE33" s="126"/>
      <c r="AF33" s="126"/>
      <c r="AG33" s="126"/>
    </row>
    <row r="34" spans="1:33" s="32" customFormat="1" ht="14.25" customHeight="1" x14ac:dyDescent="0.3">
      <c r="A34" s="343"/>
      <c r="B34" s="333"/>
      <c r="C34" s="135"/>
      <c r="D34" s="442" t="s">
        <v>61</v>
      </c>
      <c r="E34" s="93"/>
      <c r="F34" s="93"/>
      <c r="G34" s="93"/>
      <c r="H34" s="93"/>
      <c r="I34" s="93"/>
      <c r="J34" s="93"/>
      <c r="K34" s="93"/>
      <c r="L34" s="93"/>
      <c r="M34" s="93"/>
      <c r="N34" s="93"/>
      <c r="O34" s="93"/>
      <c r="P34" s="93"/>
      <c r="Q34" s="136"/>
      <c r="R34" s="333"/>
      <c r="S34"/>
      <c r="T34" s="130"/>
      <c r="U34" s="130"/>
      <c r="V34" s="128"/>
      <c r="W34" s="128"/>
      <c r="X34" s="128"/>
      <c r="Y34" s="128"/>
      <c r="Z34" s="128"/>
      <c r="AA34" s="128"/>
      <c r="AB34" s="128"/>
      <c r="AC34" s="128"/>
      <c r="AD34" s="126"/>
      <c r="AE34" s="126"/>
      <c r="AF34" s="126"/>
      <c r="AG34" s="126"/>
    </row>
    <row r="35" spans="1:33" s="27" customFormat="1" ht="75.75" customHeight="1" x14ac:dyDescent="0.2">
      <c r="A35" s="343"/>
      <c r="B35" s="333"/>
      <c r="C35" s="137"/>
      <c r="D35" s="687" t="s">
        <v>97</v>
      </c>
      <c r="E35" s="688"/>
      <c r="F35" s="688"/>
      <c r="G35" s="688"/>
      <c r="H35" s="688"/>
      <c r="I35" s="688"/>
      <c r="J35" s="688"/>
      <c r="K35" s="688"/>
      <c r="L35" s="688"/>
      <c r="M35" s="688"/>
      <c r="N35" s="688"/>
      <c r="O35" s="688"/>
      <c r="P35" s="689"/>
      <c r="Q35" s="138"/>
      <c r="R35" s="333"/>
      <c r="S35"/>
      <c r="T35" s="130"/>
      <c r="U35" s="130"/>
      <c r="V35" s="63"/>
      <c r="W35" s="63"/>
      <c r="X35" s="63"/>
      <c r="Y35" s="63"/>
      <c r="Z35" s="63"/>
      <c r="AA35" s="63"/>
      <c r="AB35" s="63"/>
      <c r="AC35" s="63"/>
      <c r="AD35" s="129"/>
      <c r="AE35" s="129"/>
      <c r="AF35" s="129"/>
      <c r="AG35" s="129"/>
    </row>
    <row r="36" spans="1:33" s="32" customFormat="1" ht="14.25" customHeight="1" x14ac:dyDescent="0.2">
      <c r="A36" s="343"/>
      <c r="B36" s="333"/>
      <c r="C36" s="231"/>
      <c r="D36" s="441" t="s">
        <v>57</v>
      </c>
      <c r="E36" s="291" t="s">
        <v>15</v>
      </c>
      <c r="F36" s="291" t="s">
        <v>16</v>
      </c>
      <c r="G36" s="291"/>
      <c r="H36" s="291"/>
      <c r="I36" s="291"/>
      <c r="J36" s="291"/>
      <c r="K36" s="291"/>
      <c r="L36" s="291"/>
      <c r="M36" s="291"/>
      <c r="N36" s="291"/>
      <c r="O36" s="291"/>
      <c r="P36" s="230" t="s">
        <v>0</v>
      </c>
      <c r="Q36" s="136"/>
      <c r="R36" s="333"/>
      <c r="S36"/>
      <c r="T36" s="228"/>
      <c r="U36" s="228"/>
      <c r="V36" s="229"/>
      <c r="W36" s="229"/>
      <c r="X36" s="229"/>
      <c r="Y36" s="229"/>
      <c r="Z36" s="229"/>
      <c r="AA36" s="229"/>
      <c r="AB36" s="229"/>
      <c r="AC36" s="229"/>
      <c r="AD36" s="126"/>
      <c r="AE36" s="126"/>
      <c r="AF36" s="126"/>
      <c r="AG36" s="126"/>
    </row>
    <row r="37" spans="1:33" s="27" customFormat="1" ht="15.75" customHeight="1" x14ac:dyDescent="0.2">
      <c r="A37" s="343"/>
      <c r="B37" s="333"/>
      <c r="C37" s="137"/>
      <c r="D37" s="491" t="s">
        <v>211</v>
      </c>
      <c r="E37" s="29" t="s">
        <v>217</v>
      </c>
      <c r="F37" s="70">
        <v>1</v>
      </c>
      <c r="G37" s="71">
        <v>2</v>
      </c>
      <c r="H37" s="72">
        <v>3</v>
      </c>
      <c r="I37" s="73">
        <v>4</v>
      </c>
      <c r="J37" s="74">
        <v>5</v>
      </c>
      <c r="K37" s="75">
        <v>6</v>
      </c>
      <c r="L37" s="76">
        <v>7</v>
      </c>
      <c r="M37" s="77">
        <v>8</v>
      </c>
      <c r="N37" s="78">
        <v>9</v>
      </c>
      <c r="O37" s="79">
        <v>10</v>
      </c>
      <c r="P37" s="52"/>
      <c r="Q37" s="138"/>
      <c r="R37" s="333"/>
      <c r="S37" s="132">
        <f>VLOOKUP($E37,R.VL_DEQResourcesInvolved,2,FALSE)</f>
        <v>0</v>
      </c>
      <c r="T37" s="120">
        <f>VLOOKUP($E37,R.VL_DEQResourcesInvolved,3,FALSE)</f>
        <v>0</v>
      </c>
      <c r="U37" s="120">
        <f>IF(S37=10,T37,VLOOKUP($E37,R.VL_DEQResourcesInvolved,4,FALSE))</f>
        <v>0</v>
      </c>
      <c r="V37" s="574" t="s">
        <v>575</v>
      </c>
      <c r="W37" s="63"/>
      <c r="X37" s="63"/>
      <c r="Y37" s="63"/>
      <c r="Z37" s="63"/>
      <c r="AA37" s="63"/>
      <c r="AB37" s="63"/>
      <c r="AC37" s="63"/>
      <c r="AD37" s="129"/>
      <c r="AE37" s="129"/>
      <c r="AF37" s="129"/>
      <c r="AG37" s="129"/>
    </row>
    <row r="38" spans="1:33" s="27" customFormat="1" ht="14.25" customHeight="1" x14ac:dyDescent="0.2">
      <c r="A38" s="343"/>
      <c r="B38" s="333"/>
      <c r="C38" s="375"/>
      <c r="D38" s="376"/>
      <c r="E38" s="377"/>
      <c r="F38" s="377"/>
      <c r="G38" s="377"/>
      <c r="H38" s="377"/>
      <c r="I38" s="377"/>
      <c r="J38" s="377"/>
      <c r="K38" s="377"/>
      <c r="L38" s="377"/>
      <c r="M38" s="377"/>
      <c r="N38" s="377"/>
      <c r="O38" s="377"/>
      <c r="P38" s="377"/>
      <c r="Q38" s="378"/>
      <c r="R38" s="333"/>
      <c r="S38"/>
      <c r="T38" s="133"/>
      <c r="U38" s="133"/>
      <c r="V38" s="63"/>
      <c r="W38" s="63"/>
      <c r="X38" s="63"/>
      <c r="Y38" s="63"/>
      <c r="Z38" s="63"/>
      <c r="AA38" s="63"/>
      <c r="AB38" s="63"/>
      <c r="AC38" s="63"/>
      <c r="AD38" s="129"/>
      <c r="AE38" s="129"/>
      <c r="AF38" s="129"/>
      <c r="AG38" s="129"/>
    </row>
    <row r="39" spans="1:33" s="32" customFormat="1" ht="30" customHeight="1" x14ac:dyDescent="0.3">
      <c r="A39" s="342"/>
      <c r="B39" s="333"/>
      <c r="C39" s="135"/>
      <c r="D39" s="520" t="s">
        <v>197</v>
      </c>
      <c r="E39" s="93"/>
      <c r="F39" s="52"/>
      <c r="G39" s="52"/>
      <c r="H39" s="52"/>
      <c r="I39" s="52"/>
      <c r="J39" s="52"/>
      <c r="K39" s="52"/>
      <c r="L39" s="52"/>
      <c r="M39" s="52"/>
      <c r="N39" s="52"/>
      <c r="O39" s="52"/>
      <c r="P39" s="93"/>
      <c r="Q39" s="136"/>
      <c r="R39" s="333"/>
      <c r="S39"/>
      <c r="T39" s="130"/>
      <c r="U39" s="130"/>
      <c r="V39" s="128"/>
      <c r="W39" s="128"/>
      <c r="X39" s="128"/>
      <c r="Y39" s="128"/>
      <c r="Z39" s="128"/>
      <c r="AA39" s="128"/>
      <c r="AB39" s="128"/>
      <c r="AC39" s="128"/>
      <c r="AD39" s="126"/>
      <c r="AE39" s="126"/>
      <c r="AF39" s="126"/>
      <c r="AG39" s="126"/>
    </row>
    <row r="40" spans="1:33" s="32" customFormat="1" ht="14.25" customHeight="1" x14ac:dyDescent="0.3">
      <c r="A40" s="343"/>
      <c r="B40" s="333"/>
      <c r="C40" s="135"/>
      <c r="D40" s="442" t="s">
        <v>61</v>
      </c>
      <c r="E40" s="93"/>
      <c r="F40" s="93"/>
      <c r="G40" s="93"/>
      <c r="H40" s="93"/>
      <c r="I40" s="93"/>
      <c r="J40" s="93"/>
      <c r="K40" s="93"/>
      <c r="L40" s="93"/>
      <c r="M40" s="93"/>
      <c r="N40" s="93"/>
      <c r="O40" s="93"/>
      <c r="P40" s="93"/>
      <c r="Q40" s="136"/>
      <c r="R40" s="333"/>
      <c r="S40"/>
      <c r="T40" s="130"/>
      <c r="U40" s="130"/>
      <c r="V40" s="128"/>
      <c r="W40" s="128"/>
      <c r="X40" s="128"/>
      <c r="Y40" s="128"/>
      <c r="Z40" s="128"/>
      <c r="AA40" s="128"/>
      <c r="AB40" s="128"/>
      <c r="AC40" s="128"/>
      <c r="AD40" s="126"/>
      <c r="AE40" s="126"/>
      <c r="AF40" s="126"/>
      <c r="AG40" s="126"/>
    </row>
    <row r="41" spans="1:33" s="27" customFormat="1" ht="15.75" customHeight="1" x14ac:dyDescent="0.2">
      <c r="A41" s="343"/>
      <c r="B41" s="333"/>
      <c r="C41" s="137"/>
      <c r="D41" s="691" t="s">
        <v>594</v>
      </c>
      <c r="E41" s="692"/>
      <c r="F41" s="692"/>
      <c r="G41" s="692"/>
      <c r="H41" s="692"/>
      <c r="I41" s="692"/>
      <c r="J41" s="692"/>
      <c r="K41" s="692"/>
      <c r="L41" s="692"/>
      <c r="M41" s="692"/>
      <c r="N41" s="692"/>
      <c r="O41" s="692"/>
      <c r="P41" s="693"/>
      <c r="Q41" s="138"/>
      <c r="R41" s="333"/>
      <c r="S41"/>
      <c r="T41" s="130"/>
      <c r="U41" s="130"/>
      <c r="V41" s="63"/>
      <c r="W41" s="63"/>
      <c r="X41" s="63"/>
      <c r="Y41" s="63"/>
      <c r="Z41" s="63"/>
      <c r="AA41" s="63"/>
      <c r="AB41" s="63"/>
      <c r="AC41" s="63"/>
      <c r="AD41" s="129"/>
      <c r="AE41" s="129"/>
      <c r="AF41" s="129"/>
      <c r="AG41" s="129"/>
    </row>
    <row r="42" spans="1:33" s="32" customFormat="1" ht="14.25" x14ac:dyDescent="0.2">
      <c r="A42" s="343"/>
      <c r="B42" s="333"/>
      <c r="C42" s="231"/>
      <c r="D42" s="441" t="s">
        <v>57</v>
      </c>
      <c r="E42" s="291" t="s">
        <v>15</v>
      </c>
      <c r="F42" s="291" t="s">
        <v>16</v>
      </c>
      <c r="G42" s="291"/>
      <c r="H42" s="291"/>
      <c r="I42" s="291"/>
      <c r="J42" s="291"/>
      <c r="K42" s="291"/>
      <c r="L42" s="291"/>
      <c r="M42" s="291"/>
      <c r="N42" s="291"/>
      <c r="O42" s="291"/>
      <c r="P42" s="230" t="s">
        <v>0</v>
      </c>
      <c r="Q42" s="136"/>
      <c r="R42" s="333"/>
      <c r="S42"/>
      <c r="T42" s="228"/>
      <c r="U42" s="228"/>
      <c r="V42" s="229"/>
      <c r="W42" s="229"/>
      <c r="X42" s="229"/>
      <c r="Y42" s="229"/>
      <c r="Z42" s="229"/>
      <c r="AA42" s="229"/>
      <c r="AB42" s="229"/>
      <c r="AC42" s="229"/>
      <c r="AD42" s="126"/>
      <c r="AE42" s="126"/>
      <c r="AF42" s="126"/>
      <c r="AG42" s="126"/>
    </row>
    <row r="43" spans="1:33" s="27" customFormat="1" ht="15.75" customHeight="1" x14ac:dyDescent="0.2">
      <c r="A43" s="343"/>
      <c r="B43" s="333"/>
      <c r="C43" s="137"/>
      <c r="D43" s="603" t="s">
        <v>593</v>
      </c>
      <c r="E43" s="29" t="s">
        <v>223</v>
      </c>
      <c r="F43" s="70">
        <v>1</v>
      </c>
      <c r="G43" s="71">
        <v>2</v>
      </c>
      <c r="H43" s="72">
        <v>3</v>
      </c>
      <c r="I43" s="73">
        <v>4</v>
      </c>
      <c r="J43" s="74">
        <v>5</v>
      </c>
      <c r="K43" s="75">
        <v>6</v>
      </c>
      <c r="L43" s="76">
        <v>7</v>
      </c>
      <c r="M43" s="77">
        <v>8</v>
      </c>
      <c r="N43" s="78">
        <v>9</v>
      </c>
      <c r="O43" s="79">
        <v>10</v>
      </c>
      <c r="P43" s="52"/>
      <c r="Q43" s="138"/>
      <c r="R43" s="333"/>
      <c r="S43" s="132">
        <f>VLOOKUP($E43,R.VL_DEQResourcesInvolved,2,FALSE)</f>
        <v>5</v>
      </c>
      <c r="T43" s="120">
        <f>VLOOKUP($E43,R.VL_DEQResourcesInvolved,3,FALSE)</f>
        <v>170</v>
      </c>
      <c r="U43" s="120">
        <f>IF(S43=10,T43,VLOOKUP($E43,R.VL_DEQResourcesInvolved,4,FALSE))</f>
        <v>340</v>
      </c>
      <c r="V43" s="574" t="s">
        <v>575</v>
      </c>
      <c r="W43" s="63"/>
      <c r="X43" s="63"/>
      <c r="Y43" s="63"/>
      <c r="Z43" s="63"/>
      <c r="AA43" s="63"/>
      <c r="AB43" s="63"/>
      <c r="AC43" s="63"/>
      <c r="AD43" s="129"/>
      <c r="AE43" s="129"/>
      <c r="AF43" s="129"/>
      <c r="AG43" s="129"/>
    </row>
    <row r="44" spans="1:33" s="27" customFormat="1" ht="8.25" customHeight="1" x14ac:dyDescent="0.2">
      <c r="A44" s="343"/>
      <c r="B44" s="333"/>
      <c r="C44" s="388"/>
      <c r="D44" s="377"/>
      <c r="E44" s="377"/>
      <c r="F44" s="377"/>
      <c r="G44" s="377"/>
      <c r="H44" s="377"/>
      <c r="I44" s="377"/>
      <c r="J44" s="377"/>
      <c r="K44" s="377"/>
      <c r="L44" s="377"/>
      <c r="M44" s="377"/>
      <c r="N44" s="377"/>
      <c r="O44" s="377"/>
      <c r="P44" s="377"/>
      <c r="Q44" s="390"/>
      <c r="R44" s="333"/>
      <c r="S44"/>
      <c r="T44" s="133"/>
      <c r="U44" s="133"/>
      <c r="V44" s="63"/>
      <c r="W44" s="63"/>
      <c r="X44" s="63"/>
      <c r="Y44" s="63"/>
      <c r="Z44" s="63"/>
      <c r="AA44" s="63"/>
      <c r="AB44" s="63"/>
      <c r="AC44" s="63"/>
      <c r="AD44" s="129"/>
      <c r="AE44" s="129"/>
      <c r="AF44" s="129"/>
      <c r="AG44" s="129"/>
    </row>
    <row r="45" spans="1:33" s="32" customFormat="1" ht="30" customHeight="1" x14ac:dyDescent="0.3">
      <c r="A45" s="343"/>
      <c r="B45" s="333"/>
      <c r="C45" s="135"/>
      <c r="D45" s="520" t="s">
        <v>198</v>
      </c>
      <c r="E45" s="93"/>
      <c r="F45" s="52"/>
      <c r="G45" s="52"/>
      <c r="H45" s="52"/>
      <c r="I45" s="52"/>
      <c r="J45" s="52"/>
      <c r="K45" s="52"/>
      <c r="L45" s="52"/>
      <c r="M45" s="52"/>
      <c r="N45" s="52"/>
      <c r="O45" s="52"/>
      <c r="P45" s="93"/>
      <c r="Q45" s="136"/>
      <c r="R45" s="333"/>
      <c r="S45"/>
      <c r="T45" s="130"/>
      <c r="U45" s="130"/>
      <c r="V45" s="128"/>
      <c r="W45" s="128"/>
      <c r="X45" s="128"/>
      <c r="Y45" s="128"/>
      <c r="Z45" s="128"/>
      <c r="AA45" s="128"/>
      <c r="AB45" s="128"/>
      <c r="AC45" s="128"/>
      <c r="AD45" s="126"/>
      <c r="AE45" s="126"/>
      <c r="AF45" s="126"/>
      <c r="AG45" s="126"/>
    </row>
    <row r="46" spans="1:33" s="202" customFormat="1" ht="14.25" customHeight="1" x14ac:dyDescent="0.3">
      <c r="A46" s="343"/>
      <c r="B46" s="333"/>
      <c r="C46" s="135"/>
      <c r="D46" s="442" t="s">
        <v>61</v>
      </c>
      <c r="E46" s="93"/>
      <c r="F46" s="93"/>
      <c r="G46" s="93"/>
      <c r="H46" s="93"/>
      <c r="I46" s="93"/>
      <c r="J46" s="93"/>
      <c r="K46" s="93"/>
      <c r="L46" s="93"/>
      <c r="M46" s="93"/>
      <c r="N46" s="93"/>
      <c r="O46" s="93"/>
      <c r="P46" s="93"/>
      <c r="Q46" s="136"/>
      <c r="R46" s="333"/>
      <c r="S46"/>
      <c r="T46" s="204"/>
      <c r="U46" s="204"/>
      <c r="V46" s="201"/>
      <c r="W46" s="201"/>
      <c r="X46" s="201"/>
      <c r="Y46" s="201"/>
      <c r="Z46" s="201"/>
      <c r="AA46" s="201"/>
      <c r="AB46" s="201"/>
      <c r="AC46" s="201"/>
      <c r="AD46" s="187"/>
      <c r="AE46" s="187"/>
      <c r="AF46" s="187"/>
      <c r="AG46" s="187"/>
    </row>
    <row r="47" spans="1:33" s="27" customFormat="1" ht="15.75" customHeight="1" x14ac:dyDescent="0.2">
      <c r="A47" s="343"/>
      <c r="B47" s="333"/>
      <c r="C47" s="137"/>
      <c r="D47" s="694"/>
      <c r="E47" s="695"/>
      <c r="F47" s="695"/>
      <c r="G47" s="695"/>
      <c r="H47" s="695"/>
      <c r="I47" s="695"/>
      <c r="J47" s="695"/>
      <c r="K47" s="695"/>
      <c r="L47" s="695"/>
      <c r="M47" s="695"/>
      <c r="N47" s="695"/>
      <c r="O47" s="695"/>
      <c r="P47" s="696"/>
      <c r="Q47" s="138"/>
      <c r="R47" s="333"/>
      <c r="S47"/>
      <c r="T47" s="130"/>
      <c r="U47" s="130"/>
      <c r="V47" s="63"/>
      <c r="W47" s="63"/>
      <c r="X47" s="63"/>
      <c r="Y47" s="63"/>
      <c r="Z47" s="63"/>
      <c r="AA47" s="63"/>
      <c r="AB47" s="63"/>
      <c r="AC47" s="63"/>
      <c r="AD47" s="129"/>
      <c r="AE47" s="129"/>
      <c r="AF47" s="129"/>
      <c r="AG47" s="129"/>
    </row>
    <row r="48" spans="1:33" s="32" customFormat="1" ht="14.25" customHeight="1" x14ac:dyDescent="0.2">
      <c r="A48" s="343"/>
      <c r="B48" s="333"/>
      <c r="C48" s="231"/>
      <c r="D48" s="441" t="s">
        <v>57</v>
      </c>
      <c r="E48" s="291" t="s">
        <v>15</v>
      </c>
      <c r="F48" s="291" t="s">
        <v>16</v>
      </c>
      <c r="G48" s="291"/>
      <c r="H48" s="291"/>
      <c r="I48" s="291"/>
      <c r="J48" s="291"/>
      <c r="K48" s="291"/>
      <c r="L48" s="291"/>
      <c r="M48" s="291"/>
      <c r="N48" s="291"/>
      <c r="O48" s="291"/>
      <c r="P48" s="230" t="s">
        <v>0</v>
      </c>
      <c r="Q48" s="136"/>
      <c r="R48" s="333"/>
      <c r="S48"/>
      <c r="T48" s="228"/>
      <c r="U48" s="228"/>
      <c r="V48" s="229"/>
      <c r="W48" s="229"/>
      <c r="X48" s="229"/>
      <c r="Y48" s="229"/>
      <c r="Z48" s="229"/>
      <c r="AA48" s="229"/>
      <c r="AB48" s="229"/>
      <c r="AC48" s="229"/>
      <c r="AD48" s="126"/>
      <c r="AE48" s="126"/>
      <c r="AF48" s="126"/>
      <c r="AG48" s="126"/>
    </row>
    <row r="49" spans="1:33" s="27" customFormat="1" ht="15.75" customHeight="1" x14ac:dyDescent="0.2">
      <c r="A49" s="343"/>
      <c r="B49" s="333"/>
      <c r="C49" s="137"/>
      <c r="D49" s="447" t="s">
        <v>213</v>
      </c>
      <c r="E49" s="29" t="s">
        <v>217</v>
      </c>
      <c r="F49" s="70">
        <v>1</v>
      </c>
      <c r="G49" s="71">
        <v>2</v>
      </c>
      <c r="H49" s="72">
        <v>3</v>
      </c>
      <c r="I49" s="73">
        <v>4</v>
      </c>
      <c r="J49" s="74">
        <v>5</v>
      </c>
      <c r="K49" s="75">
        <v>6</v>
      </c>
      <c r="L49" s="76">
        <v>7</v>
      </c>
      <c r="M49" s="77">
        <v>8</v>
      </c>
      <c r="N49" s="78">
        <v>9</v>
      </c>
      <c r="O49" s="79">
        <v>10</v>
      </c>
      <c r="P49" s="52"/>
      <c r="Q49" s="138"/>
      <c r="R49" s="333"/>
      <c r="S49" s="134">
        <f>VLOOKUP($E49,R.VL_DEQResourcesInvolved,2,FALSE)</f>
        <v>0</v>
      </c>
      <c r="T49" s="120">
        <f>VLOOKUP($E49,R.VL_DEQResourcesInvolved,3,FALSE)</f>
        <v>0</v>
      </c>
      <c r="U49" s="120">
        <f>IF(S49=10,T49,VLOOKUP($E49,R.VL_DEQResourcesInvolved,4,FALSE))</f>
        <v>0</v>
      </c>
      <c r="V49" s="574" t="s">
        <v>575</v>
      </c>
      <c r="W49" s="63"/>
      <c r="X49" s="63"/>
      <c r="Y49" s="63"/>
      <c r="Z49" s="63"/>
      <c r="AA49" s="63"/>
      <c r="AB49" s="63"/>
      <c r="AC49" s="63"/>
      <c r="AD49" s="129"/>
      <c r="AE49" s="129"/>
      <c r="AF49" s="129"/>
      <c r="AG49" s="129"/>
    </row>
    <row r="50" spans="1:33" s="27" customFormat="1" ht="14.25" customHeight="1" x14ac:dyDescent="0.2">
      <c r="A50" s="343"/>
      <c r="B50" s="333"/>
      <c r="C50" s="375"/>
      <c r="D50" s="376"/>
      <c r="E50" s="377"/>
      <c r="F50" s="377"/>
      <c r="G50" s="377"/>
      <c r="H50" s="377"/>
      <c r="I50" s="377"/>
      <c r="J50" s="377"/>
      <c r="K50" s="377"/>
      <c r="L50" s="377"/>
      <c r="M50" s="377"/>
      <c r="N50" s="377"/>
      <c r="O50" s="377"/>
      <c r="P50" s="377"/>
      <c r="Q50" s="378"/>
      <c r="R50" s="333"/>
      <c r="S50"/>
      <c r="T50" s="130"/>
      <c r="U50" s="130"/>
      <c r="V50" s="63"/>
      <c r="W50" s="63"/>
      <c r="X50" s="63"/>
      <c r="Y50" s="63"/>
      <c r="Z50" s="63"/>
      <c r="AA50" s="63"/>
      <c r="AB50" s="63"/>
      <c r="AC50" s="63"/>
      <c r="AD50" s="129"/>
      <c r="AE50" s="129"/>
      <c r="AF50" s="129"/>
      <c r="AG50" s="129"/>
    </row>
    <row r="51" spans="1:33" s="28" customFormat="1" ht="30" customHeight="1" x14ac:dyDescent="0.3">
      <c r="A51" s="343"/>
      <c r="B51" s="333"/>
      <c r="C51" s="145"/>
      <c r="D51" s="642" t="str">
        <f>"Please suggest process improvements to the "&amp;D2&amp;" worksheet."</f>
        <v>Please suggest process improvements to the Core Team worksheet.</v>
      </c>
      <c r="E51" s="642"/>
      <c r="F51" s="499"/>
      <c r="G51" s="469"/>
      <c r="H51" s="470"/>
      <c r="I51" s="471"/>
      <c r="J51" s="472"/>
      <c r="K51" s="473"/>
      <c r="L51" s="474"/>
      <c r="M51" s="475"/>
      <c r="N51" s="476"/>
      <c r="O51" s="477"/>
      <c r="P51" s="38"/>
      <c r="Q51" s="146"/>
      <c r="R51" s="333"/>
      <c r="S51"/>
      <c r="T51" s="130"/>
      <c r="U51" s="130"/>
      <c r="V51" s="63"/>
      <c r="W51" s="63"/>
      <c r="X51" s="63"/>
      <c r="Y51" s="63"/>
      <c r="Z51" s="63"/>
      <c r="AA51" s="63"/>
      <c r="AB51" s="63"/>
      <c r="AC51" s="63"/>
      <c r="AD51" s="64"/>
      <c r="AE51" s="64"/>
      <c r="AF51" s="64"/>
      <c r="AG51" s="64"/>
    </row>
    <row r="52" spans="1:33" s="6" customFormat="1" ht="30.75" customHeight="1" x14ac:dyDescent="0.3">
      <c r="A52" s="343"/>
      <c r="B52" s="333"/>
      <c r="C52" s="135"/>
      <c r="D52" s="639"/>
      <c r="E52" s="640"/>
      <c r="F52" s="640"/>
      <c r="G52" s="640"/>
      <c r="H52" s="640"/>
      <c r="I52" s="640"/>
      <c r="J52" s="640"/>
      <c r="K52" s="640"/>
      <c r="L52" s="640"/>
      <c r="M52" s="640"/>
      <c r="N52" s="640"/>
      <c r="O52" s="640"/>
      <c r="P52" s="641"/>
      <c r="Q52" s="147"/>
      <c r="R52" s="333"/>
      <c r="S52"/>
      <c r="T52" s="130"/>
      <c r="U52" s="130"/>
      <c r="V52" s="63"/>
      <c r="W52" s="63"/>
      <c r="X52" s="63"/>
      <c r="Y52" s="63"/>
      <c r="Z52" s="63"/>
      <c r="AA52" s="63"/>
      <c r="AB52" s="63"/>
      <c r="AC52" s="63"/>
      <c r="AD52" s="65"/>
      <c r="AE52" s="65"/>
      <c r="AF52" s="65"/>
      <c r="AG52" s="65"/>
    </row>
    <row r="53" spans="1:33" ht="18" customHeight="1" x14ac:dyDescent="0.3">
      <c r="A53" s="349" t="s">
        <v>104</v>
      </c>
      <c r="B53" s="333"/>
      <c r="C53" s="148"/>
      <c r="D53" s="149"/>
      <c r="E53" s="149"/>
      <c r="F53" s="149"/>
      <c r="G53" s="149"/>
      <c r="H53" s="149"/>
      <c r="I53" s="149"/>
      <c r="J53" s="149"/>
      <c r="K53" s="149"/>
      <c r="L53" s="149"/>
      <c r="M53" s="149"/>
      <c r="N53" s="149"/>
      <c r="O53" s="149"/>
      <c r="P53" s="149"/>
      <c r="Q53" s="150"/>
      <c r="R53" s="333"/>
      <c r="S53"/>
    </row>
    <row r="54" spans="1:33" s="63" customFormat="1" ht="14.25" customHeight="1" x14ac:dyDescent="0.2">
      <c r="A54" s="336"/>
      <c r="B54" s="333"/>
      <c r="C54" s="333"/>
      <c r="D54" s="333"/>
      <c r="E54" s="333"/>
      <c r="F54" s="333"/>
      <c r="G54" s="333"/>
      <c r="H54" s="333"/>
      <c r="I54" s="333"/>
      <c r="J54" s="333"/>
      <c r="K54" s="333"/>
      <c r="L54" s="333"/>
      <c r="M54" s="333"/>
      <c r="N54" s="333"/>
      <c r="O54" s="333"/>
      <c r="P54" s="333"/>
      <c r="Q54" s="333"/>
      <c r="R54" s="333"/>
      <c r="S54"/>
    </row>
    <row r="55" spans="1:33" s="63" customFormat="1" ht="60" customHeight="1" x14ac:dyDescent="0.3">
      <c r="A55" s="336"/>
      <c r="C55" s="111"/>
      <c r="S55" s="112"/>
    </row>
    <row r="56" spans="1:33" s="63" customFormat="1" ht="60" customHeight="1" x14ac:dyDescent="0.3">
      <c r="A56" s="336"/>
      <c r="C56" s="111"/>
      <c r="S56" s="112"/>
    </row>
    <row r="57" spans="1:33" s="63" customFormat="1" ht="60" customHeight="1" x14ac:dyDescent="0.3">
      <c r="A57" s="336"/>
      <c r="C57" s="111"/>
      <c r="S57" s="112"/>
    </row>
    <row r="58" spans="1:33" s="63" customFormat="1" ht="60" customHeight="1" x14ac:dyDescent="0.3">
      <c r="A58" s="336"/>
      <c r="C58" s="111"/>
      <c r="S58" s="112"/>
    </row>
    <row r="59" spans="1:33" s="63" customFormat="1" ht="60" customHeight="1" x14ac:dyDescent="0.3">
      <c r="A59" s="336"/>
      <c r="C59" s="111"/>
      <c r="S59" s="112"/>
    </row>
    <row r="60" spans="1:33" s="63" customFormat="1" ht="60" customHeight="1" x14ac:dyDescent="0.3">
      <c r="A60" s="336"/>
      <c r="C60" s="111"/>
      <c r="S60" s="112"/>
    </row>
    <row r="61" spans="1:33" s="63" customFormat="1" ht="60" customHeight="1" x14ac:dyDescent="0.3">
      <c r="A61" s="336"/>
      <c r="C61" s="111"/>
      <c r="S61" s="112"/>
    </row>
    <row r="62" spans="1:33" s="63" customFormat="1" ht="60" customHeight="1" x14ac:dyDescent="0.3">
      <c r="A62" s="336"/>
      <c r="C62" s="111"/>
      <c r="S62" s="112"/>
    </row>
    <row r="63" spans="1:33" s="63" customFormat="1" ht="60" customHeight="1" x14ac:dyDescent="0.3">
      <c r="A63" s="336"/>
      <c r="C63" s="111"/>
      <c r="S63" s="112"/>
    </row>
    <row r="64" spans="1:33" s="63" customFormat="1" ht="60" customHeight="1" x14ac:dyDescent="0.3">
      <c r="A64" s="336"/>
      <c r="C64" s="111"/>
      <c r="S64" s="112"/>
    </row>
    <row r="65" spans="1:19" s="63" customFormat="1" ht="60" customHeight="1" x14ac:dyDescent="0.3">
      <c r="A65" s="336"/>
      <c r="C65" s="111"/>
      <c r="S65" s="112"/>
    </row>
    <row r="66" spans="1:19" s="63" customFormat="1" ht="60" customHeight="1" x14ac:dyDescent="0.3">
      <c r="A66" s="336"/>
      <c r="C66" s="111"/>
      <c r="S66" s="112"/>
    </row>
    <row r="67" spans="1:19" s="63" customFormat="1" ht="60" customHeight="1" x14ac:dyDescent="0.3">
      <c r="A67" s="336"/>
      <c r="C67" s="111"/>
      <c r="S67" s="112"/>
    </row>
    <row r="68" spans="1:19" s="63" customFormat="1" ht="60" customHeight="1" x14ac:dyDescent="0.3">
      <c r="A68" s="336"/>
      <c r="C68" s="111"/>
      <c r="S68" s="112"/>
    </row>
    <row r="69" spans="1:19" s="63" customFormat="1" ht="60" customHeight="1" x14ac:dyDescent="0.3">
      <c r="A69" s="336"/>
      <c r="C69" s="111"/>
      <c r="S69" s="112"/>
    </row>
    <row r="70" spans="1:19" s="63" customFormat="1" ht="60" customHeight="1" x14ac:dyDescent="0.3">
      <c r="A70" s="336"/>
      <c r="C70" s="111"/>
      <c r="S70" s="112"/>
    </row>
    <row r="71" spans="1:19" s="63" customFormat="1" ht="60" customHeight="1" x14ac:dyDescent="0.3">
      <c r="A71" s="336"/>
      <c r="C71" s="111"/>
      <c r="S71" s="112"/>
    </row>
    <row r="72" spans="1:19" s="63" customFormat="1" ht="60" customHeight="1" x14ac:dyDescent="0.3">
      <c r="A72" s="336"/>
      <c r="C72" s="111"/>
      <c r="S72" s="112"/>
    </row>
    <row r="73" spans="1:19" s="63" customFormat="1" ht="60" customHeight="1" x14ac:dyDescent="0.3">
      <c r="A73" s="336"/>
      <c r="C73" s="111"/>
      <c r="S73" s="112"/>
    </row>
    <row r="74" spans="1:19" s="63" customFormat="1" ht="60" customHeight="1" x14ac:dyDescent="0.3">
      <c r="A74" s="336"/>
      <c r="C74" s="111"/>
      <c r="S74" s="112"/>
    </row>
    <row r="75" spans="1:19" s="63" customFormat="1" ht="60" customHeight="1" x14ac:dyDescent="0.3">
      <c r="A75" s="336"/>
      <c r="C75" s="111"/>
      <c r="S75" s="112"/>
    </row>
    <row r="76" spans="1:19" s="63" customFormat="1" ht="60" customHeight="1" x14ac:dyDescent="0.3">
      <c r="A76" s="336"/>
      <c r="C76" s="111"/>
      <c r="S76" s="112"/>
    </row>
    <row r="77" spans="1:19" s="63" customFormat="1" ht="60" customHeight="1" x14ac:dyDescent="0.3">
      <c r="A77" s="336"/>
      <c r="C77" s="111"/>
      <c r="S77" s="112"/>
    </row>
    <row r="78" spans="1:19" s="63" customFormat="1" ht="60" customHeight="1" x14ac:dyDescent="0.3">
      <c r="A78" s="336"/>
      <c r="C78" s="111"/>
      <c r="S78" s="112"/>
    </row>
    <row r="79" spans="1:19" s="63" customFormat="1" ht="60" customHeight="1" x14ac:dyDescent="0.3">
      <c r="A79" s="336"/>
      <c r="C79" s="111"/>
      <c r="S79" s="112"/>
    </row>
    <row r="80" spans="1:19" s="63" customFormat="1" ht="60" customHeight="1" x14ac:dyDescent="0.3">
      <c r="A80" s="336"/>
      <c r="C80" s="111"/>
      <c r="S80" s="112"/>
    </row>
    <row r="81" spans="1:19" s="63" customFormat="1" ht="60" customHeight="1" x14ac:dyDescent="0.3">
      <c r="A81" s="336"/>
      <c r="C81" s="111"/>
      <c r="S81" s="112"/>
    </row>
    <row r="82" spans="1:19" s="63" customFormat="1" ht="60" customHeight="1" x14ac:dyDescent="0.3">
      <c r="A82" s="336"/>
      <c r="C82" s="111"/>
      <c r="S82" s="112"/>
    </row>
    <row r="83" spans="1:19" s="63" customFormat="1" ht="60" customHeight="1" x14ac:dyDescent="0.3">
      <c r="A83" s="336"/>
      <c r="C83" s="111"/>
      <c r="S83" s="112"/>
    </row>
    <row r="84" spans="1:19" s="63" customFormat="1" x14ac:dyDescent="0.3">
      <c r="A84" s="336"/>
      <c r="C84" s="111"/>
      <c r="S84" s="112"/>
    </row>
    <row r="85" spans="1:19" s="63" customFormat="1" x14ac:dyDescent="0.3">
      <c r="A85" s="336"/>
      <c r="C85" s="111"/>
      <c r="S85" s="112"/>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G73"/>
  <sheetViews>
    <sheetView showGridLines="0" topLeftCell="A7" zoomScaleNormal="100" workbookViewId="0">
      <selection activeCell="D19" sqref="D19"/>
    </sheetView>
  </sheetViews>
  <sheetFormatPr defaultColWidth="9" defaultRowHeight="20.25" outlineLevelCol="1" x14ac:dyDescent="0.3"/>
  <cols>
    <col min="1" max="1" width="13.75" style="336" customWidth="1"/>
    <col min="2" max="2" width="3.625" customWidth="1"/>
    <col min="3" max="3" width="3.625" style="43" customWidth="1"/>
    <col min="4" max="4" width="40.5" style="101" customWidth="1"/>
    <col min="5" max="5" width="15.75" style="101" customWidth="1"/>
    <col min="6" max="8" width="1.625" style="101" customWidth="1"/>
    <col min="9" max="11" width="1.625" style="433" customWidth="1"/>
    <col min="12" max="15" width="1.625" style="101" customWidth="1"/>
    <col min="16" max="16" width="11.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x14ac:dyDescent="0.2">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x14ac:dyDescent="0.35">
      <c r="A2" s="349" t="s">
        <v>106</v>
      </c>
      <c r="B2" s="333"/>
      <c r="C2" s="331">
        <v>4</v>
      </c>
      <c r="D2" s="330" t="s">
        <v>6</v>
      </c>
      <c r="E2" s="716" t="str">
        <f>R.1MediaAndLongName</f>
        <v>AQ GrantsPassLMP</v>
      </c>
      <c r="F2" s="716"/>
      <c r="G2" s="716"/>
      <c r="H2" s="716"/>
      <c r="I2" s="716"/>
      <c r="J2" s="716"/>
      <c r="K2" s="716"/>
      <c r="L2" s="716"/>
      <c r="M2" s="716"/>
      <c r="N2" s="716"/>
      <c r="O2" s="716"/>
      <c r="P2" s="716"/>
      <c r="Q2" s="153"/>
      <c r="R2" s="333"/>
      <c r="S2" s="118" t="str">
        <f>"R."&amp;$C$2&amp;"StaffCount"</f>
        <v>R.4StaffCount</v>
      </c>
      <c r="T2" s="118" t="str">
        <f>"R."&amp;$C$2&amp;"LowHrs"</f>
        <v>R.4LowHrs</v>
      </c>
      <c r="U2" s="348" t="str">
        <f>"R."&amp;$C$2&amp;"HighHrs"</f>
        <v>R.4HighHrs</v>
      </c>
      <c r="V2" s="119" t="s">
        <v>0</v>
      </c>
      <c r="W2" s="63"/>
      <c r="X2" s="63"/>
      <c r="Y2" s="63"/>
      <c r="Z2" s="63"/>
      <c r="AA2" s="63"/>
      <c r="AB2" s="63"/>
      <c r="AC2" s="63"/>
      <c r="AD2" s="65"/>
      <c r="AE2" s="65"/>
      <c r="AF2" s="65"/>
      <c r="AG2" s="65"/>
    </row>
    <row r="3" spans="1:33" s="6" customFormat="1" ht="20.25" customHeight="1" thickTop="1" x14ac:dyDescent="0.3">
      <c r="A3" s="343"/>
      <c r="B3" s="333"/>
      <c r="C3" s="154"/>
      <c r="D3" s="95"/>
      <c r="E3" s="95"/>
      <c r="F3" s="81"/>
      <c r="G3" s="163"/>
      <c r="H3" s="163"/>
      <c r="I3" s="367"/>
      <c r="J3" s="436"/>
      <c r="K3" s="12"/>
      <c r="L3" s="12"/>
      <c r="M3" s="702" t="s">
        <v>54</v>
      </c>
      <c r="N3" s="702"/>
      <c r="O3" s="702"/>
      <c r="P3" s="702"/>
      <c r="Q3" s="155"/>
      <c r="R3" s="333"/>
      <c r="S3" s="353">
        <f>COUNTIFS(S9:S37,"&gt;0")</f>
        <v>3</v>
      </c>
      <c r="T3" s="354">
        <f>SUM(T9:T37)</f>
        <v>89</v>
      </c>
      <c r="U3" s="354">
        <f>SUM(U9:U37)</f>
        <v>218</v>
      </c>
      <c r="V3" s="119"/>
      <c r="W3" s="63"/>
      <c r="X3" s="63"/>
      <c r="Y3" s="63"/>
      <c r="Z3" s="63"/>
      <c r="AA3" s="63"/>
      <c r="AB3" s="63"/>
      <c r="AC3" s="63"/>
      <c r="AD3" s="65"/>
      <c r="AE3" s="65"/>
      <c r="AF3" s="65"/>
      <c r="AG3" s="65"/>
    </row>
    <row r="4" spans="1:33" s="6" customFormat="1" ht="20.25" customHeight="1" x14ac:dyDescent="0.3">
      <c r="A4" s="343"/>
      <c r="B4" s="333"/>
      <c r="C4" s="154"/>
      <c r="D4" s="493" t="s">
        <v>52</v>
      </c>
      <c r="E4" s="80">
        <f>S3</f>
        <v>3</v>
      </c>
      <c r="F4" s="703" t="s">
        <v>51</v>
      </c>
      <c r="G4" s="703"/>
      <c r="H4" s="703"/>
      <c r="I4" s="703"/>
      <c r="J4" s="703"/>
      <c r="K4" s="703"/>
      <c r="L4" s="703"/>
      <c r="M4" s="704" t="str">
        <f>S4</f>
        <v>89-218</v>
      </c>
      <c r="N4" s="704"/>
      <c r="O4" s="704"/>
      <c r="P4" s="704"/>
      <c r="Q4" s="155"/>
      <c r="R4" s="333"/>
      <c r="S4" s="121" t="str">
        <f>IF(R.4StaffCount=0,"0",IF(R.4LowHrs=0,"0-"&amp;TEXT(R.4HighHrs,"#,###"),TEXT(R.4LowHrs,"#,###")&amp;"-"&amp;TEXT(R.4HighHrs,"#,###")))</f>
        <v>89-218</v>
      </c>
      <c r="T4" s="118" t="str">
        <f>"R."&amp;$C$2&amp;"LowDollars"</f>
        <v>R.4LowDollars</v>
      </c>
      <c r="U4" s="348" t="str">
        <f>"R."&amp;$C$2&amp;"HighDollars"</f>
        <v>R.4HighDollars</v>
      </c>
      <c r="V4" s="119"/>
      <c r="W4" s="63"/>
      <c r="X4" s="63"/>
      <c r="Y4" s="63"/>
      <c r="Z4" s="63"/>
      <c r="AA4" s="63"/>
      <c r="AB4" s="63"/>
      <c r="AC4" s="63"/>
      <c r="AD4" s="65"/>
      <c r="AE4" s="65"/>
      <c r="AF4" s="65"/>
      <c r="AG4" s="65"/>
    </row>
    <row r="5" spans="1:33" s="6" customFormat="1" ht="20.25" customHeight="1" x14ac:dyDescent="0.3">
      <c r="A5" s="343"/>
      <c r="B5" s="333"/>
      <c r="C5" s="154"/>
      <c r="D5" s="493" t="s">
        <v>53</v>
      </c>
      <c r="E5" s="97">
        <f>R.AvgHrDEQCost</f>
        <v>58</v>
      </c>
      <c r="F5" s="703" t="s">
        <v>55</v>
      </c>
      <c r="G5" s="703"/>
      <c r="H5" s="703"/>
      <c r="I5" s="703"/>
      <c r="J5" s="703"/>
      <c r="K5" s="703"/>
      <c r="L5" s="703"/>
      <c r="M5" s="705" t="str">
        <f>S5</f>
        <v>$5,162-12,644</v>
      </c>
      <c r="N5" s="705"/>
      <c r="O5" s="705"/>
      <c r="P5" s="705"/>
      <c r="Q5" s="155"/>
      <c r="R5" s="333"/>
      <c r="S5" s="122" t="str">
        <f>IF(R.4StaffCount=0,"$0",IF(R.4LowDollars=0,"$0-"&amp;TEXT(R.4HighDollars,"#,###"),TEXT(R.4LowDollars,"$#,###")&amp;"-"&amp;TEXT(R.4HighDollars,"#,###")))</f>
        <v>$5,162-12,644</v>
      </c>
      <c r="T5" s="123">
        <f>T3*E5</f>
        <v>5162</v>
      </c>
      <c r="U5" s="123">
        <f>U3*E5</f>
        <v>12644</v>
      </c>
      <c r="V5" s="119"/>
      <c r="W5" s="63"/>
      <c r="X5" s="63"/>
      <c r="Y5" s="63"/>
      <c r="Z5" s="63"/>
      <c r="AA5" s="63"/>
      <c r="AB5" s="63"/>
      <c r="AC5" s="63"/>
      <c r="AD5" s="65"/>
      <c r="AE5" s="65"/>
      <c r="AF5" s="65"/>
      <c r="AG5" s="65"/>
    </row>
    <row r="6" spans="1:33" s="6" customFormat="1" ht="30" customHeight="1" x14ac:dyDescent="0.3">
      <c r="A6" s="343"/>
      <c r="B6" s="333"/>
      <c r="C6" s="154"/>
      <c r="D6" s="500" t="s">
        <v>63</v>
      </c>
      <c r="E6" s="99"/>
      <c r="F6" s="98"/>
      <c r="G6" s="98"/>
      <c r="H6" s="98"/>
      <c r="I6" s="98"/>
      <c r="J6" s="98"/>
      <c r="K6" s="98"/>
      <c r="L6" s="98"/>
      <c r="M6" s="98"/>
      <c r="N6" s="98"/>
      <c r="O6" s="98"/>
      <c r="P6" s="98"/>
      <c r="Q6" s="155"/>
      <c r="R6" s="333"/>
      <c r="S6" s="451" t="s">
        <v>0</v>
      </c>
      <c r="T6" s="65"/>
      <c r="U6" s="65"/>
      <c r="V6" s="119"/>
      <c r="W6" s="63"/>
      <c r="X6" s="63"/>
      <c r="Y6" s="63"/>
      <c r="Z6" s="63"/>
      <c r="AA6" s="63"/>
      <c r="AB6" s="63"/>
      <c r="AC6" s="63"/>
      <c r="AD6" s="65"/>
      <c r="AE6" s="65"/>
      <c r="AF6" s="65"/>
      <c r="AG6" s="65"/>
    </row>
    <row r="7" spans="1:33" s="68" customFormat="1" ht="15.75" customHeight="1" x14ac:dyDescent="0.2">
      <c r="A7" s="344"/>
      <c r="B7" s="333"/>
      <c r="C7" s="156"/>
      <c r="D7" s="697"/>
      <c r="E7" s="698"/>
      <c r="F7" s="698"/>
      <c r="G7" s="698"/>
      <c r="H7" s="698"/>
      <c r="I7" s="698"/>
      <c r="J7" s="698"/>
      <c r="K7" s="698"/>
      <c r="L7" s="698"/>
      <c r="M7" s="698"/>
      <c r="N7" s="698"/>
      <c r="O7" s="698"/>
      <c r="P7" s="699"/>
      <c r="Q7" s="157"/>
      <c r="R7" s="333"/>
      <c r="S7" s="715" t="s">
        <v>0</v>
      </c>
      <c r="T7" s="715"/>
      <c r="U7" s="715"/>
      <c r="V7" s="125"/>
      <c r="W7" s="125" t="s">
        <v>0</v>
      </c>
      <c r="X7" s="125"/>
      <c r="Y7" s="125"/>
      <c r="Z7" s="125"/>
      <c r="AA7" s="125"/>
      <c r="AB7" s="125"/>
      <c r="AC7" s="125"/>
      <c r="AD7" s="124"/>
      <c r="AE7" s="124"/>
      <c r="AF7" s="124"/>
      <c r="AG7" s="124"/>
    </row>
    <row r="8" spans="1:33" s="68" customFormat="1" ht="14.25" x14ac:dyDescent="0.2">
      <c r="A8" s="344"/>
      <c r="B8" s="333"/>
      <c r="C8" s="403"/>
      <c r="D8" s="404"/>
      <c r="E8" s="404"/>
      <c r="F8" s="404"/>
      <c r="G8" s="404"/>
      <c r="H8" s="404"/>
      <c r="I8" s="404"/>
      <c r="J8" s="404"/>
      <c r="K8" s="404"/>
      <c r="L8" s="404"/>
      <c r="M8" s="404"/>
      <c r="N8" s="404"/>
      <c r="O8" s="404"/>
      <c r="P8" s="404"/>
      <c r="Q8" s="405"/>
      <c r="R8" s="333"/>
      <c r="S8" s="124"/>
      <c r="T8" s="124"/>
      <c r="U8" s="124"/>
      <c r="V8" s="125"/>
      <c r="W8" s="125"/>
      <c r="X8" s="125"/>
      <c r="Y8" s="125"/>
      <c r="Z8" s="125"/>
      <c r="AA8" s="125"/>
      <c r="AB8" s="125"/>
      <c r="AC8" s="125"/>
      <c r="AD8" s="124"/>
      <c r="AE8" s="124"/>
      <c r="AF8" s="124"/>
      <c r="AG8" s="124"/>
    </row>
    <row r="9" spans="1:33" s="32" customFormat="1" ht="30" customHeight="1" x14ac:dyDescent="0.3">
      <c r="A9" s="349" t="s">
        <v>107</v>
      </c>
      <c r="B9" s="333"/>
      <c r="C9" s="406"/>
      <c r="D9" s="407" t="s">
        <v>199</v>
      </c>
      <c r="E9" s="408"/>
      <c r="F9" s="110"/>
      <c r="G9" s="110"/>
      <c r="H9" s="110"/>
      <c r="I9" s="434"/>
      <c r="J9" s="434"/>
      <c r="K9" s="434"/>
      <c r="L9" s="110"/>
      <c r="M9" s="110"/>
      <c r="N9" s="110"/>
      <c r="O9" s="110"/>
      <c r="P9" s="115"/>
      <c r="Q9" s="426"/>
      <c r="R9" s="333"/>
      <c r="S9" s="133"/>
      <c r="T9" s="130"/>
      <c r="U9" s="130"/>
      <c r="V9" s="128"/>
      <c r="W9" s="128"/>
      <c r="X9" s="128"/>
      <c r="Y9" s="128"/>
      <c r="Z9" s="128"/>
      <c r="AA9" s="128"/>
      <c r="AB9" s="128"/>
      <c r="AC9" s="128"/>
      <c r="AD9" s="126"/>
      <c r="AE9" s="126"/>
      <c r="AF9" s="126"/>
      <c r="AG9" s="126"/>
    </row>
    <row r="10" spans="1:33" s="32" customFormat="1" x14ac:dyDescent="0.3">
      <c r="A10" s="343"/>
      <c r="B10" s="333"/>
      <c r="C10" s="406"/>
      <c r="D10" s="501" t="s">
        <v>61</v>
      </c>
      <c r="E10" s="115"/>
      <c r="F10" s="115"/>
      <c r="G10" s="115"/>
      <c r="H10" s="115"/>
      <c r="I10" s="93"/>
      <c r="J10" s="93"/>
      <c r="K10" s="93"/>
      <c r="L10" s="115"/>
      <c r="M10" s="115"/>
      <c r="N10" s="115"/>
      <c r="O10" s="115"/>
      <c r="P10" s="115"/>
      <c r="Q10" s="426"/>
      <c r="R10" s="333"/>
      <c r="S10" s="133"/>
      <c r="T10" s="130"/>
      <c r="U10" s="130"/>
      <c r="V10" s="128"/>
      <c r="W10" s="128"/>
      <c r="X10" s="128"/>
      <c r="Y10" s="128"/>
      <c r="Z10" s="128"/>
      <c r="AA10" s="128"/>
      <c r="AB10" s="128"/>
      <c r="AC10" s="128"/>
      <c r="AD10" s="126"/>
      <c r="AE10" s="126"/>
      <c r="AF10" s="126"/>
      <c r="AG10" s="126"/>
    </row>
    <row r="11" spans="1:33" s="27" customFormat="1" ht="33.75" customHeight="1" x14ac:dyDescent="0.2">
      <c r="A11" s="344"/>
      <c r="B11" s="333"/>
      <c r="C11" s="409"/>
      <c r="D11" s="709" t="s">
        <v>66</v>
      </c>
      <c r="E11" s="710"/>
      <c r="F11" s="710"/>
      <c r="G11" s="710"/>
      <c r="H11" s="710"/>
      <c r="I11" s="710"/>
      <c r="J11" s="710"/>
      <c r="K11" s="710"/>
      <c r="L11" s="710"/>
      <c r="M11" s="710"/>
      <c r="N11" s="710"/>
      <c r="O11" s="710"/>
      <c r="P11" s="711"/>
      <c r="Q11" s="427"/>
      <c r="R11" s="333"/>
      <c r="S11" s="131" t="s">
        <v>0</v>
      </c>
      <c r="T11" s="130"/>
      <c r="U11" s="130"/>
      <c r="V11" s="63"/>
      <c r="W11" s="63"/>
      <c r="X11" s="63"/>
      <c r="Y11" s="63"/>
      <c r="Z11" s="63"/>
      <c r="AA11" s="63"/>
      <c r="AB11" s="63"/>
      <c r="AC11" s="63"/>
      <c r="AD11" s="129"/>
      <c r="AE11" s="129"/>
      <c r="AF11" s="129"/>
      <c r="AG11" s="129"/>
    </row>
    <row r="12" spans="1:33" s="32" customFormat="1" ht="14.25" x14ac:dyDescent="0.2">
      <c r="A12" s="343"/>
      <c r="B12" s="333"/>
      <c r="C12" s="410"/>
      <c r="D12" s="502" t="s">
        <v>57</v>
      </c>
      <c r="E12" s="411" t="s">
        <v>15</v>
      </c>
      <c r="F12" s="411" t="s">
        <v>16</v>
      </c>
      <c r="G12" s="411"/>
      <c r="H12" s="411"/>
      <c r="I12" s="291"/>
      <c r="J12" s="291"/>
      <c r="K12" s="291"/>
      <c r="L12" s="411"/>
      <c r="M12" s="411"/>
      <c r="N12" s="411"/>
      <c r="O12" s="411"/>
      <c r="P12" s="412" t="s">
        <v>0</v>
      </c>
      <c r="Q12" s="426"/>
      <c r="R12" s="333"/>
      <c r="S12" s="227"/>
      <c r="T12" s="228"/>
      <c r="U12" s="228"/>
      <c r="V12" s="229"/>
      <c r="W12" s="229"/>
      <c r="X12" s="229"/>
      <c r="Y12" s="229"/>
      <c r="Z12" s="229"/>
      <c r="AA12" s="229"/>
      <c r="AB12" s="229"/>
      <c r="AC12" s="229"/>
      <c r="AD12" s="126"/>
      <c r="AE12" s="126"/>
      <c r="AF12" s="126"/>
      <c r="AG12" s="126"/>
    </row>
    <row r="13" spans="1:33" s="27" customFormat="1" x14ac:dyDescent="0.2">
      <c r="A13" s="344"/>
      <c r="B13" s="333"/>
      <c r="C13" s="409"/>
      <c r="D13" s="413" t="s">
        <v>595</v>
      </c>
      <c r="E13" s="414" t="s">
        <v>219</v>
      </c>
      <c r="F13" s="415">
        <v>1</v>
      </c>
      <c r="G13" s="416">
        <v>2</v>
      </c>
      <c r="H13" s="417">
        <v>3</v>
      </c>
      <c r="I13" s="73">
        <v>4</v>
      </c>
      <c r="J13" s="74">
        <v>5</v>
      </c>
      <c r="K13" s="75">
        <v>6</v>
      </c>
      <c r="L13" s="418">
        <v>7</v>
      </c>
      <c r="M13" s="419">
        <v>8</v>
      </c>
      <c r="N13" s="420">
        <v>9</v>
      </c>
      <c r="O13" s="421">
        <v>10</v>
      </c>
      <c r="P13" s="110"/>
      <c r="Q13" s="427"/>
      <c r="R13" s="333"/>
      <c r="S13" s="132">
        <f>VLOOKUP($E13,R.VL_DEQResourcesInvolved,2,FALSE)</f>
        <v>1</v>
      </c>
      <c r="T13" s="120">
        <f>VLOOKUP($E13,R.VL_DEQResourcesInvolved,3,FALSE)</f>
        <v>1</v>
      </c>
      <c r="U13" s="120">
        <f>IF(S13=10,T13,VLOOKUP($E13,R.VL_DEQResourcesInvolved,4,FALSE))</f>
        <v>8</v>
      </c>
      <c r="V13" s="574" t="s">
        <v>575</v>
      </c>
      <c r="W13" s="63"/>
      <c r="X13" s="63"/>
      <c r="Y13" s="63"/>
      <c r="Z13" s="63"/>
      <c r="AA13" s="63"/>
      <c r="AB13" s="63"/>
      <c r="AC13" s="63"/>
      <c r="AD13" s="129"/>
      <c r="AE13" s="129"/>
      <c r="AF13" s="129"/>
      <c r="AG13" s="129"/>
    </row>
    <row r="14" spans="1:33" s="27" customFormat="1" x14ac:dyDescent="0.2">
      <c r="A14" s="344"/>
      <c r="B14" s="333"/>
      <c r="C14" s="422"/>
      <c r="D14" s="423"/>
      <c r="E14" s="424"/>
      <c r="F14" s="424"/>
      <c r="G14" s="424"/>
      <c r="H14" s="424"/>
      <c r="I14" s="377"/>
      <c r="J14" s="377"/>
      <c r="K14" s="377"/>
      <c r="L14" s="424"/>
      <c r="M14" s="424"/>
      <c r="N14" s="424"/>
      <c r="O14" s="424"/>
      <c r="P14" s="424"/>
      <c r="Q14" s="425"/>
      <c r="R14" s="333"/>
      <c r="S14" s="131"/>
      <c r="T14" s="130"/>
      <c r="U14" s="130"/>
      <c r="V14" s="63"/>
      <c r="W14" s="63"/>
      <c r="X14" s="63"/>
      <c r="Y14" s="63"/>
      <c r="Z14" s="63"/>
      <c r="AA14" s="63"/>
      <c r="AB14" s="63"/>
      <c r="AC14" s="63"/>
      <c r="AD14" s="129"/>
      <c r="AE14" s="129"/>
      <c r="AF14" s="129"/>
      <c r="AG14" s="129"/>
    </row>
    <row r="15" spans="1:33" s="32" customFormat="1" ht="30.75" customHeight="1" x14ac:dyDescent="0.3">
      <c r="A15" s="349" t="s">
        <v>147</v>
      </c>
      <c r="B15" s="333"/>
      <c r="C15" s="406"/>
      <c r="D15" s="407" t="s">
        <v>118</v>
      </c>
      <c r="E15" s="115"/>
      <c r="F15" s="115"/>
      <c r="G15" s="115"/>
      <c r="H15" s="115"/>
      <c r="I15" s="93"/>
      <c r="J15" s="93"/>
      <c r="K15" s="93"/>
      <c r="L15" s="115"/>
      <c r="M15" s="115"/>
      <c r="N15" s="115"/>
      <c r="O15" s="115"/>
      <c r="P15" s="115"/>
      <c r="Q15" s="426"/>
      <c r="R15" s="333"/>
      <c r="S15" s="133"/>
      <c r="T15" s="130"/>
      <c r="U15" s="130"/>
      <c r="V15" s="128"/>
      <c r="W15" s="128"/>
      <c r="X15" s="128"/>
      <c r="Y15" s="128"/>
      <c r="Z15" s="128"/>
      <c r="AA15" s="128"/>
      <c r="AB15" s="128"/>
      <c r="AC15" s="128"/>
      <c r="AD15" s="126"/>
      <c r="AE15" s="126"/>
      <c r="AF15" s="126"/>
      <c r="AG15" s="126"/>
    </row>
    <row r="16" spans="1:33" s="32" customFormat="1" x14ac:dyDescent="0.3">
      <c r="A16" s="343"/>
      <c r="B16" s="333"/>
      <c r="C16" s="406"/>
      <c r="D16" s="501" t="s">
        <v>61</v>
      </c>
      <c r="E16" s="115"/>
      <c r="F16" s="115"/>
      <c r="G16" s="115"/>
      <c r="H16" s="115"/>
      <c r="I16" s="93"/>
      <c r="J16" s="93"/>
      <c r="K16" s="93"/>
      <c r="L16" s="115"/>
      <c r="M16" s="115"/>
      <c r="N16" s="115"/>
      <c r="O16" s="115"/>
      <c r="P16" s="115"/>
      <c r="Q16" s="426"/>
      <c r="R16" s="333"/>
      <c r="S16" s="133"/>
      <c r="T16" s="130"/>
      <c r="U16" s="130"/>
      <c r="V16" s="128"/>
      <c r="W16" s="128"/>
      <c r="X16" s="128"/>
      <c r="Y16" s="128"/>
      <c r="Z16" s="128"/>
      <c r="AA16" s="128"/>
      <c r="AB16" s="128"/>
      <c r="AC16" s="128"/>
      <c r="AD16" s="126"/>
      <c r="AE16" s="126"/>
      <c r="AF16" s="126"/>
      <c r="AG16" s="126"/>
    </row>
    <row r="17" spans="1:33" s="27" customFormat="1" ht="45" customHeight="1" x14ac:dyDescent="0.2">
      <c r="A17" s="344"/>
      <c r="B17" s="333"/>
      <c r="C17" s="409"/>
      <c r="D17" s="712" t="s">
        <v>170</v>
      </c>
      <c r="E17" s="713"/>
      <c r="F17" s="713"/>
      <c r="G17" s="713"/>
      <c r="H17" s="713"/>
      <c r="I17" s="713"/>
      <c r="J17" s="713"/>
      <c r="K17" s="713"/>
      <c r="L17" s="713"/>
      <c r="M17" s="713"/>
      <c r="N17" s="713"/>
      <c r="O17" s="713"/>
      <c r="P17" s="714"/>
      <c r="Q17" s="427"/>
      <c r="R17" s="333"/>
      <c r="S17" s="131" t="s">
        <v>0</v>
      </c>
      <c r="T17" s="130"/>
      <c r="U17" s="130"/>
      <c r="V17" s="63"/>
      <c r="W17" s="63"/>
      <c r="X17" s="63"/>
      <c r="Y17" s="63"/>
      <c r="Z17" s="63"/>
      <c r="AA17" s="63"/>
      <c r="AB17" s="63"/>
      <c r="AC17" s="63"/>
      <c r="AD17" s="129"/>
      <c r="AE17" s="129"/>
      <c r="AF17" s="129"/>
      <c r="AG17" s="129"/>
    </row>
    <row r="18" spans="1:33" s="32" customFormat="1" ht="14.25" x14ac:dyDescent="0.2">
      <c r="A18" s="343"/>
      <c r="B18" s="333"/>
      <c r="C18" s="410"/>
      <c r="D18" s="502" t="s">
        <v>57</v>
      </c>
      <c r="E18" s="411" t="s">
        <v>15</v>
      </c>
      <c r="F18" s="411" t="s">
        <v>16</v>
      </c>
      <c r="G18" s="411"/>
      <c r="H18" s="411"/>
      <c r="I18" s="291"/>
      <c r="J18" s="291"/>
      <c r="K18" s="291"/>
      <c r="L18" s="411"/>
      <c r="M18" s="411"/>
      <c r="N18" s="411"/>
      <c r="O18" s="411"/>
      <c r="P18" s="412" t="s">
        <v>0</v>
      </c>
      <c r="Q18" s="426"/>
      <c r="R18" s="333"/>
      <c r="S18" s="227"/>
      <c r="T18" s="228"/>
      <c r="U18" s="228"/>
      <c r="V18" s="229"/>
      <c r="W18" s="229"/>
      <c r="X18" s="229"/>
      <c r="Y18" s="229"/>
      <c r="Z18" s="229"/>
      <c r="AA18" s="229"/>
      <c r="AB18" s="229"/>
      <c r="AC18" s="229"/>
      <c r="AD18" s="126"/>
      <c r="AE18" s="126"/>
      <c r="AF18" s="126"/>
      <c r="AG18" s="126"/>
    </row>
    <row r="19" spans="1:33" s="27" customFormat="1" x14ac:dyDescent="0.2">
      <c r="A19" s="344"/>
      <c r="B19" s="333"/>
      <c r="C19" s="409"/>
      <c r="D19" s="413" t="s">
        <v>1</v>
      </c>
      <c r="E19" s="414" t="s">
        <v>222</v>
      </c>
      <c r="F19" s="415">
        <v>1</v>
      </c>
      <c r="G19" s="416">
        <v>2</v>
      </c>
      <c r="H19" s="417">
        <v>3</v>
      </c>
      <c r="I19" s="73">
        <v>4</v>
      </c>
      <c r="J19" s="74">
        <v>5</v>
      </c>
      <c r="K19" s="75">
        <v>6</v>
      </c>
      <c r="L19" s="418">
        <v>7</v>
      </c>
      <c r="M19" s="419">
        <v>8</v>
      </c>
      <c r="N19" s="420">
        <v>9</v>
      </c>
      <c r="O19" s="421">
        <v>10</v>
      </c>
      <c r="P19" s="110"/>
      <c r="Q19" s="427"/>
      <c r="R19" s="333"/>
      <c r="S19" s="132">
        <f>VLOOKUP($E19,R.VL_DEQResourcesInvolved,2,FALSE)</f>
        <v>4</v>
      </c>
      <c r="T19" s="120">
        <f>VLOOKUP($E19,R.VL_DEQResourcesInvolved,3,FALSE)</f>
        <v>80</v>
      </c>
      <c r="U19" s="120">
        <f>IF(S19=10,T19,VLOOKUP($E19,R.VL_DEQResourcesInvolved,4,FALSE))</f>
        <v>170</v>
      </c>
      <c r="V19" s="574" t="s">
        <v>575</v>
      </c>
      <c r="W19" s="63"/>
      <c r="X19" s="63"/>
      <c r="Y19" s="63"/>
      <c r="Z19" s="63"/>
      <c r="AA19" s="63"/>
      <c r="AB19" s="63"/>
      <c r="AC19" s="63"/>
      <c r="AD19" s="129"/>
      <c r="AE19" s="129"/>
      <c r="AF19" s="129"/>
      <c r="AG19" s="129"/>
    </row>
    <row r="20" spans="1:33" s="27" customFormat="1" ht="15.75" customHeight="1" x14ac:dyDescent="0.2">
      <c r="A20" s="344"/>
      <c r="B20" s="333"/>
      <c r="C20" s="428"/>
      <c r="D20" s="429"/>
      <c r="E20" s="424"/>
      <c r="F20" s="424"/>
      <c r="G20" s="424"/>
      <c r="H20" s="424"/>
      <c r="I20" s="377"/>
      <c r="J20" s="377"/>
      <c r="K20" s="377"/>
      <c r="L20" s="424"/>
      <c r="M20" s="424"/>
      <c r="N20" s="424"/>
      <c r="O20" s="424"/>
      <c r="P20" s="424"/>
      <c r="Q20" s="430"/>
      <c r="R20" s="333"/>
      <c r="S20" s="131"/>
      <c r="T20" s="133"/>
      <c r="U20" s="133"/>
      <c r="V20" s="63"/>
      <c r="W20" s="63"/>
      <c r="X20" s="63"/>
      <c r="Y20" s="63"/>
      <c r="Z20" s="63"/>
      <c r="AA20" s="63"/>
      <c r="AB20" s="63"/>
      <c r="AC20" s="63"/>
      <c r="AD20" s="129"/>
      <c r="AE20" s="129"/>
      <c r="AF20" s="129"/>
      <c r="AG20" s="129"/>
    </row>
    <row r="21" spans="1:33" s="32" customFormat="1" ht="30" customHeight="1" x14ac:dyDescent="0.3">
      <c r="A21" s="349" t="s">
        <v>103</v>
      </c>
      <c r="B21" s="333"/>
      <c r="C21" s="406"/>
      <c r="D21" s="407" t="s">
        <v>119</v>
      </c>
      <c r="E21" s="408"/>
      <c r="F21" s="110"/>
      <c r="G21" s="110"/>
      <c r="H21" s="110"/>
      <c r="I21" s="434"/>
      <c r="J21" s="434"/>
      <c r="K21" s="434"/>
      <c r="L21" s="110"/>
      <c r="M21" s="110"/>
      <c r="N21" s="110"/>
      <c r="O21" s="110"/>
      <c r="P21" s="115"/>
      <c r="Q21" s="426"/>
      <c r="R21" s="333"/>
      <c r="S21" s="133"/>
      <c r="T21" s="130"/>
      <c r="U21" s="130"/>
      <c r="V21" s="128"/>
      <c r="W21" s="128"/>
      <c r="X21" s="128"/>
      <c r="Y21" s="128"/>
      <c r="Z21" s="128"/>
      <c r="AA21" s="128"/>
      <c r="AB21" s="128"/>
      <c r="AC21" s="128"/>
      <c r="AD21" s="126"/>
      <c r="AE21" s="126"/>
      <c r="AF21" s="126"/>
      <c r="AG21" s="126"/>
    </row>
    <row r="22" spans="1:33" s="32" customFormat="1" x14ac:dyDescent="0.3">
      <c r="A22" s="343"/>
      <c r="B22" s="333"/>
      <c r="C22" s="406"/>
      <c r="D22" s="501" t="s">
        <v>61</v>
      </c>
      <c r="E22" s="115"/>
      <c r="F22" s="115"/>
      <c r="G22" s="115"/>
      <c r="H22" s="115"/>
      <c r="I22" s="93"/>
      <c r="J22" s="93"/>
      <c r="K22" s="93"/>
      <c r="L22" s="115"/>
      <c r="M22" s="115"/>
      <c r="N22" s="115"/>
      <c r="O22" s="115"/>
      <c r="P22" s="115"/>
      <c r="Q22" s="426"/>
      <c r="R22" s="333"/>
      <c r="S22" s="133"/>
      <c r="T22" s="130"/>
      <c r="U22" s="130"/>
      <c r="V22" s="128"/>
      <c r="W22" s="128"/>
      <c r="X22" s="128"/>
      <c r="Y22" s="128"/>
      <c r="Z22" s="128"/>
      <c r="AA22" s="128"/>
      <c r="AB22" s="128"/>
      <c r="AC22" s="128"/>
      <c r="AD22" s="126"/>
      <c r="AE22" s="126"/>
      <c r="AF22" s="126"/>
      <c r="AG22" s="126"/>
    </row>
    <row r="23" spans="1:33" s="27" customFormat="1" ht="38.25" customHeight="1" x14ac:dyDescent="0.2">
      <c r="A23" s="344"/>
      <c r="B23" s="333"/>
      <c r="C23" s="409"/>
      <c r="D23" s="709" t="s">
        <v>188</v>
      </c>
      <c r="E23" s="710"/>
      <c r="F23" s="710"/>
      <c r="G23" s="710"/>
      <c r="H23" s="710"/>
      <c r="I23" s="710"/>
      <c r="J23" s="710"/>
      <c r="K23" s="710"/>
      <c r="L23" s="710"/>
      <c r="M23" s="710"/>
      <c r="N23" s="710"/>
      <c r="O23" s="710"/>
      <c r="P23" s="711"/>
      <c r="Q23" s="427"/>
      <c r="R23" s="333"/>
      <c r="S23" s="131" t="s">
        <v>0</v>
      </c>
      <c r="T23" s="130"/>
      <c r="U23" s="130"/>
      <c r="V23" s="63"/>
      <c r="W23" s="63"/>
      <c r="X23" s="63"/>
      <c r="Y23" s="63"/>
      <c r="Z23" s="63"/>
      <c r="AA23" s="63"/>
      <c r="AB23" s="63"/>
      <c r="AC23" s="63"/>
      <c r="AD23" s="129"/>
      <c r="AE23" s="129"/>
      <c r="AF23" s="129"/>
      <c r="AG23" s="129"/>
    </row>
    <row r="24" spans="1:33" s="32" customFormat="1" ht="14.25" x14ac:dyDescent="0.2">
      <c r="A24" s="343"/>
      <c r="B24" s="333"/>
      <c r="C24" s="410"/>
      <c r="D24" s="502" t="s">
        <v>57</v>
      </c>
      <c r="E24" s="411" t="s">
        <v>15</v>
      </c>
      <c r="F24" s="411" t="s">
        <v>16</v>
      </c>
      <c r="G24" s="411"/>
      <c r="H24" s="411"/>
      <c r="I24" s="291"/>
      <c r="J24" s="291"/>
      <c r="K24" s="291"/>
      <c r="L24" s="411"/>
      <c r="M24" s="411"/>
      <c r="N24" s="411"/>
      <c r="O24" s="411"/>
      <c r="P24" s="412" t="s">
        <v>0</v>
      </c>
      <c r="Q24" s="426"/>
      <c r="R24" s="333"/>
      <c r="S24" s="227"/>
      <c r="T24" s="228"/>
      <c r="U24" s="228"/>
      <c r="V24" s="229"/>
      <c r="W24" s="229"/>
      <c r="X24" s="229"/>
      <c r="Y24" s="229"/>
      <c r="Z24" s="229"/>
      <c r="AA24" s="229"/>
      <c r="AB24" s="229"/>
      <c r="AC24" s="229"/>
      <c r="AD24" s="126"/>
      <c r="AE24" s="126"/>
      <c r="AF24" s="126"/>
      <c r="AG24" s="126"/>
    </row>
    <row r="25" spans="1:33" s="27" customFormat="1" ht="15.75" customHeight="1" x14ac:dyDescent="0.2">
      <c r="A25" s="344"/>
      <c r="B25" s="333"/>
      <c r="C25" s="409"/>
      <c r="D25" s="413" t="s">
        <v>592</v>
      </c>
      <c r="E25" s="414" t="s">
        <v>220</v>
      </c>
      <c r="F25" s="415">
        <v>1</v>
      </c>
      <c r="G25" s="416">
        <v>2</v>
      </c>
      <c r="H25" s="417">
        <v>3</v>
      </c>
      <c r="I25" s="73">
        <v>4</v>
      </c>
      <c r="J25" s="74">
        <v>5</v>
      </c>
      <c r="K25" s="75">
        <v>6</v>
      </c>
      <c r="L25" s="418">
        <v>7</v>
      </c>
      <c r="M25" s="419">
        <v>8</v>
      </c>
      <c r="N25" s="420">
        <v>9</v>
      </c>
      <c r="O25" s="421">
        <v>10</v>
      </c>
      <c r="P25" s="110"/>
      <c r="Q25" s="427"/>
      <c r="R25" s="333"/>
      <c r="S25" s="134">
        <f>VLOOKUP($E25,R.VL_DEQResourcesInvolved,2,FALSE)</f>
        <v>2</v>
      </c>
      <c r="T25" s="120">
        <f>VLOOKUP($E25,R.VL_DEQResourcesInvolved,3,FALSE)</f>
        <v>8</v>
      </c>
      <c r="U25" s="120">
        <f>IF(S25=10,T25,VLOOKUP($E25,R.VL_DEQResourcesInvolved,4,FALSE))</f>
        <v>40</v>
      </c>
      <c r="V25" s="574" t="s">
        <v>575</v>
      </c>
      <c r="W25" s="63"/>
      <c r="X25" s="63"/>
      <c r="Y25" s="63"/>
      <c r="Z25" s="63"/>
      <c r="AA25" s="63"/>
      <c r="AB25" s="63"/>
      <c r="AC25" s="63"/>
      <c r="AD25" s="129"/>
      <c r="AE25" s="129"/>
      <c r="AF25" s="129"/>
      <c r="AG25" s="129"/>
    </row>
    <row r="26" spans="1:33" s="27" customFormat="1" x14ac:dyDescent="0.2">
      <c r="A26" s="344"/>
      <c r="B26" s="333"/>
      <c r="C26" s="422"/>
      <c r="D26" s="423"/>
      <c r="E26" s="424"/>
      <c r="F26" s="424"/>
      <c r="G26" s="424"/>
      <c r="H26" s="424"/>
      <c r="I26" s="377"/>
      <c r="J26" s="377"/>
      <c r="K26" s="377"/>
      <c r="L26" s="424"/>
      <c r="M26" s="424"/>
      <c r="N26" s="424"/>
      <c r="O26" s="424"/>
      <c r="P26" s="424"/>
      <c r="Q26" s="425"/>
      <c r="R26" s="333"/>
      <c r="S26" s="131"/>
      <c r="T26" s="130"/>
      <c r="U26" s="130"/>
      <c r="V26" s="63"/>
      <c r="W26" s="63"/>
      <c r="X26" s="63"/>
      <c r="Y26" s="63"/>
      <c r="Z26" s="63"/>
      <c r="AA26" s="63"/>
      <c r="AB26" s="63"/>
      <c r="AC26" s="63"/>
      <c r="AD26" s="129"/>
      <c r="AE26" s="129"/>
      <c r="AF26" s="129"/>
      <c r="AG26" s="129"/>
    </row>
    <row r="27" spans="1:33" s="32" customFormat="1" ht="30" customHeight="1" x14ac:dyDescent="0.3">
      <c r="A27" s="343"/>
      <c r="B27" s="333"/>
      <c r="C27" s="406"/>
      <c r="D27" s="521" t="s">
        <v>197</v>
      </c>
      <c r="E27" s="115"/>
      <c r="F27" s="115"/>
      <c r="G27" s="115"/>
      <c r="H27" s="115"/>
      <c r="I27" s="93"/>
      <c r="J27" s="93"/>
      <c r="K27" s="93"/>
      <c r="L27" s="115"/>
      <c r="M27" s="115"/>
      <c r="N27" s="115"/>
      <c r="O27" s="115"/>
      <c r="P27" s="115"/>
      <c r="Q27" s="426"/>
      <c r="R27" s="333"/>
      <c r="S27" s="133"/>
      <c r="T27" s="130"/>
      <c r="U27" s="130"/>
      <c r="V27" s="128"/>
      <c r="W27" s="128"/>
      <c r="X27" s="128"/>
      <c r="Y27" s="128"/>
      <c r="Z27" s="128"/>
      <c r="AA27" s="128"/>
      <c r="AB27" s="128"/>
      <c r="AC27" s="128"/>
      <c r="AD27" s="126"/>
      <c r="AE27" s="126"/>
      <c r="AF27" s="126"/>
      <c r="AG27" s="126"/>
    </row>
    <row r="28" spans="1:33" s="32" customFormat="1" ht="14.25" customHeight="1" x14ac:dyDescent="0.3">
      <c r="A28" s="343"/>
      <c r="B28" s="333"/>
      <c r="C28" s="406"/>
      <c r="D28" s="501" t="s">
        <v>61</v>
      </c>
      <c r="E28" s="115"/>
      <c r="F28" s="115"/>
      <c r="G28" s="115"/>
      <c r="H28" s="115"/>
      <c r="I28" s="93"/>
      <c r="J28" s="93"/>
      <c r="K28" s="93"/>
      <c r="L28" s="115"/>
      <c r="M28" s="115"/>
      <c r="N28" s="115"/>
      <c r="O28" s="115"/>
      <c r="P28" s="115"/>
      <c r="Q28" s="426"/>
      <c r="R28" s="333"/>
      <c r="S28" s="133"/>
      <c r="T28" s="130"/>
      <c r="U28" s="130"/>
      <c r="V28" s="128"/>
      <c r="W28" s="128"/>
      <c r="X28" s="128"/>
      <c r="Y28" s="128"/>
      <c r="Z28" s="128"/>
      <c r="AA28" s="128"/>
      <c r="AB28" s="128"/>
      <c r="AC28" s="128"/>
      <c r="AD28" s="126"/>
      <c r="AE28" s="126"/>
      <c r="AF28" s="126"/>
      <c r="AG28" s="126"/>
    </row>
    <row r="29" spans="1:33" s="27" customFormat="1" ht="15.75" customHeight="1" x14ac:dyDescent="0.2">
      <c r="A29" s="344"/>
      <c r="B29" s="333"/>
      <c r="C29" s="409"/>
      <c r="D29" s="709" t="s">
        <v>0</v>
      </c>
      <c r="E29" s="710"/>
      <c r="F29" s="710"/>
      <c r="G29" s="710"/>
      <c r="H29" s="710"/>
      <c r="I29" s="710"/>
      <c r="J29" s="710"/>
      <c r="K29" s="710"/>
      <c r="L29" s="710"/>
      <c r="M29" s="710"/>
      <c r="N29" s="710"/>
      <c r="O29" s="710"/>
      <c r="P29" s="711"/>
      <c r="Q29" s="427"/>
      <c r="R29" s="333"/>
      <c r="S29" s="131" t="s">
        <v>0</v>
      </c>
      <c r="T29" s="130"/>
      <c r="U29" s="130"/>
      <c r="V29" s="63"/>
      <c r="W29" s="63"/>
      <c r="X29" s="63"/>
      <c r="Y29" s="63"/>
      <c r="Z29" s="63"/>
      <c r="AA29" s="63"/>
      <c r="AB29" s="63"/>
      <c r="AC29" s="63"/>
      <c r="AD29" s="129"/>
      <c r="AE29" s="129"/>
      <c r="AF29" s="129"/>
      <c r="AG29" s="129"/>
    </row>
    <row r="30" spans="1:33" s="32" customFormat="1" ht="14.25" x14ac:dyDescent="0.2">
      <c r="A30" s="343"/>
      <c r="B30" s="333"/>
      <c r="C30" s="410"/>
      <c r="D30" s="502" t="s">
        <v>57</v>
      </c>
      <c r="E30" s="411" t="s">
        <v>15</v>
      </c>
      <c r="F30" s="411" t="s">
        <v>16</v>
      </c>
      <c r="G30" s="411"/>
      <c r="H30" s="411"/>
      <c r="I30" s="291"/>
      <c r="J30" s="291"/>
      <c r="K30" s="291"/>
      <c r="L30" s="411"/>
      <c r="M30" s="411"/>
      <c r="N30" s="411"/>
      <c r="O30" s="411"/>
      <c r="P30" s="412" t="s">
        <v>0</v>
      </c>
      <c r="Q30" s="426"/>
      <c r="R30" s="333"/>
      <c r="S30" s="227"/>
      <c r="T30" s="228"/>
      <c r="U30" s="228"/>
      <c r="V30" s="229"/>
      <c r="W30" s="229"/>
      <c r="X30" s="229"/>
      <c r="Y30" s="229"/>
      <c r="Z30" s="229"/>
      <c r="AA30" s="229"/>
      <c r="AB30" s="229"/>
      <c r="AC30" s="229"/>
      <c r="AD30" s="126"/>
      <c r="AE30" s="126"/>
      <c r="AF30" s="126"/>
      <c r="AG30" s="126"/>
    </row>
    <row r="31" spans="1:33" s="27" customFormat="1" ht="15.75" customHeight="1" x14ac:dyDescent="0.2">
      <c r="A31" s="344"/>
      <c r="B31" s="333"/>
      <c r="C31" s="409"/>
      <c r="D31" s="561" t="s">
        <v>212</v>
      </c>
      <c r="E31" s="414" t="s">
        <v>217</v>
      </c>
      <c r="F31" s="415">
        <v>1</v>
      </c>
      <c r="G31" s="416">
        <v>2</v>
      </c>
      <c r="H31" s="417">
        <v>3</v>
      </c>
      <c r="I31" s="73">
        <v>4</v>
      </c>
      <c r="J31" s="74">
        <v>5</v>
      </c>
      <c r="K31" s="75">
        <v>6</v>
      </c>
      <c r="L31" s="418">
        <v>7</v>
      </c>
      <c r="M31" s="419">
        <v>8</v>
      </c>
      <c r="N31" s="420">
        <v>9</v>
      </c>
      <c r="O31" s="421">
        <v>10</v>
      </c>
      <c r="P31" s="110"/>
      <c r="Q31" s="427"/>
      <c r="R31" s="333"/>
      <c r="S31" s="134">
        <f>VLOOKUP($E31,R.VL_DEQResourcesInvolved,2,FALSE)</f>
        <v>0</v>
      </c>
      <c r="T31" s="120">
        <f>VLOOKUP($E31,R.VL_DEQResourcesInvolved,3,FALSE)</f>
        <v>0</v>
      </c>
      <c r="U31" s="120">
        <f>IF(S31=10,T31,VLOOKUP($E31,R.VL_DEQResourcesInvolved,4,FALSE))</f>
        <v>0</v>
      </c>
      <c r="V31" s="574" t="s">
        <v>575</v>
      </c>
      <c r="W31" s="63"/>
      <c r="X31" s="63"/>
      <c r="Y31" s="63"/>
      <c r="Z31" s="63"/>
      <c r="AA31" s="63"/>
      <c r="AB31" s="63"/>
      <c r="AC31" s="63"/>
      <c r="AD31" s="129"/>
      <c r="AE31" s="129"/>
      <c r="AF31" s="129"/>
      <c r="AG31" s="129"/>
    </row>
    <row r="32" spans="1:33" s="27" customFormat="1" ht="14.25" customHeight="1" x14ac:dyDescent="0.2">
      <c r="A32" s="344"/>
      <c r="B32" s="333"/>
      <c r="C32" s="428"/>
      <c r="D32" s="429"/>
      <c r="E32" s="424"/>
      <c r="F32" s="424"/>
      <c r="G32" s="424"/>
      <c r="H32" s="424"/>
      <c r="I32" s="377"/>
      <c r="J32" s="377"/>
      <c r="K32" s="377"/>
      <c r="L32" s="424"/>
      <c r="M32" s="424"/>
      <c r="N32" s="424"/>
      <c r="O32" s="424"/>
      <c r="P32" s="424"/>
      <c r="Q32" s="430"/>
      <c r="R32" s="333"/>
      <c r="S32" s="131"/>
      <c r="T32" s="133"/>
      <c r="U32" s="133"/>
      <c r="V32" s="63"/>
      <c r="W32" s="63"/>
      <c r="X32" s="63"/>
      <c r="Y32" s="63"/>
      <c r="Z32" s="63"/>
      <c r="AA32" s="63"/>
      <c r="AB32" s="63"/>
      <c r="AC32" s="63"/>
      <c r="AD32" s="129"/>
      <c r="AE32" s="129"/>
      <c r="AF32" s="129"/>
      <c r="AG32" s="129"/>
    </row>
    <row r="33" spans="1:33" s="32" customFormat="1" ht="30" customHeight="1" x14ac:dyDescent="0.3">
      <c r="A33" s="343"/>
      <c r="B33" s="333"/>
      <c r="C33" s="406"/>
      <c r="D33" s="521" t="s">
        <v>198</v>
      </c>
      <c r="E33" s="408"/>
      <c r="F33" s="110"/>
      <c r="G33" s="110"/>
      <c r="H33" s="110"/>
      <c r="I33" s="434"/>
      <c r="J33" s="434"/>
      <c r="K33" s="434"/>
      <c r="L33" s="110"/>
      <c r="M33" s="110"/>
      <c r="N33" s="110"/>
      <c r="O33" s="110"/>
      <c r="P33" s="115"/>
      <c r="Q33" s="426"/>
      <c r="R33" s="333"/>
      <c r="S33" s="133"/>
      <c r="T33" s="130"/>
      <c r="U33" s="130"/>
      <c r="V33" s="128"/>
      <c r="W33" s="128"/>
      <c r="X33" s="128"/>
      <c r="Y33" s="128"/>
      <c r="Z33" s="128"/>
      <c r="AA33" s="128"/>
      <c r="AB33" s="128"/>
      <c r="AC33" s="128"/>
      <c r="AD33" s="126"/>
      <c r="AE33" s="126"/>
      <c r="AF33" s="126"/>
      <c r="AG33" s="126"/>
    </row>
    <row r="34" spans="1:33" s="32" customFormat="1" ht="14.25" customHeight="1" x14ac:dyDescent="0.3">
      <c r="A34" s="343"/>
      <c r="B34" s="333"/>
      <c r="C34" s="406"/>
      <c r="D34" s="501" t="s">
        <v>61</v>
      </c>
      <c r="E34" s="115"/>
      <c r="F34" s="115"/>
      <c r="G34" s="115"/>
      <c r="H34" s="115"/>
      <c r="I34" s="93"/>
      <c r="J34" s="93"/>
      <c r="K34" s="93"/>
      <c r="L34" s="115"/>
      <c r="M34" s="115"/>
      <c r="N34" s="115"/>
      <c r="O34" s="115"/>
      <c r="P34" s="115"/>
      <c r="Q34" s="426"/>
      <c r="R34" s="333"/>
      <c r="S34" s="133"/>
      <c r="T34" s="130"/>
      <c r="U34" s="130"/>
      <c r="V34" s="128"/>
      <c r="W34" s="128"/>
      <c r="X34" s="128"/>
      <c r="Y34" s="128"/>
      <c r="Z34" s="128"/>
      <c r="AA34" s="128"/>
      <c r="AB34" s="128"/>
      <c r="AC34" s="128"/>
      <c r="AD34" s="126"/>
      <c r="AE34" s="126"/>
      <c r="AF34" s="126"/>
      <c r="AG34" s="126"/>
    </row>
    <row r="35" spans="1:33" s="27" customFormat="1" ht="15.75" customHeight="1" x14ac:dyDescent="0.2">
      <c r="A35" s="344"/>
      <c r="B35" s="333"/>
      <c r="C35" s="409"/>
      <c r="D35" s="709" t="s">
        <v>0</v>
      </c>
      <c r="E35" s="710"/>
      <c r="F35" s="710"/>
      <c r="G35" s="710"/>
      <c r="H35" s="710"/>
      <c r="I35" s="710"/>
      <c r="J35" s="710"/>
      <c r="K35" s="710"/>
      <c r="L35" s="710"/>
      <c r="M35" s="710"/>
      <c r="N35" s="710"/>
      <c r="O35" s="710"/>
      <c r="P35" s="711"/>
      <c r="Q35" s="427"/>
      <c r="R35" s="333"/>
      <c r="S35" s="131" t="s">
        <v>0</v>
      </c>
      <c r="T35" s="130"/>
      <c r="U35" s="130"/>
      <c r="V35" s="63"/>
      <c r="W35" s="63"/>
      <c r="X35" s="63"/>
      <c r="Y35" s="63"/>
      <c r="Z35" s="63"/>
      <c r="AA35" s="63"/>
      <c r="AB35" s="63"/>
      <c r="AC35" s="63"/>
      <c r="AD35" s="129"/>
      <c r="AE35" s="129"/>
      <c r="AF35" s="129"/>
      <c r="AG35" s="129"/>
    </row>
    <row r="36" spans="1:33" s="32" customFormat="1" ht="14.25" x14ac:dyDescent="0.2">
      <c r="A36" s="343"/>
      <c r="B36" s="333"/>
      <c r="C36" s="410"/>
      <c r="D36" s="502" t="s">
        <v>57</v>
      </c>
      <c r="E36" s="411" t="s">
        <v>15</v>
      </c>
      <c r="F36" s="411" t="s">
        <v>16</v>
      </c>
      <c r="G36" s="411"/>
      <c r="H36" s="411"/>
      <c r="I36" s="291"/>
      <c r="J36" s="291"/>
      <c r="K36" s="291"/>
      <c r="L36" s="411"/>
      <c r="M36" s="411"/>
      <c r="N36" s="411"/>
      <c r="O36" s="411"/>
      <c r="P36" s="412" t="s">
        <v>0</v>
      </c>
      <c r="Q36" s="426"/>
      <c r="R36" s="333"/>
      <c r="S36" s="227"/>
      <c r="T36" s="228"/>
      <c r="U36" s="228"/>
      <c r="V36" s="229"/>
      <c r="W36" s="229"/>
      <c r="X36" s="229"/>
      <c r="Y36" s="229"/>
      <c r="Z36" s="229"/>
      <c r="AA36" s="229"/>
      <c r="AB36" s="229"/>
      <c r="AC36" s="229"/>
      <c r="AD36" s="126"/>
      <c r="AE36" s="126"/>
      <c r="AF36" s="126"/>
      <c r="AG36" s="126"/>
    </row>
    <row r="37" spans="1:33" s="27" customFormat="1" ht="15.75" customHeight="1" x14ac:dyDescent="0.2">
      <c r="A37" s="344"/>
      <c r="B37" s="333"/>
      <c r="C37" s="409"/>
      <c r="D37" s="561" t="s">
        <v>418</v>
      </c>
      <c r="E37" s="414" t="s">
        <v>217</v>
      </c>
      <c r="F37" s="415">
        <v>1</v>
      </c>
      <c r="G37" s="416">
        <v>2</v>
      </c>
      <c r="H37" s="417">
        <v>3</v>
      </c>
      <c r="I37" s="73">
        <v>4</v>
      </c>
      <c r="J37" s="74">
        <v>5</v>
      </c>
      <c r="K37" s="75">
        <v>6</v>
      </c>
      <c r="L37" s="418">
        <v>7</v>
      </c>
      <c r="M37" s="419">
        <v>8</v>
      </c>
      <c r="N37" s="420">
        <v>9</v>
      </c>
      <c r="O37" s="421">
        <v>10</v>
      </c>
      <c r="P37" s="110"/>
      <c r="Q37" s="427"/>
      <c r="R37" s="333"/>
      <c r="S37" s="134">
        <f>VLOOKUP($E37,R.VL_DEQResourcesInvolved,2,FALSE)</f>
        <v>0</v>
      </c>
      <c r="T37" s="120">
        <f>VLOOKUP($E37,R.VL_DEQResourcesInvolved,3,FALSE)</f>
        <v>0</v>
      </c>
      <c r="U37" s="120">
        <f>IF(S37=10,T37,VLOOKUP($E37,R.VL_DEQResourcesInvolved,4,FALSE))</f>
        <v>0</v>
      </c>
      <c r="V37" s="574" t="s">
        <v>575</v>
      </c>
      <c r="W37" s="63"/>
      <c r="X37" s="63"/>
      <c r="Y37" s="63"/>
      <c r="Z37" s="63"/>
      <c r="AA37" s="63"/>
      <c r="AB37" s="63"/>
      <c r="AC37" s="63"/>
      <c r="AD37" s="129"/>
      <c r="AE37" s="129"/>
      <c r="AF37" s="129"/>
      <c r="AG37" s="129"/>
    </row>
    <row r="38" spans="1:33" s="27" customFormat="1" ht="14.25" customHeight="1" x14ac:dyDescent="0.2">
      <c r="A38" s="344"/>
      <c r="B38" s="333"/>
      <c r="C38" s="422"/>
      <c r="D38" s="423"/>
      <c r="E38" s="424"/>
      <c r="F38" s="424"/>
      <c r="G38" s="424"/>
      <c r="H38" s="424"/>
      <c r="I38" s="377"/>
      <c r="J38" s="377"/>
      <c r="K38" s="377"/>
      <c r="L38" s="424"/>
      <c r="M38" s="424"/>
      <c r="N38" s="424"/>
      <c r="O38" s="424"/>
      <c r="P38" s="424"/>
      <c r="Q38" s="425"/>
      <c r="R38" s="333"/>
      <c r="S38" s="131"/>
      <c r="T38" s="130"/>
      <c r="U38" s="130"/>
      <c r="V38" s="63"/>
      <c r="W38" s="63"/>
      <c r="X38" s="63"/>
      <c r="Y38" s="63"/>
      <c r="Z38" s="63"/>
      <c r="AA38" s="63"/>
      <c r="AB38" s="63"/>
      <c r="AC38" s="63"/>
      <c r="AD38" s="129"/>
      <c r="AE38" s="129"/>
      <c r="AF38" s="129"/>
      <c r="AG38" s="129"/>
    </row>
    <row r="39" spans="1:33" s="28" customFormat="1" ht="30" customHeight="1" x14ac:dyDescent="0.2">
      <c r="A39" s="343"/>
      <c r="B39" s="333"/>
      <c r="C39" s="232"/>
      <c r="D39" s="642" t="str">
        <f>"Please suggest process improvements to the "&amp;D2&amp;" worksheet."</f>
        <v>Please suggest process improvements to the Advisors worksheet.</v>
      </c>
      <c r="E39" s="642"/>
      <c r="F39" s="455"/>
      <c r="G39" s="456"/>
      <c r="H39" s="457"/>
      <c r="I39" s="452"/>
      <c r="J39" s="453"/>
      <c r="K39" s="454"/>
      <c r="L39" s="458"/>
      <c r="M39" s="459"/>
      <c r="N39" s="460"/>
      <c r="O39" s="461"/>
      <c r="P39" s="233"/>
      <c r="Q39" s="146"/>
      <c r="R39" s="333"/>
      <c r="S39" s="234"/>
      <c r="T39" s="228"/>
      <c r="U39" s="228"/>
      <c r="V39" s="235"/>
      <c r="W39" s="235"/>
      <c r="X39" s="235"/>
      <c r="Y39" s="235"/>
      <c r="Z39" s="235"/>
      <c r="AA39" s="235"/>
      <c r="AB39" s="235"/>
      <c r="AC39" s="235"/>
      <c r="AD39" s="64"/>
      <c r="AE39" s="64"/>
      <c r="AF39" s="64"/>
      <c r="AG39" s="64"/>
    </row>
    <row r="40" spans="1:33" s="6" customFormat="1" ht="30.75" customHeight="1" x14ac:dyDescent="0.3">
      <c r="A40" s="349"/>
      <c r="B40" s="333"/>
      <c r="C40" s="135"/>
      <c r="D40" s="639"/>
      <c r="E40" s="640"/>
      <c r="F40" s="640"/>
      <c r="G40" s="640"/>
      <c r="H40" s="640"/>
      <c r="I40" s="640"/>
      <c r="J40" s="640"/>
      <c r="K40" s="640"/>
      <c r="L40" s="640"/>
      <c r="M40" s="640"/>
      <c r="N40" s="640"/>
      <c r="O40" s="640"/>
      <c r="P40" s="641"/>
      <c r="Q40" s="147"/>
      <c r="R40" s="333"/>
      <c r="S40" s="131"/>
      <c r="T40" s="130"/>
      <c r="U40" s="130"/>
      <c r="V40" s="63"/>
      <c r="W40" s="63"/>
      <c r="X40" s="63"/>
      <c r="Y40" s="63"/>
      <c r="Z40" s="63"/>
      <c r="AA40" s="63"/>
      <c r="AB40" s="63"/>
      <c r="AC40" s="63"/>
      <c r="AD40" s="65"/>
      <c r="AE40" s="65"/>
      <c r="AF40" s="65"/>
      <c r="AG40" s="65"/>
    </row>
    <row r="41" spans="1:33" ht="18" customHeight="1" x14ac:dyDescent="0.3">
      <c r="A41" s="349" t="s">
        <v>104</v>
      </c>
      <c r="B41" s="333"/>
      <c r="C41" s="148"/>
      <c r="D41" s="149"/>
      <c r="E41" s="149"/>
      <c r="F41" s="149"/>
      <c r="G41" s="149"/>
      <c r="H41" s="149"/>
      <c r="I41" s="149"/>
      <c r="J41" s="149"/>
      <c r="K41" s="149"/>
      <c r="L41" s="149"/>
      <c r="M41" s="149"/>
      <c r="N41" s="149"/>
      <c r="O41" s="149"/>
      <c r="P41" s="149"/>
      <c r="Q41" s="150"/>
      <c r="R41" s="333"/>
    </row>
    <row r="42" spans="1:33" s="63" customFormat="1" ht="14.25" customHeight="1" x14ac:dyDescent="0.2">
      <c r="A42" s="336"/>
      <c r="B42" s="333"/>
      <c r="C42" s="333"/>
      <c r="D42" s="333"/>
      <c r="E42" s="333"/>
      <c r="F42" s="333"/>
      <c r="G42" s="333"/>
      <c r="H42" s="333"/>
      <c r="I42" s="333"/>
      <c r="J42" s="333"/>
      <c r="K42" s="333"/>
      <c r="L42" s="333"/>
      <c r="M42" s="333"/>
      <c r="N42" s="333"/>
      <c r="O42" s="333"/>
      <c r="P42" s="333"/>
      <c r="Q42" s="333"/>
      <c r="R42" s="333"/>
      <c r="S42" s="112"/>
    </row>
    <row r="43" spans="1:33" s="63" customFormat="1" ht="60" customHeight="1" x14ac:dyDescent="0.3">
      <c r="A43" s="336"/>
      <c r="C43" s="111"/>
      <c r="I43" s="433"/>
      <c r="J43" s="433"/>
      <c r="K43" s="433"/>
      <c r="S43" s="112"/>
    </row>
    <row r="44" spans="1:33" s="63" customFormat="1" ht="60" customHeight="1" x14ac:dyDescent="0.3">
      <c r="A44" s="336"/>
      <c r="C44" s="111"/>
      <c r="I44" s="433"/>
      <c r="J44" s="433"/>
      <c r="K44" s="433"/>
      <c r="S44" s="112"/>
    </row>
    <row r="45" spans="1:33" s="63" customFormat="1" ht="60" customHeight="1" x14ac:dyDescent="0.3">
      <c r="A45" s="336"/>
      <c r="C45" s="111"/>
      <c r="I45" s="433"/>
      <c r="J45" s="433"/>
      <c r="K45" s="433"/>
      <c r="S45" s="112"/>
    </row>
    <row r="46" spans="1:33" s="63" customFormat="1" ht="60" customHeight="1" x14ac:dyDescent="0.3">
      <c r="A46" s="336"/>
      <c r="C46" s="111"/>
      <c r="I46" s="433"/>
      <c r="J46" s="433"/>
      <c r="K46" s="433"/>
      <c r="S46" s="112"/>
    </row>
    <row r="47" spans="1:33" s="63" customFormat="1" ht="60" customHeight="1" x14ac:dyDescent="0.3">
      <c r="A47" s="336"/>
      <c r="C47" s="111"/>
      <c r="I47" s="433"/>
      <c r="J47" s="433"/>
      <c r="K47" s="433"/>
      <c r="S47" s="112"/>
    </row>
    <row r="48" spans="1:33" s="63" customFormat="1" ht="60" customHeight="1" x14ac:dyDescent="0.3">
      <c r="A48" s="336"/>
      <c r="C48" s="111"/>
      <c r="I48" s="433"/>
      <c r="J48" s="433"/>
      <c r="K48" s="433"/>
      <c r="S48" s="112"/>
    </row>
    <row r="49" spans="1:19" s="63" customFormat="1" ht="60" customHeight="1" x14ac:dyDescent="0.3">
      <c r="A49" s="336"/>
      <c r="C49" s="111"/>
      <c r="I49" s="433"/>
      <c r="J49" s="433"/>
      <c r="K49" s="433"/>
      <c r="S49" s="112"/>
    </row>
    <row r="50" spans="1:19" s="63" customFormat="1" ht="60" customHeight="1" x14ac:dyDescent="0.3">
      <c r="A50" s="336"/>
      <c r="C50" s="111"/>
      <c r="I50" s="433"/>
      <c r="J50" s="433"/>
      <c r="K50" s="433"/>
      <c r="S50" s="112"/>
    </row>
    <row r="51" spans="1:19" s="63" customFormat="1" ht="60" customHeight="1" x14ac:dyDescent="0.3">
      <c r="A51" s="336"/>
      <c r="C51" s="111"/>
      <c r="I51" s="433"/>
      <c r="J51" s="433"/>
      <c r="K51" s="433"/>
      <c r="S51" s="112"/>
    </row>
    <row r="52" spans="1:19" s="63" customFormat="1" ht="60" customHeight="1" x14ac:dyDescent="0.3">
      <c r="A52" s="336"/>
      <c r="C52" s="111"/>
      <c r="I52" s="433"/>
      <c r="J52" s="433"/>
      <c r="K52" s="433"/>
      <c r="S52" s="112"/>
    </row>
    <row r="53" spans="1:19" s="63" customFormat="1" ht="60" customHeight="1" x14ac:dyDescent="0.3">
      <c r="A53" s="336"/>
      <c r="C53" s="111"/>
      <c r="I53" s="433"/>
      <c r="J53" s="433"/>
      <c r="K53" s="433"/>
      <c r="S53" s="112"/>
    </row>
    <row r="54" spans="1:19" s="63" customFormat="1" ht="60" customHeight="1" x14ac:dyDescent="0.3">
      <c r="A54" s="336"/>
      <c r="C54" s="111"/>
      <c r="I54" s="433"/>
      <c r="J54" s="433"/>
      <c r="K54" s="433"/>
      <c r="S54" s="112"/>
    </row>
    <row r="55" spans="1:19" s="63" customFormat="1" ht="60" customHeight="1" x14ac:dyDescent="0.3">
      <c r="A55" s="336"/>
      <c r="C55" s="111"/>
      <c r="I55" s="433"/>
      <c r="J55" s="433"/>
      <c r="K55" s="433"/>
      <c r="S55" s="112"/>
    </row>
    <row r="56" spans="1:19" s="63" customFormat="1" ht="60" customHeight="1" x14ac:dyDescent="0.3">
      <c r="A56" s="336"/>
      <c r="C56" s="111"/>
      <c r="I56" s="433"/>
      <c r="J56" s="433"/>
      <c r="K56" s="433"/>
      <c r="S56" s="112"/>
    </row>
    <row r="57" spans="1:19" s="63" customFormat="1" ht="60" customHeight="1" x14ac:dyDescent="0.3">
      <c r="A57" s="336"/>
      <c r="C57" s="111"/>
      <c r="I57" s="433"/>
      <c r="J57" s="433"/>
      <c r="K57" s="433"/>
      <c r="S57" s="112"/>
    </row>
    <row r="58" spans="1:19" s="63" customFormat="1" ht="60" customHeight="1" x14ac:dyDescent="0.3">
      <c r="A58" s="336"/>
      <c r="C58" s="111"/>
      <c r="I58" s="433"/>
      <c r="J58" s="433"/>
      <c r="K58" s="433"/>
      <c r="S58" s="112"/>
    </row>
    <row r="59" spans="1:19" s="63" customFormat="1" ht="60" customHeight="1" x14ac:dyDescent="0.3">
      <c r="A59" s="336"/>
      <c r="C59" s="111"/>
      <c r="I59" s="433"/>
      <c r="J59" s="433"/>
      <c r="K59" s="433"/>
      <c r="S59" s="112"/>
    </row>
    <row r="60" spans="1:19" s="63" customFormat="1" ht="60" customHeight="1" x14ac:dyDescent="0.3">
      <c r="A60" s="336"/>
      <c r="C60" s="111"/>
      <c r="I60" s="433"/>
      <c r="J60" s="433"/>
      <c r="K60" s="433"/>
      <c r="S60" s="112"/>
    </row>
    <row r="61" spans="1:19" s="63" customFormat="1" ht="60" customHeight="1" x14ac:dyDescent="0.3">
      <c r="A61" s="336"/>
      <c r="C61" s="111"/>
      <c r="I61" s="433"/>
      <c r="J61" s="433"/>
      <c r="K61" s="433"/>
      <c r="S61" s="112"/>
    </row>
    <row r="62" spans="1:19" s="63" customFormat="1" ht="60" customHeight="1" x14ac:dyDescent="0.3">
      <c r="A62" s="336"/>
      <c r="C62" s="111"/>
      <c r="I62" s="433"/>
      <c r="J62" s="433"/>
      <c r="K62" s="433"/>
      <c r="S62" s="112"/>
    </row>
    <row r="63" spans="1:19" s="63" customFormat="1" ht="60" customHeight="1" x14ac:dyDescent="0.3">
      <c r="A63" s="336"/>
      <c r="C63" s="111"/>
      <c r="I63" s="433"/>
      <c r="J63" s="433"/>
      <c r="K63" s="433"/>
      <c r="S63" s="112"/>
    </row>
    <row r="64" spans="1:19" s="63" customFormat="1" ht="60" customHeight="1" x14ac:dyDescent="0.3">
      <c r="A64" s="336"/>
      <c r="C64" s="111"/>
      <c r="I64" s="433"/>
      <c r="J64" s="433"/>
      <c r="K64" s="433"/>
      <c r="S64" s="112"/>
    </row>
    <row r="65" spans="1:19" s="63" customFormat="1" ht="60" customHeight="1" x14ac:dyDescent="0.3">
      <c r="A65" s="336"/>
      <c r="C65" s="111"/>
      <c r="I65" s="433"/>
      <c r="J65" s="433"/>
      <c r="K65" s="433"/>
      <c r="S65" s="112"/>
    </row>
    <row r="66" spans="1:19" s="63" customFormat="1" ht="60" customHeight="1" x14ac:dyDescent="0.3">
      <c r="A66" s="336"/>
      <c r="C66" s="111"/>
      <c r="I66" s="433"/>
      <c r="J66" s="433"/>
      <c r="K66" s="433"/>
      <c r="S66" s="112"/>
    </row>
    <row r="67" spans="1:19" s="63" customFormat="1" ht="60" customHeight="1" x14ac:dyDescent="0.3">
      <c r="A67" s="336"/>
      <c r="C67" s="111"/>
      <c r="I67" s="433"/>
      <c r="J67" s="433"/>
      <c r="K67" s="433"/>
      <c r="S67" s="112"/>
    </row>
    <row r="68" spans="1:19" s="63" customFormat="1" ht="60" customHeight="1" x14ac:dyDescent="0.3">
      <c r="A68" s="336"/>
      <c r="C68" s="111"/>
      <c r="I68" s="433"/>
      <c r="J68" s="433"/>
      <c r="K68" s="433"/>
      <c r="S68" s="112"/>
    </row>
    <row r="69" spans="1:19" s="63" customFormat="1" ht="60" customHeight="1" x14ac:dyDescent="0.3">
      <c r="A69" s="336"/>
      <c r="C69" s="111"/>
      <c r="I69" s="433"/>
      <c r="J69" s="433"/>
      <c r="K69" s="433"/>
      <c r="S69" s="112"/>
    </row>
    <row r="70" spans="1:19" s="63" customFormat="1" ht="60" customHeight="1" x14ac:dyDescent="0.3">
      <c r="A70" s="336"/>
      <c r="C70" s="111"/>
      <c r="I70" s="433"/>
      <c r="J70" s="433"/>
      <c r="K70" s="433"/>
      <c r="S70" s="112"/>
    </row>
    <row r="71" spans="1:19" s="63" customFormat="1" ht="60" customHeight="1" x14ac:dyDescent="0.3">
      <c r="A71" s="336"/>
      <c r="C71" s="111"/>
      <c r="I71" s="433"/>
      <c r="J71" s="433"/>
      <c r="K71" s="433"/>
      <c r="S71" s="112"/>
    </row>
    <row r="72" spans="1:19" s="63" customFormat="1" x14ac:dyDescent="0.3">
      <c r="A72" s="336"/>
      <c r="C72" s="111"/>
      <c r="I72" s="433"/>
      <c r="J72" s="433"/>
      <c r="K72" s="433"/>
      <c r="S72" s="112"/>
    </row>
    <row r="73" spans="1:19" s="63" customFormat="1" x14ac:dyDescent="0.3">
      <c r="A73" s="336"/>
      <c r="C73" s="111"/>
      <c r="I73" s="433"/>
      <c r="J73" s="433"/>
      <c r="K73" s="433"/>
      <c r="S73" s="112"/>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I63"/>
  <sheetViews>
    <sheetView showGridLines="0" topLeftCell="A10" zoomScaleNormal="100" workbookViewId="0">
      <selection activeCell="E24" sqref="E24"/>
    </sheetView>
  </sheetViews>
  <sheetFormatPr defaultColWidth="9" defaultRowHeight="20.25" outlineLevelRow="1" outlineLevelCol="1" x14ac:dyDescent="0.3"/>
  <cols>
    <col min="1" max="1" width="13.5" style="336" customWidth="1"/>
    <col min="2" max="2" width="2.75" customWidth="1"/>
    <col min="3" max="3" width="2.625" style="43" customWidth="1"/>
    <col min="4" max="4" width="38.125" style="101" customWidth="1"/>
    <col min="5" max="5" width="25.625" style="101" customWidth="1"/>
    <col min="6" max="15" width="1.625" style="101" customWidth="1"/>
    <col min="16" max="16" width="15.75" style="101" customWidth="1"/>
    <col min="17" max="17" width="2.7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6.75" style="435" hidden="1" customWidth="1" outlineLevel="1"/>
    <col min="23" max="23" width="6.875" style="435" hidden="1" customWidth="1" outlineLevel="1"/>
    <col min="24" max="24" width="30.625" style="63" customWidth="1" collapsed="1"/>
    <col min="25" max="25" width="16.5" style="63" customWidth="1"/>
    <col min="26" max="26" width="18" style="63" customWidth="1"/>
    <col min="27" max="35" width="31.125" style="63" customWidth="1"/>
    <col min="36" max="16384" width="9" style="101"/>
  </cols>
  <sheetData>
    <row r="1" spans="1:35" s="63" customFormat="1" ht="20.25" customHeight="1" x14ac:dyDescent="0.2">
      <c r="A1" s="349" t="s">
        <v>100</v>
      </c>
      <c r="B1" s="333"/>
      <c r="C1" s="333"/>
      <c r="D1" s="333"/>
      <c r="E1" s="333"/>
      <c r="F1" s="333"/>
      <c r="G1" s="333"/>
      <c r="H1" s="333"/>
      <c r="I1" s="333"/>
      <c r="J1" s="333"/>
      <c r="K1" s="333"/>
      <c r="L1" s="333"/>
      <c r="M1" s="333"/>
      <c r="N1" s="333"/>
      <c r="O1" s="333"/>
      <c r="P1" s="333"/>
      <c r="Q1" s="333"/>
      <c r="R1" s="333"/>
      <c r="S1" s="112"/>
      <c r="V1" s="435"/>
      <c r="W1" s="435"/>
    </row>
    <row r="2" spans="1:35" s="6" customFormat="1" ht="30" customHeight="1" thickBot="1" x14ac:dyDescent="0.35">
      <c r="A2" s="335"/>
      <c r="B2" s="333"/>
      <c r="C2" s="331">
        <v>5</v>
      </c>
      <c r="D2" s="330" t="s">
        <v>228</v>
      </c>
      <c r="E2" s="716" t="str">
        <f>R.1MediaAndLongName</f>
        <v>AQ GrantsPassLMP</v>
      </c>
      <c r="F2" s="716"/>
      <c r="G2" s="716"/>
      <c r="H2" s="716"/>
      <c r="I2" s="716"/>
      <c r="J2" s="716"/>
      <c r="K2" s="716"/>
      <c r="L2" s="716"/>
      <c r="M2" s="716"/>
      <c r="N2" s="716"/>
      <c r="O2" s="716"/>
      <c r="P2" s="716"/>
      <c r="Q2" s="153"/>
      <c r="R2" s="333"/>
      <c r="S2" s="118" t="str">
        <f>"R."&amp;$C$2&amp;"StaffCount"</f>
        <v>R.5StaffCount</v>
      </c>
      <c r="T2" s="118" t="str">
        <f>"R."&amp;$C$2&amp;"LowHrs"</f>
        <v>R.5LowHrs</v>
      </c>
      <c r="U2" s="348" t="str">
        <f>"R."&amp;$C$2&amp;"HighHrs"</f>
        <v>R.5HighHrs</v>
      </c>
      <c r="V2" s="348"/>
      <c r="W2" s="348"/>
      <c r="X2" s="119" t="s">
        <v>0</v>
      </c>
      <c r="Y2" s="63"/>
      <c r="Z2" s="63"/>
      <c r="AA2" s="63"/>
      <c r="AB2" s="63"/>
      <c r="AC2" s="63"/>
      <c r="AD2" s="63"/>
      <c r="AE2" s="63"/>
      <c r="AF2" s="65"/>
      <c r="AG2" s="65"/>
      <c r="AH2" s="65"/>
      <c r="AI2" s="65"/>
    </row>
    <row r="3" spans="1:35" s="28" customFormat="1" ht="20.25" customHeight="1" thickTop="1" x14ac:dyDescent="0.2">
      <c r="A3" s="341"/>
      <c r="B3" s="333"/>
      <c r="C3" s="236"/>
      <c r="D3" s="237"/>
      <c r="E3" s="237"/>
      <c r="F3" s="237"/>
      <c r="G3" s="163"/>
      <c r="H3" s="163"/>
      <c r="I3" s="163"/>
      <c r="J3" s="96"/>
      <c r="K3" s="39"/>
      <c r="L3" s="39"/>
      <c r="M3" s="702" t="s">
        <v>54</v>
      </c>
      <c r="N3" s="702"/>
      <c r="O3" s="702"/>
      <c r="P3" s="702"/>
      <c r="Q3" s="239"/>
      <c r="R3" s="333"/>
      <c r="S3" s="353">
        <f>COUNTIFS(S9:S27,"&gt;0")</f>
        <v>6</v>
      </c>
      <c r="T3" s="354">
        <f>SUM(T9:T27)</f>
        <v>6</v>
      </c>
      <c r="U3" s="354">
        <f>SUM(U9:U27)</f>
        <v>48</v>
      </c>
      <c r="V3" s="497"/>
      <c r="W3" s="497"/>
      <c r="X3" s="240"/>
      <c r="Y3" s="235"/>
      <c r="Z3" s="235"/>
      <c r="AA3" s="235"/>
      <c r="AB3" s="235"/>
      <c r="AC3" s="235"/>
      <c r="AD3" s="235"/>
      <c r="AE3" s="235"/>
      <c r="AF3" s="64"/>
      <c r="AG3" s="64"/>
      <c r="AH3" s="64"/>
      <c r="AI3" s="64"/>
    </row>
    <row r="4" spans="1:35" s="28" customFormat="1" ht="20.25" customHeight="1" x14ac:dyDescent="0.2">
      <c r="A4" s="343"/>
      <c r="B4" s="333"/>
      <c r="C4" s="236"/>
      <c r="D4" s="493" t="s">
        <v>52</v>
      </c>
      <c r="E4" s="80">
        <f>S3</f>
        <v>6</v>
      </c>
      <c r="F4" s="703" t="s">
        <v>51</v>
      </c>
      <c r="G4" s="703"/>
      <c r="H4" s="703"/>
      <c r="I4" s="703"/>
      <c r="J4" s="703"/>
      <c r="K4" s="703"/>
      <c r="L4" s="703"/>
      <c r="M4" s="704" t="str">
        <f>S4</f>
        <v>6-48</v>
      </c>
      <c r="N4" s="704"/>
      <c r="O4" s="704"/>
      <c r="P4" s="704"/>
      <c r="Q4" s="239"/>
      <c r="R4" s="333"/>
      <c r="S4" s="121" t="str">
        <f>IF(R.5StaffCount=0,"0",IF(R.5LowHrs=0,"0-"&amp;TEXT(R.5HighHrs,"#,###"),TEXT(R.5LowHrs,"#,###")&amp;"-"&amp;TEXT(R.5HighHrs,"#,###")))</f>
        <v>6-48</v>
      </c>
      <c r="T4" s="118" t="str">
        <f>"R."&amp;$C$2&amp;"LowDollars"</f>
        <v>R.5LowDollars</v>
      </c>
      <c r="U4" s="348" t="str">
        <f>"R."&amp;$C$2&amp;"HighDollars"</f>
        <v>R.5HighDollars</v>
      </c>
      <c r="V4" s="348"/>
      <c r="W4" s="348"/>
      <c r="X4" s="240"/>
      <c r="Y4" s="235"/>
      <c r="Z4" s="235"/>
      <c r="AA4" s="235"/>
      <c r="AB4" s="235"/>
      <c r="AC4" s="235"/>
      <c r="AD4" s="235"/>
      <c r="AE4" s="235"/>
      <c r="AF4" s="64"/>
      <c r="AG4" s="64"/>
      <c r="AH4" s="64"/>
      <c r="AI4" s="64"/>
    </row>
    <row r="5" spans="1:35" s="28" customFormat="1" ht="20.25" customHeight="1" x14ac:dyDescent="0.2">
      <c r="A5" s="343"/>
      <c r="B5" s="333"/>
      <c r="C5" s="236"/>
      <c r="D5" s="493" t="s">
        <v>53</v>
      </c>
      <c r="E5" s="97">
        <v>58</v>
      </c>
      <c r="F5" s="703" t="s">
        <v>55</v>
      </c>
      <c r="G5" s="703"/>
      <c r="H5" s="703"/>
      <c r="I5" s="703"/>
      <c r="J5" s="703"/>
      <c r="K5" s="703"/>
      <c r="L5" s="703"/>
      <c r="M5" s="705" t="str">
        <f>S5</f>
        <v>$348-2,784</v>
      </c>
      <c r="N5" s="705"/>
      <c r="O5" s="705"/>
      <c r="P5" s="705"/>
      <c r="Q5" s="239"/>
      <c r="R5" s="333"/>
      <c r="S5" s="352" t="str">
        <f>IF(R.5StaffCount=0,"$0",IF(R.5LowDollars=0,"$0-"&amp;TEXT(R.5HighDollars,"#,###"),TEXT(R.5LowDollars,"$#,###")&amp;"-"&amp;TEXT(R.5HighDollars,"#,###")))</f>
        <v>$348-2,784</v>
      </c>
      <c r="T5" s="351">
        <f>T3*E5</f>
        <v>348</v>
      </c>
      <c r="U5" s="351">
        <f>U3*E5</f>
        <v>2784</v>
      </c>
      <c r="V5" s="509"/>
      <c r="W5" s="509"/>
      <c r="X5" s="240"/>
      <c r="Y5" s="235"/>
      <c r="Z5" s="235"/>
      <c r="AA5" s="235"/>
      <c r="AB5" s="235"/>
      <c r="AC5" s="235"/>
      <c r="AD5" s="235"/>
      <c r="AE5" s="235"/>
      <c r="AF5" s="64"/>
      <c r="AG5" s="64"/>
      <c r="AH5" s="64"/>
      <c r="AI5" s="64"/>
    </row>
    <row r="6" spans="1:35" s="6" customFormat="1" ht="30" customHeight="1" x14ac:dyDescent="0.3">
      <c r="A6" s="343"/>
      <c r="B6" s="333"/>
      <c r="C6" s="154"/>
      <c r="D6" s="446" t="s">
        <v>63</v>
      </c>
      <c r="E6" s="99"/>
      <c r="F6" s="98"/>
      <c r="G6" s="98"/>
      <c r="H6" s="98"/>
      <c r="I6" s="98"/>
      <c r="J6" s="98"/>
      <c r="K6" s="98"/>
      <c r="L6" s="98"/>
      <c r="M6" s="98"/>
      <c r="N6" s="98"/>
      <c r="O6" s="98"/>
      <c r="P6" s="98"/>
      <c r="Q6" s="155"/>
      <c r="R6" s="333"/>
      <c r="S6" s="65"/>
      <c r="T6" s="65"/>
      <c r="U6" s="65"/>
      <c r="V6" s="65"/>
      <c r="W6" s="65"/>
      <c r="X6" s="119"/>
      <c r="Y6" s="63"/>
      <c r="Z6" s="63"/>
      <c r="AA6" s="63"/>
      <c r="AB6" s="63"/>
      <c r="AC6" s="63"/>
      <c r="AD6" s="63"/>
      <c r="AE6" s="63"/>
      <c r="AF6" s="65"/>
      <c r="AG6" s="65"/>
      <c r="AH6" s="65"/>
      <c r="AI6" s="65"/>
    </row>
    <row r="7" spans="1:35" s="68" customFormat="1" ht="15.75" customHeight="1" x14ac:dyDescent="0.2">
      <c r="A7" s="344"/>
      <c r="B7" s="333"/>
      <c r="C7" s="156"/>
      <c r="D7" s="697"/>
      <c r="E7" s="698"/>
      <c r="F7" s="698"/>
      <c r="G7" s="698"/>
      <c r="H7" s="698"/>
      <c r="I7" s="698"/>
      <c r="J7" s="698"/>
      <c r="K7" s="698"/>
      <c r="L7" s="698"/>
      <c r="M7" s="698"/>
      <c r="N7" s="698"/>
      <c r="O7" s="698"/>
      <c r="P7" s="699"/>
      <c r="Q7" s="157"/>
      <c r="R7" s="333"/>
      <c r="S7" s="715" t="s">
        <v>0</v>
      </c>
      <c r="T7" s="715"/>
      <c r="U7" s="715"/>
      <c r="V7" s="465"/>
      <c r="W7" s="465"/>
      <c r="X7" s="125"/>
      <c r="Y7" s="125" t="s">
        <v>0</v>
      </c>
      <c r="Z7" s="125"/>
      <c r="AA7" s="125"/>
      <c r="AB7" s="125"/>
      <c r="AC7" s="125"/>
      <c r="AD7" s="125"/>
      <c r="AE7" s="125"/>
      <c r="AF7" s="124"/>
      <c r="AG7" s="124"/>
      <c r="AH7" s="124"/>
      <c r="AI7" s="124"/>
    </row>
    <row r="8" spans="1:35" s="68" customFormat="1" ht="14.25" customHeight="1" x14ac:dyDescent="0.2">
      <c r="A8" s="344"/>
      <c r="B8" s="333"/>
      <c r="C8" s="403"/>
      <c r="D8" s="404"/>
      <c r="E8" s="404"/>
      <c r="F8" s="404"/>
      <c r="G8" s="404"/>
      <c r="H8" s="404"/>
      <c r="I8" s="404"/>
      <c r="J8" s="404"/>
      <c r="K8" s="404"/>
      <c r="L8" s="404"/>
      <c r="M8" s="404"/>
      <c r="N8" s="404"/>
      <c r="O8" s="404"/>
      <c r="P8" s="404"/>
      <c r="Q8" s="405"/>
      <c r="R8" s="333"/>
      <c r="S8" s="124"/>
      <c r="T8" s="124"/>
      <c r="U8" s="124"/>
      <c r="V8" s="124"/>
      <c r="W8" s="124"/>
      <c r="X8" s="125"/>
      <c r="Y8" s="125"/>
      <c r="Z8" s="125"/>
      <c r="AA8" s="125"/>
      <c r="AB8" s="125"/>
      <c r="AC8" s="125"/>
      <c r="AD8" s="125"/>
      <c r="AE8" s="125"/>
      <c r="AF8" s="124"/>
      <c r="AG8" s="124"/>
      <c r="AH8" s="124"/>
      <c r="AI8" s="124"/>
    </row>
    <row r="9" spans="1:35" s="32" customFormat="1" ht="30" customHeight="1" x14ac:dyDescent="0.3">
      <c r="A9" s="349" t="s">
        <v>103</v>
      </c>
      <c r="B9" s="333"/>
      <c r="C9" s="135"/>
      <c r="D9" s="303" t="s">
        <v>120</v>
      </c>
      <c r="E9" s="93"/>
      <c r="F9" s="434"/>
      <c r="G9" s="434"/>
      <c r="H9" s="434"/>
      <c r="I9" s="434"/>
      <c r="J9" s="434"/>
      <c r="K9" s="434"/>
      <c r="L9" s="434"/>
      <c r="M9" s="434"/>
      <c r="N9" s="434"/>
      <c r="O9" s="434"/>
      <c r="P9" s="93"/>
      <c r="Q9" s="136"/>
      <c r="R9" s="333"/>
      <c r="S9" s="133"/>
      <c r="T9" s="130"/>
      <c r="U9" s="130"/>
      <c r="V9" s="130"/>
      <c r="W9" s="130"/>
      <c r="X9" s="128"/>
      <c r="Y9" s="128"/>
      <c r="Z9" s="128"/>
      <c r="AA9" s="128"/>
      <c r="AB9" s="128"/>
      <c r="AC9" s="128"/>
      <c r="AD9" s="128"/>
      <c r="AE9" s="128"/>
      <c r="AF9" s="126"/>
      <c r="AG9" s="126"/>
      <c r="AH9" s="126"/>
      <c r="AI9" s="126"/>
    </row>
    <row r="10" spans="1:35" s="32" customFormat="1" ht="14.25" customHeight="1" x14ac:dyDescent="0.2">
      <c r="A10" s="343"/>
      <c r="B10" s="333"/>
      <c r="C10" s="231"/>
      <c r="D10" s="442" t="s">
        <v>173</v>
      </c>
      <c r="E10" s="93"/>
      <c r="F10" s="93"/>
      <c r="G10" s="93"/>
      <c r="H10" s="93"/>
      <c r="I10" s="93"/>
      <c r="J10" s="93"/>
      <c r="K10" s="93"/>
      <c r="L10" s="93"/>
      <c r="M10" s="93"/>
      <c r="N10" s="93"/>
      <c r="O10" s="93"/>
      <c r="P10" s="93"/>
      <c r="Q10" s="136"/>
      <c r="R10" s="333"/>
      <c r="S10" s="234"/>
      <c r="T10" s="228"/>
      <c r="U10" s="228"/>
      <c r="V10" s="228"/>
      <c r="W10" s="228"/>
      <c r="X10" s="229"/>
      <c r="Y10" s="229"/>
      <c r="Z10" s="229"/>
      <c r="AA10" s="229"/>
      <c r="AB10" s="229"/>
      <c r="AC10" s="229"/>
      <c r="AD10" s="229"/>
      <c r="AE10" s="229"/>
      <c r="AF10" s="126"/>
      <c r="AG10" s="126"/>
      <c r="AH10" s="126"/>
      <c r="AI10" s="126"/>
    </row>
    <row r="11" spans="1:35" s="27" customFormat="1" ht="15.75" customHeight="1" x14ac:dyDescent="0.2">
      <c r="A11" s="344"/>
      <c r="B11" s="333"/>
      <c r="C11" s="137"/>
      <c r="D11" s="717"/>
      <c r="E11" s="718"/>
      <c r="F11" s="718"/>
      <c r="G11" s="718"/>
      <c r="H11" s="718"/>
      <c r="I11" s="718"/>
      <c r="J11" s="718"/>
      <c r="K11" s="718"/>
      <c r="L11" s="718"/>
      <c r="M11" s="718"/>
      <c r="N11" s="718"/>
      <c r="O11" s="718"/>
      <c r="P11" s="719"/>
      <c r="Q11" s="138"/>
      <c r="R11" s="333"/>
      <c r="S11" s="131" t="s">
        <v>0</v>
      </c>
      <c r="T11" s="130"/>
      <c r="U11" s="130"/>
      <c r="V11" s="130"/>
      <c r="W11" s="130"/>
      <c r="X11" s="63"/>
      <c r="Y11" s="63"/>
      <c r="Z11" s="63"/>
      <c r="AA11" s="63"/>
      <c r="AB11" s="63"/>
      <c r="AC11" s="63"/>
      <c r="AD11" s="63"/>
      <c r="AE11" s="63"/>
      <c r="AF11" s="129"/>
      <c r="AG11" s="129"/>
      <c r="AH11" s="129"/>
      <c r="AI11" s="129"/>
    </row>
    <row r="12" spans="1:35" s="32" customFormat="1" ht="14.25" customHeight="1" x14ac:dyDescent="0.2">
      <c r="A12" s="343"/>
      <c r="B12" s="333"/>
      <c r="C12" s="231"/>
      <c r="D12" s="441" t="s">
        <v>57</v>
      </c>
      <c r="E12" s="291" t="s">
        <v>15</v>
      </c>
      <c r="F12" s="291" t="s">
        <v>16</v>
      </c>
      <c r="G12" s="291"/>
      <c r="H12" s="291"/>
      <c r="I12" s="291"/>
      <c r="J12" s="291"/>
      <c r="K12" s="291"/>
      <c r="L12" s="291"/>
      <c r="M12" s="291"/>
      <c r="N12" s="291"/>
      <c r="O12" s="291"/>
      <c r="P12" s="508" t="s">
        <v>67</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x14ac:dyDescent="0.2">
      <c r="A13" s="344"/>
      <c r="B13" s="333"/>
      <c r="C13" s="137"/>
      <c r="D13" s="523" t="s">
        <v>176</v>
      </c>
      <c r="E13" s="29" t="s">
        <v>219</v>
      </c>
      <c r="F13" s="70">
        <v>1</v>
      </c>
      <c r="G13" s="71">
        <v>2</v>
      </c>
      <c r="H13" s="72">
        <v>3</v>
      </c>
      <c r="I13" s="73">
        <v>4</v>
      </c>
      <c r="J13" s="74">
        <v>5</v>
      </c>
      <c r="K13" s="75">
        <v>6</v>
      </c>
      <c r="L13" s="76">
        <v>7</v>
      </c>
      <c r="M13" s="77">
        <v>8</v>
      </c>
      <c r="N13" s="78">
        <v>9</v>
      </c>
      <c r="O13" s="79">
        <v>10</v>
      </c>
      <c r="P13" s="506"/>
      <c r="Q13" s="138"/>
      <c r="R13" s="333"/>
      <c r="S13" s="132">
        <f t="shared" ref="S13:S18" si="0">VLOOKUP($E13,R.VL_DEQResourcesInvolved,2,FALSE)</f>
        <v>1</v>
      </c>
      <c r="T13" s="120">
        <f t="shared" ref="T13:T18" si="1">VLOOKUP($E13,R.VL_DEQResourcesInvolved,3,FALSE)</f>
        <v>1</v>
      </c>
      <c r="U13" s="120">
        <f t="shared" ref="U13:U18" si="2">IF(S13=10,T13,VLOOKUP($E13,R.VL_DEQResourcesInvolved,4,FALSE))</f>
        <v>8</v>
      </c>
      <c r="V13" s="120" t="str">
        <f t="shared" ref="V13:V18" si="3">T13&amp;"-"&amp;U13</f>
        <v>1-8</v>
      </c>
      <c r="W13" s="127"/>
      <c r="X13" s="574" t="s">
        <v>575</v>
      </c>
      <c r="Y13" s="63"/>
      <c r="Z13" s="63"/>
      <c r="AA13" s="63"/>
      <c r="AB13" s="63"/>
      <c r="AC13" s="63"/>
      <c r="AD13" s="63"/>
      <c r="AE13" s="63"/>
      <c r="AF13" s="129"/>
      <c r="AG13" s="129"/>
      <c r="AH13" s="129"/>
      <c r="AI13" s="129"/>
    </row>
    <row r="14" spans="1:35" s="27" customFormat="1" ht="15.75" customHeight="1" x14ac:dyDescent="0.2">
      <c r="A14" s="344"/>
      <c r="B14" s="333"/>
      <c r="C14" s="137"/>
      <c r="D14" s="523" t="s">
        <v>182</v>
      </c>
      <c r="E14" s="29" t="s">
        <v>219</v>
      </c>
      <c r="F14" s="70">
        <v>1</v>
      </c>
      <c r="G14" s="71">
        <v>2</v>
      </c>
      <c r="H14" s="72">
        <v>3</v>
      </c>
      <c r="I14" s="73">
        <v>4</v>
      </c>
      <c r="J14" s="74">
        <v>5</v>
      </c>
      <c r="K14" s="75">
        <v>6</v>
      </c>
      <c r="L14" s="76">
        <v>7</v>
      </c>
      <c r="M14" s="77">
        <v>8</v>
      </c>
      <c r="N14" s="78">
        <v>9</v>
      </c>
      <c r="O14" s="79">
        <v>10</v>
      </c>
      <c r="P14" s="506"/>
      <c r="Q14" s="138"/>
      <c r="R14" s="333"/>
      <c r="S14" s="132">
        <f t="shared" si="0"/>
        <v>1</v>
      </c>
      <c r="T14" s="120">
        <f t="shared" si="1"/>
        <v>1</v>
      </c>
      <c r="U14" s="120">
        <f t="shared" si="2"/>
        <v>8</v>
      </c>
      <c r="V14" s="120" t="str">
        <f t="shared" si="3"/>
        <v>1-8</v>
      </c>
      <c r="W14" s="127"/>
      <c r="X14" s="574" t="s">
        <v>575</v>
      </c>
      <c r="Y14" s="435"/>
      <c r="Z14" s="435"/>
      <c r="AA14" s="435"/>
      <c r="AB14" s="435"/>
      <c r="AC14" s="435"/>
      <c r="AD14" s="435"/>
      <c r="AE14" s="435"/>
      <c r="AF14" s="129"/>
      <c r="AG14" s="129"/>
      <c r="AH14" s="129"/>
      <c r="AI14" s="129"/>
    </row>
    <row r="15" spans="1:35" s="27" customFormat="1" ht="15.75" customHeight="1" outlineLevel="1" x14ac:dyDescent="0.2">
      <c r="A15" s="344"/>
      <c r="B15" s="333"/>
      <c r="C15" s="137"/>
      <c r="D15" s="523" t="s">
        <v>178</v>
      </c>
      <c r="E15" s="29" t="s">
        <v>219</v>
      </c>
      <c r="F15" s="70">
        <v>1</v>
      </c>
      <c r="G15" s="71">
        <v>2</v>
      </c>
      <c r="H15" s="72">
        <v>3</v>
      </c>
      <c r="I15" s="73">
        <v>4</v>
      </c>
      <c r="J15" s="74">
        <v>5</v>
      </c>
      <c r="K15" s="75">
        <v>6</v>
      </c>
      <c r="L15" s="76">
        <v>7</v>
      </c>
      <c r="M15" s="77">
        <v>8</v>
      </c>
      <c r="N15" s="78">
        <v>9</v>
      </c>
      <c r="O15" s="79">
        <v>10</v>
      </c>
      <c r="P15" s="507"/>
      <c r="Q15" s="138"/>
      <c r="R15" s="333"/>
      <c r="S15" s="132">
        <f t="shared" si="0"/>
        <v>1</v>
      </c>
      <c r="T15" s="120">
        <f t="shared" si="1"/>
        <v>1</v>
      </c>
      <c r="U15" s="120">
        <f t="shared" si="2"/>
        <v>8</v>
      </c>
      <c r="V15" s="120" t="str">
        <f t="shared" si="3"/>
        <v>1-8</v>
      </c>
      <c r="W15" s="127"/>
      <c r="X15" s="574" t="s">
        <v>575</v>
      </c>
      <c r="Y15" s="435"/>
      <c r="Z15" s="435"/>
      <c r="AA15" s="435"/>
      <c r="AB15" s="435"/>
      <c r="AC15" s="435"/>
      <c r="AD15" s="435"/>
      <c r="AE15" s="435"/>
      <c r="AF15" s="129"/>
      <c r="AG15" s="129"/>
      <c r="AH15" s="129"/>
      <c r="AI15" s="129"/>
    </row>
    <row r="16" spans="1:35" s="27" customFormat="1" ht="15.75" customHeight="1" outlineLevel="1" x14ac:dyDescent="0.2">
      <c r="A16" s="344"/>
      <c r="B16" s="333"/>
      <c r="C16" s="137"/>
      <c r="D16" s="523" t="s">
        <v>179</v>
      </c>
      <c r="E16" s="29" t="s">
        <v>219</v>
      </c>
      <c r="F16" s="70">
        <v>1</v>
      </c>
      <c r="G16" s="71">
        <v>2</v>
      </c>
      <c r="H16" s="72">
        <v>3</v>
      </c>
      <c r="I16" s="73">
        <v>4</v>
      </c>
      <c r="J16" s="74">
        <v>5</v>
      </c>
      <c r="K16" s="75">
        <v>6</v>
      </c>
      <c r="L16" s="76">
        <v>7</v>
      </c>
      <c r="M16" s="77">
        <v>8</v>
      </c>
      <c r="N16" s="78">
        <v>9</v>
      </c>
      <c r="O16" s="79">
        <v>10</v>
      </c>
      <c r="P16" s="507"/>
      <c r="Q16" s="138"/>
      <c r="R16" s="333"/>
      <c r="S16" s="132">
        <f t="shared" si="0"/>
        <v>1</v>
      </c>
      <c r="T16" s="120">
        <f t="shared" si="1"/>
        <v>1</v>
      </c>
      <c r="U16" s="120">
        <f t="shared" si="2"/>
        <v>8</v>
      </c>
      <c r="V16" s="120" t="str">
        <f t="shared" si="3"/>
        <v>1-8</v>
      </c>
      <c r="W16" s="127"/>
      <c r="X16" s="574" t="s">
        <v>575</v>
      </c>
      <c r="Y16" s="435"/>
      <c r="Z16" s="435"/>
      <c r="AA16" s="435"/>
      <c r="AB16" s="435"/>
      <c r="AC16" s="435"/>
      <c r="AD16" s="435"/>
      <c r="AE16" s="435"/>
      <c r="AF16" s="129"/>
      <c r="AG16" s="129"/>
      <c r="AH16" s="129"/>
      <c r="AI16" s="129"/>
    </row>
    <row r="17" spans="1:35" s="27" customFormat="1" ht="15.75" customHeight="1" outlineLevel="1" x14ac:dyDescent="0.2">
      <c r="A17" s="344"/>
      <c r="B17" s="333"/>
      <c r="C17" s="137"/>
      <c r="D17" s="523" t="s">
        <v>180</v>
      </c>
      <c r="E17" s="29" t="s">
        <v>219</v>
      </c>
      <c r="F17" s="70">
        <v>1</v>
      </c>
      <c r="G17" s="71">
        <v>2</v>
      </c>
      <c r="H17" s="72">
        <v>3</v>
      </c>
      <c r="I17" s="73">
        <v>4</v>
      </c>
      <c r="J17" s="74">
        <v>5</v>
      </c>
      <c r="K17" s="75">
        <v>6</v>
      </c>
      <c r="L17" s="76">
        <v>7</v>
      </c>
      <c r="M17" s="77">
        <v>8</v>
      </c>
      <c r="N17" s="78">
        <v>9</v>
      </c>
      <c r="O17" s="79">
        <v>10</v>
      </c>
      <c r="P17" s="507"/>
      <c r="Q17" s="138"/>
      <c r="R17" s="333"/>
      <c r="S17" s="132">
        <f t="shared" si="0"/>
        <v>1</v>
      </c>
      <c r="T17" s="120">
        <f t="shared" si="1"/>
        <v>1</v>
      </c>
      <c r="U17" s="120">
        <f t="shared" si="2"/>
        <v>8</v>
      </c>
      <c r="V17" s="120" t="str">
        <f t="shared" si="3"/>
        <v>1-8</v>
      </c>
      <c r="W17" s="127"/>
      <c r="X17" s="574" t="s">
        <v>575</v>
      </c>
      <c r="Y17" s="435"/>
      <c r="Z17" s="435"/>
      <c r="AA17" s="435"/>
      <c r="AB17" s="435"/>
      <c r="AC17" s="435"/>
      <c r="AD17" s="435"/>
      <c r="AE17" s="435"/>
      <c r="AF17" s="129"/>
      <c r="AG17" s="129"/>
      <c r="AH17" s="129"/>
      <c r="AI17" s="129"/>
    </row>
    <row r="18" spans="1:35" s="27" customFormat="1" ht="15.75" customHeight="1" outlineLevel="1" x14ac:dyDescent="0.2">
      <c r="A18" s="344"/>
      <c r="B18" s="333"/>
      <c r="C18" s="137"/>
      <c r="D18" s="523" t="s">
        <v>183</v>
      </c>
      <c r="E18" s="29" t="s">
        <v>217</v>
      </c>
      <c r="F18" s="70">
        <v>1</v>
      </c>
      <c r="G18" s="71">
        <v>2</v>
      </c>
      <c r="H18" s="72">
        <v>3</v>
      </c>
      <c r="I18" s="73">
        <v>4</v>
      </c>
      <c r="J18" s="74">
        <v>5</v>
      </c>
      <c r="K18" s="75">
        <v>6</v>
      </c>
      <c r="L18" s="76">
        <v>7</v>
      </c>
      <c r="M18" s="77">
        <v>8</v>
      </c>
      <c r="N18" s="78">
        <v>9</v>
      </c>
      <c r="O18" s="79">
        <v>10</v>
      </c>
      <c r="P18" s="507"/>
      <c r="Q18" s="138"/>
      <c r="R18" s="333"/>
      <c r="S18" s="132">
        <f t="shared" si="0"/>
        <v>0</v>
      </c>
      <c r="T18" s="120">
        <f t="shared" si="1"/>
        <v>0</v>
      </c>
      <c r="U18" s="120">
        <f t="shared" si="2"/>
        <v>0</v>
      </c>
      <c r="V18" s="120" t="str">
        <f t="shared" si="3"/>
        <v>0-0</v>
      </c>
      <c r="W18" s="127"/>
      <c r="X18" s="574" t="s">
        <v>575</v>
      </c>
      <c r="Y18" s="435"/>
      <c r="Z18" s="435"/>
      <c r="AA18" s="435"/>
      <c r="AB18" s="435"/>
      <c r="AC18" s="435"/>
      <c r="AD18" s="435"/>
      <c r="AE18" s="435"/>
      <c r="AF18" s="129"/>
      <c r="AG18" s="129"/>
      <c r="AH18" s="129"/>
      <c r="AI18" s="129"/>
    </row>
    <row r="19" spans="1:35" s="27" customFormat="1" ht="14.25" customHeight="1" x14ac:dyDescent="0.2">
      <c r="A19" s="344"/>
      <c r="B19" s="333"/>
      <c r="C19" s="375"/>
      <c r="D19" s="376"/>
      <c r="E19" s="377"/>
      <c r="F19" s="377"/>
      <c r="G19" s="377"/>
      <c r="H19" s="377"/>
      <c r="I19" s="377"/>
      <c r="J19" s="377"/>
      <c r="K19" s="377"/>
      <c r="L19" s="377"/>
      <c r="M19" s="377"/>
      <c r="N19" s="377"/>
      <c r="O19" s="377"/>
      <c r="P19" s="377"/>
      <c r="Q19" s="378"/>
      <c r="R19" s="333"/>
      <c r="S19" s="131"/>
      <c r="T19" s="130"/>
      <c r="U19" s="130"/>
      <c r="V19" s="120" t="str">
        <f>SUM(T13:T18)&amp;"-"&amp;SUM(U13:U18)</f>
        <v>5-40</v>
      </c>
      <c r="W19"/>
      <c r="X19" s="63"/>
      <c r="Y19" s="63"/>
      <c r="Z19" s="63"/>
      <c r="AA19" s="63"/>
      <c r="AB19" s="63"/>
      <c r="AC19" s="63"/>
      <c r="AD19" s="63"/>
      <c r="AE19" s="63"/>
      <c r="AF19" s="129"/>
      <c r="AG19" s="129"/>
      <c r="AH19" s="129"/>
      <c r="AI19" s="129"/>
    </row>
    <row r="20" spans="1:35" s="32" customFormat="1" ht="30" customHeight="1" x14ac:dyDescent="0.3">
      <c r="A20" s="335"/>
      <c r="B20" s="333"/>
      <c r="C20" s="135"/>
      <c r="D20" s="444" t="s">
        <v>189</v>
      </c>
      <c r="E20" s="93"/>
      <c r="F20" s="93"/>
      <c r="G20" s="93"/>
      <c r="H20" s="93"/>
      <c r="I20" s="93"/>
      <c r="J20" s="93"/>
      <c r="K20" s="93"/>
      <c r="L20" s="93"/>
      <c r="M20" s="93"/>
      <c r="N20" s="93"/>
      <c r="O20" s="93"/>
      <c r="P20" s="93"/>
      <c r="Q20" s="136"/>
      <c r="R20" s="333"/>
      <c r="S20" s="133"/>
      <c r="T20" s="130"/>
      <c r="U20" s="130"/>
      <c r="V20" s="130"/>
      <c r="W20" s="130"/>
      <c r="X20" s="128"/>
      <c r="Y20" s="128"/>
      <c r="Z20" s="128"/>
      <c r="AA20" s="128"/>
      <c r="AB20" s="128"/>
      <c r="AC20" s="128"/>
      <c r="AD20" s="128"/>
      <c r="AE20" s="128"/>
      <c r="AF20" s="126"/>
      <c r="AG20" s="126"/>
      <c r="AH20" s="126"/>
      <c r="AI20" s="126"/>
    </row>
    <row r="21" spans="1:35" s="32" customFormat="1" ht="14.25" customHeight="1" x14ac:dyDescent="0.3">
      <c r="A21" s="343"/>
      <c r="B21" s="333"/>
      <c r="C21" s="135"/>
      <c r="D21" s="442" t="s">
        <v>173</v>
      </c>
      <c r="E21" s="93"/>
      <c r="F21" s="93"/>
      <c r="G21" s="93"/>
      <c r="H21" s="93"/>
      <c r="I21" s="93"/>
      <c r="J21" s="93"/>
      <c r="K21" s="93"/>
      <c r="L21" s="93"/>
      <c r="M21" s="93"/>
      <c r="N21" s="93"/>
      <c r="O21" s="93"/>
      <c r="P21" s="93"/>
      <c r="Q21" s="136"/>
      <c r="R21" s="333"/>
      <c r="S21" s="133"/>
      <c r="T21" s="130"/>
      <c r="U21" s="130"/>
      <c r="V21" s="130"/>
      <c r="W21" s="130"/>
      <c r="X21" s="128"/>
      <c r="Y21" s="128"/>
      <c r="Z21" s="128"/>
      <c r="AA21" s="128"/>
      <c r="AB21" s="128"/>
      <c r="AC21" s="128"/>
      <c r="AD21" s="128"/>
      <c r="AE21" s="128"/>
      <c r="AF21" s="126"/>
      <c r="AG21" s="126"/>
      <c r="AH21" s="126"/>
      <c r="AI21" s="126"/>
    </row>
    <row r="22" spans="1:35" s="27" customFormat="1" ht="15.75" customHeight="1" x14ac:dyDescent="0.2">
      <c r="A22" s="344"/>
      <c r="B22" s="333"/>
      <c r="C22" s="137"/>
      <c r="D22" s="717"/>
      <c r="E22" s="718"/>
      <c r="F22" s="718"/>
      <c r="G22" s="718"/>
      <c r="H22" s="718"/>
      <c r="I22" s="718"/>
      <c r="J22" s="718"/>
      <c r="K22" s="718"/>
      <c r="L22" s="718"/>
      <c r="M22" s="718"/>
      <c r="N22" s="718"/>
      <c r="O22" s="718"/>
      <c r="P22" s="719"/>
      <c r="Q22" s="138"/>
      <c r="R22" s="333"/>
      <c r="S22" s="131" t="s">
        <v>0</v>
      </c>
      <c r="T22" s="130"/>
      <c r="U22" s="130"/>
      <c r="V22" s="130"/>
      <c r="W22" s="130"/>
      <c r="X22" s="63"/>
      <c r="Y22" s="63"/>
      <c r="Z22" s="63"/>
      <c r="AA22" s="63"/>
      <c r="AB22" s="63"/>
      <c r="AC22" s="63"/>
      <c r="AD22" s="63"/>
      <c r="AE22" s="63"/>
      <c r="AF22" s="129"/>
      <c r="AG22" s="129"/>
      <c r="AH22" s="129"/>
      <c r="AI22" s="129"/>
    </row>
    <row r="23" spans="1:35" s="32" customFormat="1" ht="14.25" customHeight="1" x14ac:dyDescent="0.2">
      <c r="A23" s="343"/>
      <c r="B23" s="333"/>
      <c r="C23" s="231"/>
      <c r="D23" s="441" t="s">
        <v>57</v>
      </c>
      <c r="E23" s="158" t="s">
        <v>15</v>
      </c>
      <c r="F23" s="158" t="s">
        <v>16</v>
      </c>
      <c r="G23" s="158"/>
      <c r="H23" s="158"/>
      <c r="I23" s="158"/>
      <c r="J23" s="158"/>
      <c r="K23" s="158"/>
      <c r="L23" s="158"/>
      <c r="M23" s="158"/>
      <c r="N23" s="158"/>
      <c r="O23" s="158"/>
      <c r="P23" s="508" t="s">
        <v>67</v>
      </c>
      <c r="Q23" s="136"/>
      <c r="R23" s="333"/>
      <c r="S23" s="227"/>
      <c r="T23" s="228"/>
      <c r="U23" s="228"/>
      <c r="V23" s="228"/>
      <c r="W23" s="228"/>
      <c r="X23" s="229"/>
      <c r="Y23" s="229"/>
      <c r="Z23" s="229"/>
      <c r="AA23" s="229"/>
      <c r="AB23" s="229"/>
      <c r="AC23" s="229"/>
      <c r="AD23" s="229"/>
      <c r="AE23" s="229"/>
      <c r="AF23" s="126"/>
      <c r="AG23" s="126"/>
      <c r="AH23" s="126"/>
      <c r="AI23" s="126"/>
    </row>
    <row r="24" spans="1:35" s="27" customFormat="1" ht="15.75" customHeight="1" x14ac:dyDescent="0.2">
      <c r="A24" s="344"/>
      <c r="B24" s="333"/>
      <c r="C24" s="517" t="s">
        <v>187</v>
      </c>
      <c r="D24" s="35" t="s">
        <v>596</v>
      </c>
      <c r="E24" s="29" t="s">
        <v>219</v>
      </c>
      <c r="F24" s="70">
        <v>1</v>
      </c>
      <c r="G24" s="71">
        <v>2</v>
      </c>
      <c r="H24" s="72">
        <v>3</v>
      </c>
      <c r="I24" s="73">
        <v>4</v>
      </c>
      <c r="J24" s="74">
        <v>5</v>
      </c>
      <c r="K24" s="75">
        <v>6</v>
      </c>
      <c r="L24" s="76">
        <v>7</v>
      </c>
      <c r="M24" s="77">
        <v>8</v>
      </c>
      <c r="N24" s="78">
        <v>9</v>
      </c>
      <c r="O24" s="79">
        <v>10</v>
      </c>
      <c r="P24" s="507"/>
      <c r="Q24" s="138"/>
      <c r="R24" s="333"/>
      <c r="S24" s="132">
        <f>VLOOKUP($E24,R.VL_DEQResourcesInvolved,2,FALSE)</f>
        <v>1</v>
      </c>
      <c r="T24" s="120">
        <f>VLOOKUP($E24,R.VL_DEQResourcesInvolved,3,FALSE)</f>
        <v>1</v>
      </c>
      <c r="U24" s="120">
        <f>IF(S24=10,T24,VLOOKUP($E24,R.VL_DEQResourcesInvolved,4,FALSE))</f>
        <v>8</v>
      </c>
      <c r="V24" s="120" t="str">
        <f>T24&amp;"-"&amp;U24</f>
        <v>1-8</v>
      </c>
      <c r="W24" s="127"/>
      <c r="X24" s="574" t="s">
        <v>575</v>
      </c>
      <c r="Y24" s="63"/>
      <c r="Z24" s="63"/>
      <c r="AA24" s="63"/>
      <c r="AB24" s="63"/>
      <c r="AC24" s="63"/>
      <c r="AD24" s="63"/>
      <c r="AE24" s="63"/>
      <c r="AF24" s="129"/>
      <c r="AG24" s="129"/>
      <c r="AH24" s="129"/>
      <c r="AI24" s="129"/>
    </row>
    <row r="25" spans="1:35" s="27" customFormat="1" ht="15.75" customHeight="1" x14ac:dyDescent="0.2">
      <c r="A25" s="344"/>
      <c r="B25" s="333"/>
      <c r="C25" s="517" t="s">
        <v>190</v>
      </c>
      <c r="D25" s="35"/>
      <c r="E25" s="29" t="s">
        <v>217</v>
      </c>
      <c r="F25" s="70">
        <v>1</v>
      </c>
      <c r="G25" s="71">
        <v>2</v>
      </c>
      <c r="H25" s="72">
        <v>3</v>
      </c>
      <c r="I25" s="73">
        <v>4</v>
      </c>
      <c r="J25" s="74">
        <v>5</v>
      </c>
      <c r="K25" s="75">
        <v>6</v>
      </c>
      <c r="L25" s="76">
        <v>7</v>
      </c>
      <c r="M25" s="77">
        <v>8</v>
      </c>
      <c r="N25" s="78">
        <v>9</v>
      </c>
      <c r="O25" s="79">
        <v>10</v>
      </c>
      <c r="P25" s="507"/>
      <c r="Q25" s="138"/>
      <c r="R25" s="333"/>
      <c r="S25" s="134">
        <f>VLOOKUP($E25,R.VL_DEQResourcesInvolved,2,FALSE)</f>
        <v>0</v>
      </c>
      <c r="T25" s="120">
        <f>VLOOKUP($E25,R.VL_DEQResourcesInvolved,3,FALSE)</f>
        <v>0</v>
      </c>
      <c r="U25" s="120">
        <f>IF(S25=10,T25,VLOOKUP($E25,R.VL_DEQResourcesInvolved,4,FALSE))</f>
        <v>0</v>
      </c>
      <c r="V25" s="120" t="str">
        <f>T25&amp;"-"&amp;U25</f>
        <v>0-0</v>
      </c>
      <c r="W25" s="127"/>
      <c r="X25" s="574" t="s">
        <v>575</v>
      </c>
      <c r="Y25" s="63"/>
      <c r="Z25" s="63"/>
      <c r="AA25" s="63"/>
      <c r="AB25" s="63"/>
      <c r="AC25" s="63"/>
      <c r="AD25" s="63"/>
      <c r="AE25" s="63"/>
      <c r="AF25" s="129"/>
      <c r="AG25" s="129"/>
      <c r="AH25" s="129"/>
      <c r="AI25" s="129"/>
    </row>
    <row r="26" spans="1:35" s="27" customFormat="1" ht="15" customHeight="1" x14ac:dyDescent="0.2">
      <c r="A26" s="344"/>
      <c r="B26" s="333"/>
      <c r="C26" s="517" t="s">
        <v>191</v>
      </c>
      <c r="D26" s="35" t="s">
        <v>0</v>
      </c>
      <c r="E26" s="29" t="s">
        <v>217</v>
      </c>
      <c r="F26" s="70">
        <v>1</v>
      </c>
      <c r="G26" s="71">
        <v>2</v>
      </c>
      <c r="H26" s="72">
        <v>3</v>
      </c>
      <c r="I26" s="73">
        <v>4</v>
      </c>
      <c r="J26" s="74">
        <v>5</v>
      </c>
      <c r="K26" s="75">
        <v>6</v>
      </c>
      <c r="L26" s="76">
        <v>7</v>
      </c>
      <c r="M26" s="77">
        <v>8</v>
      </c>
      <c r="N26" s="78">
        <v>9</v>
      </c>
      <c r="O26" s="79">
        <v>10</v>
      </c>
      <c r="P26" s="507"/>
      <c r="Q26" s="138"/>
      <c r="R26" s="333"/>
      <c r="S26" s="134">
        <f>VLOOKUP($E26,R.VL_DEQResourcesInvolved,2,FALSE)</f>
        <v>0</v>
      </c>
      <c r="T26" s="120">
        <f>VLOOKUP($E26,R.VL_DEQResourcesInvolved,3,FALSE)</f>
        <v>0</v>
      </c>
      <c r="U26" s="120">
        <f>IF(S26=10,T26,VLOOKUP($E26,R.VL_DEQResourcesInvolved,4,FALSE))</f>
        <v>0</v>
      </c>
      <c r="V26" s="120" t="str">
        <f>T26&amp;"-"&amp;U26</f>
        <v>0-0</v>
      </c>
      <c r="W26" s="127"/>
      <c r="X26" s="574" t="s">
        <v>575</v>
      </c>
      <c r="Y26" s="63"/>
      <c r="Z26" s="63"/>
      <c r="AA26" s="63"/>
      <c r="AB26" s="63"/>
      <c r="AC26" s="63"/>
      <c r="AD26" s="63"/>
      <c r="AE26" s="63"/>
      <c r="AF26" s="129"/>
      <c r="AG26" s="129"/>
      <c r="AH26" s="129"/>
      <c r="AI26" s="129"/>
    </row>
    <row r="27" spans="1:35" s="27" customFormat="1" ht="15.75" customHeight="1" x14ac:dyDescent="0.2">
      <c r="A27" s="344"/>
      <c r="B27" s="333"/>
      <c r="C27" s="517" t="s">
        <v>171</v>
      </c>
      <c r="D27" s="35" t="s">
        <v>0</v>
      </c>
      <c r="E27" s="29" t="s">
        <v>217</v>
      </c>
      <c r="F27" s="70">
        <v>1</v>
      </c>
      <c r="G27" s="71">
        <v>2</v>
      </c>
      <c r="H27" s="72">
        <v>3</v>
      </c>
      <c r="I27" s="73">
        <v>4</v>
      </c>
      <c r="J27" s="74">
        <v>5</v>
      </c>
      <c r="K27" s="75">
        <v>6</v>
      </c>
      <c r="L27" s="76">
        <v>7</v>
      </c>
      <c r="M27" s="77">
        <v>8</v>
      </c>
      <c r="N27" s="78">
        <v>9</v>
      </c>
      <c r="O27" s="79">
        <v>10</v>
      </c>
      <c r="P27" s="507"/>
      <c r="Q27" s="138"/>
      <c r="R27" s="333"/>
      <c r="S27" s="134">
        <f>VLOOKUP($E27,R.VL_DEQResourcesInvolved,2,FALSE)</f>
        <v>0</v>
      </c>
      <c r="T27" s="120">
        <f>VLOOKUP($E27,R.VL_DEQResourcesInvolved,3,FALSE)</f>
        <v>0</v>
      </c>
      <c r="U27" s="120">
        <f>IF(S27=10,T27,VLOOKUP($E27,R.VL_DEQResourcesInvolved,4,FALSE))</f>
        <v>0</v>
      </c>
      <c r="V27" s="120" t="str">
        <f>T27&amp;"-"&amp;U27</f>
        <v>0-0</v>
      </c>
      <c r="W27" s="127"/>
      <c r="X27" s="574" t="s">
        <v>575</v>
      </c>
      <c r="Y27" s="63"/>
      <c r="Z27" s="63"/>
      <c r="AA27" s="63"/>
      <c r="AB27" s="63"/>
      <c r="AC27" s="63"/>
      <c r="AD27" s="63"/>
      <c r="AE27" s="63"/>
      <c r="AF27" s="129"/>
      <c r="AG27" s="129"/>
      <c r="AH27" s="129"/>
      <c r="AI27" s="129"/>
    </row>
    <row r="28" spans="1:35" s="27" customFormat="1" ht="14.25" customHeight="1" x14ac:dyDescent="0.2">
      <c r="A28" s="344"/>
      <c r="B28" s="333"/>
      <c r="C28" s="375"/>
      <c r="D28" s="376"/>
      <c r="E28" s="377"/>
      <c r="F28" s="377"/>
      <c r="G28" s="377"/>
      <c r="H28" s="377"/>
      <c r="I28" s="377"/>
      <c r="J28" s="377"/>
      <c r="K28" s="377"/>
      <c r="L28" s="377"/>
      <c r="M28" s="377"/>
      <c r="N28" s="377"/>
      <c r="O28" s="377"/>
      <c r="P28" s="377"/>
      <c r="Q28" s="378"/>
      <c r="R28" s="333"/>
      <c r="S28" s="131"/>
      <c r="T28" s="130"/>
      <c r="U28" s="130"/>
      <c r="V28" s="120" t="str">
        <f>SUM(T23:T27)&amp;"-"&amp;SUM(U23:U27)</f>
        <v>1-8</v>
      </c>
      <c r="W28" s="130"/>
      <c r="X28" s="63"/>
      <c r="Y28" s="63"/>
      <c r="Z28" s="63"/>
      <c r="AA28" s="63"/>
      <c r="AB28" s="63"/>
      <c r="AC28" s="63"/>
      <c r="AD28" s="63"/>
      <c r="AE28" s="63"/>
      <c r="AF28" s="129"/>
      <c r="AG28" s="129"/>
      <c r="AH28" s="129"/>
      <c r="AI28" s="129"/>
    </row>
    <row r="29" spans="1:35" s="28" customFormat="1" ht="30" customHeight="1" x14ac:dyDescent="0.3">
      <c r="A29" s="343"/>
      <c r="B29" s="333"/>
      <c r="C29" s="145"/>
      <c r="D29" s="642" t="str">
        <f>"Please suggest process improvements to the "&amp;D2&amp;" worksheet."</f>
        <v>Please suggest process improvements to the Interested Staff and EQC worksheet.</v>
      </c>
      <c r="E29" s="642"/>
      <c r="F29" s="83"/>
      <c r="G29" s="84"/>
      <c r="H29" s="85"/>
      <c r="I29" s="86"/>
      <c r="J29" s="87"/>
      <c r="K29" s="88"/>
      <c r="L29" s="89"/>
      <c r="M29" s="90"/>
      <c r="N29" s="91"/>
      <c r="O29" s="92"/>
      <c r="P29" s="38"/>
      <c r="Q29" s="146"/>
      <c r="R29" s="333"/>
      <c r="S29" s="133"/>
      <c r="T29" s="130"/>
      <c r="U29" s="130"/>
      <c r="V29" s="130"/>
      <c r="W29" s="130"/>
      <c r="X29" s="63"/>
      <c r="Y29" s="63"/>
      <c r="Z29" s="63"/>
      <c r="AA29" s="63"/>
      <c r="AB29" s="63"/>
      <c r="AC29" s="63"/>
      <c r="AD29" s="63"/>
      <c r="AE29" s="63"/>
      <c r="AF29" s="64"/>
      <c r="AG29" s="64"/>
      <c r="AH29" s="64"/>
      <c r="AI29" s="64"/>
    </row>
    <row r="30" spans="1:35" s="6" customFormat="1" ht="30.75" customHeight="1" x14ac:dyDescent="0.3">
      <c r="A30" s="350"/>
      <c r="B30" s="333"/>
      <c r="C30" s="135"/>
      <c r="D30" s="639"/>
      <c r="E30" s="640"/>
      <c r="F30" s="640"/>
      <c r="G30" s="640"/>
      <c r="H30" s="640"/>
      <c r="I30" s="640"/>
      <c r="J30" s="640"/>
      <c r="K30" s="640"/>
      <c r="L30" s="640"/>
      <c r="M30" s="640"/>
      <c r="N30" s="640"/>
      <c r="O30" s="640"/>
      <c r="P30" s="641"/>
      <c r="Q30" s="147"/>
      <c r="R30" s="333"/>
      <c r="S30" s="131"/>
      <c r="T30" s="130"/>
      <c r="U30" s="130"/>
      <c r="V30" s="130"/>
      <c r="W30" s="130"/>
      <c r="X30" s="63"/>
      <c r="Y30" s="63"/>
      <c r="Z30" s="63"/>
      <c r="AA30" s="63"/>
      <c r="AB30" s="63"/>
      <c r="AC30" s="63"/>
      <c r="AD30" s="63"/>
      <c r="AE30" s="63"/>
      <c r="AF30" s="65"/>
      <c r="AG30" s="65"/>
      <c r="AH30" s="65"/>
      <c r="AI30" s="65"/>
    </row>
    <row r="31" spans="1:35" ht="18" customHeight="1" x14ac:dyDescent="0.3">
      <c r="A31" s="349" t="s">
        <v>104</v>
      </c>
      <c r="B31" s="333"/>
      <c r="C31" s="148"/>
      <c r="D31" s="149"/>
      <c r="E31" s="149"/>
      <c r="F31" s="149"/>
      <c r="G31" s="149"/>
      <c r="H31" s="149"/>
      <c r="I31" s="149"/>
      <c r="J31" s="149"/>
      <c r="K31" s="149"/>
      <c r="L31" s="149"/>
      <c r="M31" s="149"/>
      <c r="N31" s="149"/>
      <c r="O31" s="149"/>
      <c r="P31" s="149"/>
      <c r="Q31" s="150"/>
      <c r="R31" s="333"/>
    </row>
    <row r="32" spans="1:35" s="63" customFormat="1" ht="15.75" customHeight="1" x14ac:dyDescent="0.2">
      <c r="A32" s="336"/>
      <c r="B32" s="333"/>
      <c r="C32" s="333"/>
      <c r="D32" s="333"/>
      <c r="E32" s="333"/>
      <c r="F32" s="333"/>
      <c r="G32" s="333"/>
      <c r="H32" s="333"/>
      <c r="I32" s="333"/>
      <c r="J32" s="333"/>
      <c r="K32" s="333"/>
      <c r="L32" s="333"/>
      <c r="M32" s="333"/>
      <c r="N32" s="333"/>
      <c r="O32" s="333"/>
      <c r="P32" s="333"/>
      <c r="Q32" s="333"/>
      <c r="R32" s="333"/>
      <c r="S32" s="112"/>
      <c r="V32" s="435"/>
      <c r="W32" s="435"/>
    </row>
    <row r="33" spans="1:23" s="63" customFormat="1" ht="60" customHeight="1" x14ac:dyDescent="0.3">
      <c r="A33" s="336"/>
      <c r="C33" s="111"/>
      <c r="S33" s="112"/>
      <c r="V33" s="435"/>
      <c r="W33" s="435"/>
    </row>
    <row r="34" spans="1:23" s="63" customFormat="1" ht="60" customHeight="1" x14ac:dyDescent="0.3">
      <c r="A34" s="336"/>
      <c r="C34" s="111"/>
      <c r="S34" s="112"/>
      <c r="V34" s="435"/>
      <c r="W34" s="435"/>
    </row>
    <row r="35" spans="1:23" s="63" customFormat="1" ht="60" customHeight="1" x14ac:dyDescent="0.3">
      <c r="A35" s="336"/>
      <c r="C35" s="111"/>
      <c r="S35" s="112"/>
      <c r="V35" s="435"/>
      <c r="W35" s="435"/>
    </row>
    <row r="36" spans="1:23" s="63" customFormat="1" ht="60" customHeight="1" x14ac:dyDescent="0.3">
      <c r="A36" s="336"/>
      <c r="C36" s="111"/>
      <c r="S36" s="112"/>
      <c r="V36" s="435"/>
      <c r="W36" s="435"/>
    </row>
    <row r="37" spans="1:23" s="63" customFormat="1" ht="60" customHeight="1" x14ac:dyDescent="0.3">
      <c r="A37" s="336"/>
      <c r="C37" s="111"/>
      <c r="S37" s="112"/>
      <c r="V37" s="435"/>
      <c r="W37" s="435"/>
    </row>
    <row r="38" spans="1:23" s="63" customFormat="1" ht="60" customHeight="1" x14ac:dyDescent="0.3">
      <c r="A38" s="336"/>
      <c r="C38" s="111"/>
      <c r="S38" s="112"/>
      <c r="V38" s="435"/>
      <c r="W38" s="435"/>
    </row>
    <row r="39" spans="1:23" s="63" customFormat="1" ht="60" customHeight="1" x14ac:dyDescent="0.3">
      <c r="A39" s="336"/>
      <c r="C39" s="111"/>
      <c r="S39" s="112"/>
      <c r="V39" s="435"/>
      <c r="W39" s="435"/>
    </row>
    <row r="40" spans="1:23" s="63" customFormat="1" ht="60" customHeight="1" x14ac:dyDescent="0.3">
      <c r="A40" s="336"/>
      <c r="C40" s="111"/>
      <c r="S40" s="112"/>
      <c r="V40" s="435"/>
      <c r="W40" s="435"/>
    </row>
    <row r="41" spans="1:23" s="63" customFormat="1" ht="60" customHeight="1" x14ac:dyDescent="0.3">
      <c r="A41" s="336"/>
      <c r="C41" s="111"/>
      <c r="S41" s="112"/>
      <c r="V41" s="435"/>
      <c r="W41" s="435"/>
    </row>
    <row r="42" spans="1:23" s="63" customFormat="1" ht="60" customHeight="1" x14ac:dyDescent="0.3">
      <c r="A42" s="336"/>
      <c r="C42" s="111"/>
      <c r="S42" s="112"/>
      <c r="V42" s="435"/>
      <c r="W42" s="435"/>
    </row>
    <row r="43" spans="1:23" s="63" customFormat="1" ht="60" customHeight="1" x14ac:dyDescent="0.3">
      <c r="A43" s="336"/>
      <c r="C43" s="111"/>
      <c r="S43" s="112"/>
      <c r="V43" s="435"/>
      <c r="W43" s="435"/>
    </row>
    <row r="44" spans="1:23" s="63" customFormat="1" ht="60" customHeight="1" x14ac:dyDescent="0.3">
      <c r="A44" s="336"/>
      <c r="C44" s="111"/>
      <c r="S44" s="112"/>
      <c r="V44" s="435"/>
      <c r="W44" s="435"/>
    </row>
    <row r="45" spans="1:23" s="63" customFormat="1" ht="60" customHeight="1" x14ac:dyDescent="0.3">
      <c r="A45" s="336"/>
      <c r="C45" s="111"/>
      <c r="S45" s="112"/>
      <c r="V45" s="435"/>
      <c r="W45" s="435"/>
    </row>
    <row r="46" spans="1:23" s="63" customFormat="1" ht="60" customHeight="1" x14ac:dyDescent="0.3">
      <c r="A46" s="336"/>
      <c r="C46" s="111"/>
      <c r="S46" s="112"/>
      <c r="V46" s="435"/>
      <c r="W46" s="435"/>
    </row>
    <row r="47" spans="1:23" s="63" customFormat="1" ht="60" customHeight="1" x14ac:dyDescent="0.3">
      <c r="A47" s="336"/>
      <c r="C47" s="111"/>
      <c r="S47" s="112"/>
      <c r="V47" s="435"/>
      <c r="W47" s="435"/>
    </row>
    <row r="48" spans="1:23" s="63" customFormat="1" ht="60" customHeight="1" x14ac:dyDescent="0.3">
      <c r="A48" s="336"/>
      <c r="C48" s="111"/>
      <c r="S48" s="112"/>
      <c r="V48" s="435"/>
      <c r="W48" s="435"/>
    </row>
    <row r="49" spans="1:23" s="63" customFormat="1" ht="60" customHeight="1" x14ac:dyDescent="0.3">
      <c r="A49" s="336"/>
      <c r="C49" s="111"/>
      <c r="S49" s="112"/>
      <c r="V49" s="435"/>
      <c r="W49" s="435"/>
    </row>
    <row r="50" spans="1:23" s="63" customFormat="1" ht="60" customHeight="1" x14ac:dyDescent="0.3">
      <c r="A50" s="336"/>
      <c r="C50" s="111"/>
      <c r="S50" s="112"/>
      <c r="V50" s="435"/>
      <c r="W50" s="435"/>
    </row>
    <row r="51" spans="1:23" s="63" customFormat="1" ht="60" customHeight="1" x14ac:dyDescent="0.3">
      <c r="A51" s="336"/>
      <c r="C51" s="111"/>
      <c r="S51" s="112"/>
      <c r="V51" s="435"/>
      <c r="W51" s="435"/>
    </row>
    <row r="52" spans="1:23" s="63" customFormat="1" ht="60" customHeight="1" x14ac:dyDescent="0.3">
      <c r="A52" s="336"/>
      <c r="C52" s="111"/>
      <c r="S52" s="112"/>
      <c r="V52" s="435"/>
      <c r="W52" s="435"/>
    </row>
    <row r="53" spans="1:23" s="63" customFormat="1" ht="60" customHeight="1" x14ac:dyDescent="0.3">
      <c r="A53" s="336"/>
      <c r="C53" s="111"/>
      <c r="S53" s="112"/>
      <c r="V53" s="435"/>
      <c r="W53" s="435"/>
    </row>
    <row r="54" spans="1:23" s="63" customFormat="1" ht="60" customHeight="1" x14ac:dyDescent="0.3">
      <c r="A54" s="336"/>
      <c r="C54" s="111"/>
      <c r="S54" s="112"/>
      <c r="V54" s="435"/>
      <c r="W54" s="435"/>
    </row>
    <row r="55" spans="1:23" s="63" customFormat="1" ht="60" customHeight="1" x14ac:dyDescent="0.3">
      <c r="A55" s="336"/>
      <c r="C55" s="111"/>
      <c r="S55" s="112"/>
      <c r="V55" s="435"/>
      <c r="W55" s="435"/>
    </row>
    <row r="56" spans="1:23" s="63" customFormat="1" ht="60" customHeight="1" x14ac:dyDescent="0.3">
      <c r="A56" s="336"/>
      <c r="C56" s="111"/>
      <c r="S56" s="112"/>
      <c r="V56" s="435"/>
      <c r="W56" s="435"/>
    </row>
    <row r="57" spans="1:23" s="63" customFormat="1" ht="60" customHeight="1" x14ac:dyDescent="0.3">
      <c r="A57" s="336"/>
      <c r="C57" s="111"/>
      <c r="S57" s="112"/>
      <c r="V57" s="435"/>
      <c r="W57" s="435"/>
    </row>
    <row r="58" spans="1:23" s="63" customFormat="1" ht="60" customHeight="1" x14ac:dyDescent="0.3">
      <c r="A58" s="336"/>
      <c r="C58" s="111"/>
      <c r="S58" s="112"/>
      <c r="V58" s="435"/>
      <c r="W58" s="435"/>
    </row>
    <row r="59" spans="1:23" s="63" customFormat="1" ht="60" customHeight="1" x14ac:dyDescent="0.3">
      <c r="A59" s="336"/>
      <c r="C59" s="111"/>
      <c r="S59" s="112"/>
      <c r="V59" s="435"/>
      <c r="W59" s="435"/>
    </row>
    <row r="60" spans="1:23" s="63" customFormat="1" ht="60" customHeight="1" x14ac:dyDescent="0.3">
      <c r="A60" s="336"/>
      <c r="C60" s="111"/>
      <c r="S60" s="112"/>
      <c r="V60" s="435"/>
      <c r="W60" s="435"/>
    </row>
    <row r="61" spans="1:23" s="63" customFormat="1" ht="60" customHeight="1" x14ac:dyDescent="0.3">
      <c r="A61" s="336"/>
      <c r="C61" s="111"/>
      <c r="S61" s="112"/>
      <c r="V61" s="435"/>
      <c r="W61" s="435"/>
    </row>
    <row r="62" spans="1:23" s="63" customFormat="1" x14ac:dyDescent="0.3">
      <c r="A62" s="336"/>
      <c r="C62" s="111"/>
      <c r="S62" s="112"/>
      <c r="V62" s="435"/>
      <c r="W62" s="435"/>
    </row>
    <row r="63" spans="1:23" s="63" customFormat="1" x14ac:dyDescent="0.3">
      <c r="A63" s="336"/>
      <c r="C63" s="111"/>
      <c r="S63" s="112"/>
      <c r="V63" s="435"/>
      <c r="W63" s="435"/>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I87"/>
  <sheetViews>
    <sheetView showGridLines="0" zoomScaleNormal="100" workbookViewId="0">
      <selection activeCell="D45" sqref="D45:P45"/>
    </sheetView>
  </sheetViews>
  <sheetFormatPr defaultColWidth="9" defaultRowHeight="20.25" outlineLevelRow="1" outlineLevelCol="1" x14ac:dyDescent="0.3"/>
  <cols>
    <col min="1" max="1" width="13.75" style="336" customWidth="1"/>
    <col min="2" max="2" width="2.625" customWidth="1"/>
    <col min="3" max="3" width="2.625" style="43"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5" customWidth="1"/>
    <col min="19" max="19" width="9" style="112" hidden="1" customWidth="1" outlineLevel="1"/>
    <col min="20" max="20" width="10.75" style="435" hidden="1" customWidth="1" outlineLevel="1"/>
    <col min="21" max="21" width="10.875" style="435" hidden="1" customWidth="1" outlineLevel="1"/>
    <col min="22" max="22" width="7.25" style="435" hidden="1" customWidth="1" outlineLevel="1"/>
    <col min="23" max="23" width="8.375" style="435" hidden="1" customWidth="1" outlineLevel="1"/>
    <col min="24" max="24" width="30.625" style="435" customWidth="1" collapsed="1"/>
    <col min="25" max="25" width="16.5" style="435" customWidth="1"/>
    <col min="26" max="26" width="18" style="435" customWidth="1"/>
    <col min="27" max="27" width="31.125" style="435" customWidth="1"/>
    <col min="28" max="35" width="31.125" style="63" customWidth="1"/>
    <col min="36" max="16384" width="9" style="101"/>
  </cols>
  <sheetData>
    <row r="1" spans="1:35" s="63" customFormat="1" ht="20.25" customHeight="1" x14ac:dyDescent="0.2">
      <c r="A1" s="349" t="s">
        <v>100</v>
      </c>
      <c r="B1" s="333"/>
      <c r="C1" s="333"/>
      <c r="D1" s="333"/>
      <c r="E1" s="333"/>
      <c r="F1" s="333"/>
      <c r="G1" s="333"/>
      <c r="H1" s="333"/>
      <c r="I1" s="333"/>
      <c r="J1" s="333"/>
      <c r="K1" s="333"/>
      <c r="L1" s="333"/>
      <c r="M1" s="333"/>
      <c r="N1" s="333"/>
      <c r="O1" s="333"/>
      <c r="P1" s="333"/>
      <c r="Q1" s="333"/>
      <c r="R1" s="333"/>
      <c r="S1" s="112"/>
      <c r="T1" s="435"/>
      <c r="U1" s="435"/>
      <c r="V1" s="435"/>
      <c r="W1" s="435"/>
      <c r="X1" s="435"/>
      <c r="Y1" s="435"/>
      <c r="Z1" s="435"/>
      <c r="AA1" s="435"/>
    </row>
    <row r="2" spans="1:35" s="312" customFormat="1" ht="30" customHeight="1" thickBot="1" x14ac:dyDescent="0.35">
      <c r="A2" s="349" t="s">
        <v>103</v>
      </c>
      <c r="B2" s="333"/>
      <c r="C2" s="323">
        <v>6</v>
      </c>
      <c r="D2" s="345" t="s">
        <v>59</v>
      </c>
      <c r="E2" s="731" t="str">
        <f>R.1MediaAndLongName</f>
        <v>AQ GrantsPassLMP</v>
      </c>
      <c r="F2" s="731"/>
      <c r="G2" s="731"/>
      <c r="H2" s="731"/>
      <c r="I2" s="731"/>
      <c r="J2" s="731"/>
      <c r="K2" s="731"/>
      <c r="L2" s="731"/>
      <c r="M2" s="731"/>
      <c r="N2" s="731"/>
      <c r="O2" s="731"/>
      <c r="P2" s="731"/>
      <c r="Q2" s="324"/>
      <c r="R2" s="333"/>
      <c r="S2" s="348" t="str">
        <f>"R."&amp;$C$2&amp;"StaffCount"</f>
        <v>R.6StaffCount</v>
      </c>
      <c r="T2" s="348" t="str">
        <f>"R."&amp;$C$2&amp;"LowHrs"</f>
        <v>R.6LowHrs</v>
      </c>
      <c r="U2" s="348" t="str">
        <f>"R."&amp;$C$2&amp;"HighHrs"</f>
        <v>R.6HighHrs</v>
      </c>
      <c r="V2" s="348"/>
      <c r="W2" s="348"/>
      <c r="X2" s="325" t="s">
        <v>0</v>
      </c>
      <c r="Y2" s="320"/>
      <c r="Z2" s="320"/>
      <c r="AA2" s="320"/>
      <c r="AB2" s="320"/>
      <c r="AC2" s="320"/>
      <c r="AD2" s="320"/>
      <c r="AE2" s="320"/>
      <c r="AF2" s="321"/>
      <c r="AG2" s="321"/>
      <c r="AH2" s="321"/>
      <c r="AI2" s="321"/>
    </row>
    <row r="3" spans="1:35" s="6" customFormat="1" ht="20.25" customHeight="1" thickTop="1" x14ac:dyDescent="0.3">
      <c r="A3" s="343"/>
      <c r="B3" s="333"/>
      <c r="C3" s="154"/>
      <c r="D3" s="95"/>
      <c r="E3" s="95"/>
      <c r="F3" s="12"/>
      <c r="G3" s="464"/>
      <c r="H3" s="464"/>
      <c r="I3" s="464"/>
      <c r="J3" s="436"/>
      <c r="K3" s="12"/>
      <c r="L3" s="12"/>
      <c r="M3" s="732" t="s">
        <v>54</v>
      </c>
      <c r="N3" s="732"/>
      <c r="O3" s="732"/>
      <c r="P3" s="732"/>
      <c r="Q3" s="155"/>
      <c r="R3" s="333"/>
      <c r="S3" s="353">
        <f>COUNTIFS(S13:S75,"&gt;0")</f>
        <v>0</v>
      </c>
      <c r="T3" s="354">
        <f>SUM(T13:T75)</f>
        <v>0</v>
      </c>
      <c r="U3" s="354">
        <f>SUM(U13:U75)</f>
        <v>0</v>
      </c>
      <c r="V3" s="497"/>
      <c r="W3" s="497"/>
      <c r="X3" s="119"/>
      <c r="Y3" s="435"/>
      <c r="Z3" s="435"/>
      <c r="AA3" s="435"/>
      <c r="AB3" s="63"/>
      <c r="AC3" s="63"/>
      <c r="AD3" s="63"/>
      <c r="AE3" s="63"/>
      <c r="AF3" s="65"/>
      <c r="AG3" s="65"/>
      <c r="AH3" s="65"/>
      <c r="AI3" s="65"/>
    </row>
    <row r="4" spans="1:35" s="6" customFormat="1" ht="20.25" customHeight="1" x14ac:dyDescent="0.3">
      <c r="A4" s="343"/>
      <c r="B4" s="333"/>
      <c r="C4" s="154"/>
      <c r="D4" s="493" t="s">
        <v>52</v>
      </c>
      <c r="E4" s="80">
        <f>S3</f>
        <v>0</v>
      </c>
      <c r="F4" s="703" t="s">
        <v>51</v>
      </c>
      <c r="G4" s="703"/>
      <c r="H4" s="703"/>
      <c r="I4" s="703"/>
      <c r="J4" s="703"/>
      <c r="K4" s="703"/>
      <c r="L4" s="703"/>
      <c r="M4" s="704" t="str">
        <f>S4</f>
        <v>0</v>
      </c>
      <c r="N4" s="704"/>
      <c r="O4" s="704"/>
      <c r="P4" s="704"/>
      <c r="Q4" s="155"/>
      <c r="R4" s="333"/>
      <c r="S4" s="361" t="str">
        <f>IF(R.6StaffCount=0,"0",IF(R.6LowHrs=0,"0-"&amp;TEXT(R.6HighHrs,"#,###"),TEXT(R.6LowHrs,"#,###")&amp;"-"&amp;TEXT(R.6HighHrs,"#,###")))</f>
        <v>0</v>
      </c>
      <c r="T4" s="348" t="str">
        <f>"R."&amp;$C$2&amp;"LowDollars"</f>
        <v>R.6LowDollars</v>
      </c>
      <c r="U4" s="348" t="str">
        <f>"R."&amp;$C$2&amp;"HighDollars"</f>
        <v>R.6HighDollars</v>
      </c>
      <c r="V4" s="348"/>
      <c r="W4" s="348"/>
      <c r="X4" s="119"/>
      <c r="Y4" s="435"/>
      <c r="Z4" s="435"/>
      <c r="AA4" s="435"/>
      <c r="AB4" s="63"/>
      <c r="AC4" s="63"/>
      <c r="AD4" s="63"/>
      <c r="AE4" s="63"/>
      <c r="AF4" s="65"/>
      <c r="AG4" s="65"/>
      <c r="AH4" s="65"/>
      <c r="AI4" s="65"/>
    </row>
    <row r="5" spans="1:35" s="6" customFormat="1" ht="20.25" customHeight="1" x14ac:dyDescent="0.3">
      <c r="A5" s="343"/>
      <c r="B5" s="333"/>
      <c r="C5" s="154"/>
      <c r="D5" s="493" t="s">
        <v>64</v>
      </c>
      <c r="E5" s="97">
        <f>R.AvgHrDEQCost</f>
        <v>58</v>
      </c>
      <c r="F5" s="703" t="s">
        <v>55</v>
      </c>
      <c r="G5" s="703"/>
      <c r="H5" s="703"/>
      <c r="I5" s="703"/>
      <c r="J5" s="703"/>
      <c r="K5" s="703"/>
      <c r="L5" s="703"/>
      <c r="M5" s="705" t="str">
        <f>S5</f>
        <v>$0</v>
      </c>
      <c r="N5" s="705"/>
      <c r="O5" s="705"/>
      <c r="P5" s="705"/>
      <c r="Q5" s="155"/>
      <c r="R5" s="333"/>
      <c r="S5" s="121" t="str">
        <f>IF(R.6StaffCount=0,"$0",IF(R.6LowDollars=0,"$0-"&amp;TEXT(R.6HighDollars,"#,###"),TEXT(R.6LowDollars,"$#,###")&amp;"-"&amp;TEXT(R.6HighDollars,"#,###")))</f>
        <v>$0</v>
      </c>
      <c r="T5" s="123">
        <f>T3*E5</f>
        <v>0</v>
      </c>
      <c r="U5" s="123">
        <f>U3*E5</f>
        <v>0</v>
      </c>
      <c r="V5" s="492"/>
      <c r="W5" s="492"/>
      <c r="X5" s="119"/>
      <c r="Y5" s="435"/>
      <c r="Z5" s="435" t="s">
        <v>186</v>
      </c>
      <c r="AA5" s="435"/>
      <c r="AB5" s="63"/>
      <c r="AC5" s="63"/>
      <c r="AD5" s="63"/>
      <c r="AE5" s="63"/>
      <c r="AF5" s="65"/>
      <c r="AG5" s="65"/>
      <c r="AH5" s="65"/>
      <c r="AI5" s="65"/>
    </row>
    <row r="6" spans="1:35" s="6" customFormat="1" ht="9" customHeight="1" x14ac:dyDescent="0.3">
      <c r="A6" s="343"/>
      <c r="B6" s="333"/>
      <c r="C6" s="154"/>
      <c r="D6" s="500" t="s">
        <v>0</v>
      </c>
      <c r="E6" s="99"/>
      <c r="F6" s="98"/>
      <c r="G6" s="98"/>
      <c r="H6" s="98"/>
      <c r="I6" s="98"/>
      <c r="J6" s="98"/>
      <c r="K6" s="98"/>
      <c r="L6" s="98"/>
      <c r="M6" s="98"/>
      <c r="N6" s="98"/>
      <c r="O6" s="98"/>
      <c r="P6" s="98"/>
      <c r="Q6" s="155"/>
      <c r="R6" s="333"/>
      <c r="S6" s="65"/>
      <c r="T6" s="65"/>
      <c r="U6" s="65"/>
      <c r="V6" s="65"/>
      <c r="W6" s="65"/>
      <c r="X6" s="119"/>
      <c r="Y6" s="435"/>
      <c r="Z6" s="435"/>
      <c r="AA6" s="435"/>
      <c r="AB6" s="63"/>
      <c r="AC6" s="63"/>
      <c r="AD6" s="63"/>
      <c r="AE6" s="63"/>
      <c r="AF6" s="65"/>
      <c r="AG6" s="65"/>
      <c r="AH6" s="65"/>
      <c r="AI6" s="65"/>
    </row>
    <row r="7" spans="1:35" s="6" customFormat="1" ht="93" customHeight="1" x14ac:dyDescent="0.3">
      <c r="A7" s="315"/>
      <c r="B7" s="333"/>
      <c r="C7" s="154"/>
      <c r="D7" s="733" t="s">
        <v>240</v>
      </c>
      <c r="E7" s="734"/>
      <c r="F7" s="734"/>
      <c r="G7" s="734"/>
      <c r="H7" s="734"/>
      <c r="I7" s="734"/>
      <c r="J7" s="734"/>
      <c r="K7" s="734"/>
      <c r="L7" s="734"/>
      <c r="M7" s="734"/>
      <c r="N7" s="734"/>
      <c r="O7" s="734"/>
      <c r="P7" s="735"/>
      <c r="Q7" s="155"/>
      <c r="R7" s="333"/>
      <c r="S7" s="495" t="e">
        <f>AVERAGEIF(S14:S56,"&gt;0")</f>
        <v>#DIV/0!</v>
      </c>
      <c r="T7" s="492"/>
      <c r="U7" s="492"/>
      <c r="V7" s="119"/>
      <c r="W7" s="435"/>
      <c r="X7" s="435"/>
      <c r="Y7" s="435"/>
      <c r="Z7" s="435"/>
      <c r="AA7" s="435"/>
      <c r="AB7" s="435"/>
      <c r="AC7" s="435"/>
      <c r="AD7" s="65"/>
      <c r="AE7" s="65"/>
      <c r="AF7" s="65"/>
    </row>
    <row r="8" spans="1:35" s="68" customFormat="1" ht="14.25" customHeight="1" x14ac:dyDescent="0.2">
      <c r="A8" s="344"/>
      <c r="B8" s="333"/>
      <c r="C8" s="403"/>
      <c r="D8" s="404"/>
      <c r="E8" s="404"/>
      <c r="F8" s="404"/>
      <c r="G8" s="404"/>
      <c r="H8" s="404"/>
      <c r="I8" s="404"/>
      <c r="J8" s="404"/>
      <c r="K8" s="404"/>
      <c r="L8" s="404"/>
      <c r="M8" s="404"/>
      <c r="N8" s="404"/>
      <c r="O8" s="404"/>
      <c r="P8" s="404"/>
      <c r="Q8" s="405"/>
      <c r="R8" s="333"/>
      <c r="S8" s="124"/>
      <c r="T8" s="124"/>
      <c r="U8" s="124"/>
      <c r="V8" s="124"/>
      <c r="W8" s="124"/>
      <c r="X8" s="437"/>
      <c r="Y8" s="437"/>
      <c r="Z8" s="437"/>
      <c r="AA8" s="437"/>
      <c r="AB8" s="125"/>
      <c r="AC8" s="125"/>
      <c r="AD8" s="125"/>
      <c r="AE8" s="125"/>
      <c r="AF8" s="124"/>
      <c r="AG8" s="124"/>
      <c r="AH8" s="124"/>
      <c r="AI8" s="124"/>
    </row>
    <row r="9" spans="1:35" s="32" customFormat="1" ht="30" customHeight="1" x14ac:dyDescent="0.25">
      <c r="A9" s="349" t="s">
        <v>103</v>
      </c>
      <c r="B9" s="333"/>
      <c r="C9" s="516" t="s">
        <v>0</v>
      </c>
      <c r="D9" s="303" t="s">
        <v>121</v>
      </c>
      <c r="E9" s="93"/>
      <c r="F9" s="93"/>
      <c r="G9" s="93"/>
      <c r="H9" s="93"/>
      <c r="I9" s="93"/>
      <c r="J9" s="93"/>
      <c r="K9" s="93"/>
      <c r="L9" s="93"/>
      <c r="M9" s="93"/>
      <c r="N9" s="93"/>
      <c r="O9" s="93"/>
      <c r="P9" s="93"/>
      <c r="Q9" s="136"/>
      <c r="R9" s="333"/>
      <c r="S9" s="127"/>
      <c r="T9" s="126"/>
      <c r="U9" s="126"/>
      <c r="V9" s="126"/>
      <c r="W9" s="126"/>
      <c r="X9" s="128"/>
      <c r="Y9" s="128"/>
      <c r="Z9" s="128"/>
      <c r="AA9" s="128"/>
      <c r="AB9" s="128"/>
      <c r="AC9" s="128"/>
      <c r="AD9" s="128"/>
      <c r="AE9" s="128"/>
      <c r="AF9" s="126"/>
      <c r="AG9" s="126"/>
      <c r="AH9" s="126"/>
      <c r="AI9" s="126"/>
    </row>
    <row r="10" spans="1:35" s="32" customFormat="1" ht="14.25" customHeight="1" x14ac:dyDescent="0.2">
      <c r="A10" s="343"/>
      <c r="B10" s="333"/>
      <c r="C10" s="231"/>
      <c r="D10" s="442" t="s">
        <v>50</v>
      </c>
      <c r="E10" s="93"/>
      <c r="F10" s="93"/>
      <c r="G10" s="93"/>
      <c r="H10" s="93"/>
      <c r="I10" s="93"/>
      <c r="J10" s="93"/>
      <c r="K10" s="93"/>
      <c r="L10" s="93"/>
      <c r="M10" s="93"/>
      <c r="N10" s="93"/>
      <c r="O10" s="93"/>
      <c r="P10" s="93"/>
      <c r="Q10" s="136"/>
      <c r="R10" s="333"/>
      <c r="S10" s="241"/>
      <c r="T10" s="126"/>
      <c r="U10" s="126"/>
      <c r="V10" s="126"/>
      <c r="W10" s="126"/>
      <c r="X10" s="229"/>
      <c r="Y10" s="229"/>
      <c r="Z10" s="229"/>
      <c r="AA10" s="229"/>
      <c r="AB10" s="229"/>
      <c r="AC10" s="229"/>
      <c r="AD10" s="229"/>
      <c r="AE10" s="229"/>
      <c r="AF10" s="126"/>
      <c r="AG10" s="126"/>
      <c r="AH10" s="126"/>
      <c r="AI10" s="126"/>
    </row>
    <row r="11" spans="1:35" s="27" customFormat="1" ht="15.75" customHeight="1" x14ac:dyDescent="0.2">
      <c r="A11" s="344"/>
      <c r="B11" s="333"/>
      <c r="C11" s="137"/>
      <c r="D11" s="722"/>
      <c r="E11" s="723"/>
      <c r="F11" s="723"/>
      <c r="G11" s="723"/>
      <c r="H11" s="723"/>
      <c r="I11" s="723"/>
      <c r="J11" s="723"/>
      <c r="K11" s="723"/>
      <c r="L11" s="723"/>
      <c r="M11" s="723"/>
      <c r="N11" s="723"/>
      <c r="O11" s="723"/>
      <c r="P11" s="724"/>
      <c r="Q11" s="138"/>
      <c r="R11" s="333"/>
      <c r="S11" s="130"/>
      <c r="T11" s="129"/>
      <c r="U11" s="129"/>
      <c r="V11" s="129"/>
      <c r="W11" s="129"/>
      <c r="X11" s="435"/>
      <c r="Y11" s="435"/>
      <c r="Z11" s="435"/>
      <c r="AA11" s="435"/>
      <c r="AB11" s="63"/>
      <c r="AC11" s="63"/>
      <c r="AD11" s="63"/>
      <c r="AE11" s="63"/>
      <c r="AF11" s="129"/>
      <c r="AG11" s="129"/>
      <c r="AH11" s="129"/>
      <c r="AI11" s="129"/>
    </row>
    <row r="12" spans="1:35" s="32" customFormat="1" ht="15.75" customHeight="1" x14ac:dyDescent="0.2">
      <c r="A12" s="343"/>
      <c r="B12" s="333"/>
      <c r="C12" s="232"/>
      <c r="D12" s="496" t="s">
        <v>57</v>
      </c>
      <c r="E12" s="466" t="s">
        <v>15</v>
      </c>
      <c r="F12" s="736" t="s">
        <v>16</v>
      </c>
      <c r="G12" s="736"/>
      <c r="H12" s="736"/>
      <c r="I12" s="736"/>
      <c r="J12" s="736"/>
      <c r="K12" s="736"/>
      <c r="L12" s="736"/>
      <c r="M12" s="736"/>
      <c r="N12" s="736"/>
      <c r="O12" s="736"/>
      <c r="P12" s="466" t="s">
        <v>17</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x14ac:dyDescent="0.2">
      <c r="A13" s="344"/>
      <c r="B13" s="333"/>
      <c r="C13" s="513" t="s">
        <v>0</v>
      </c>
      <c r="D13" s="35"/>
      <c r="E13" s="29" t="s">
        <v>217</v>
      </c>
      <c r="F13" s="70">
        <v>1</v>
      </c>
      <c r="G13" s="71">
        <v>2</v>
      </c>
      <c r="H13" s="72">
        <v>3</v>
      </c>
      <c r="I13" s="73">
        <v>4</v>
      </c>
      <c r="J13" s="74">
        <v>5</v>
      </c>
      <c r="K13" s="75">
        <v>6</v>
      </c>
      <c r="L13" s="76">
        <v>7</v>
      </c>
      <c r="M13" s="77">
        <v>8</v>
      </c>
      <c r="N13" s="78">
        <v>9</v>
      </c>
      <c r="O13" s="79">
        <v>10</v>
      </c>
      <c r="P13" s="31"/>
      <c r="Q13" s="138"/>
      <c r="R13" s="333"/>
      <c r="S13" s="132">
        <f>VLOOKUP($E13,R.VL_DEQResourcesInvolved,2,FALSE)</f>
        <v>0</v>
      </c>
      <c r="T13" s="120">
        <f>VLOOKUP($E13,R.VL_DEQResourcesInvolved,3,FALSE)</f>
        <v>0</v>
      </c>
      <c r="U13" s="120">
        <f>IF(S13=10,T13,VLOOKUP($E13,R.VL_DEQResourcesInvolved,4,FALSE))</f>
        <v>0</v>
      </c>
      <c r="V13" s="127"/>
      <c r="W13" s="127"/>
      <c r="X13" s="574" t="s">
        <v>542</v>
      </c>
      <c r="Y13" s="435"/>
      <c r="Z13" s="435"/>
      <c r="AA13" s="435"/>
      <c r="AB13" s="63"/>
      <c r="AC13" s="63"/>
      <c r="AD13" s="63"/>
      <c r="AE13" s="63"/>
      <c r="AF13" s="129"/>
      <c r="AG13" s="129"/>
      <c r="AH13" s="129"/>
      <c r="AI13" s="129"/>
    </row>
    <row r="14" spans="1:35" s="27" customFormat="1" ht="15.75" hidden="1" customHeight="1" outlineLevel="1" x14ac:dyDescent="0.2">
      <c r="A14" s="344"/>
      <c r="B14" s="333"/>
      <c r="C14" s="513" t="s">
        <v>0</v>
      </c>
      <c r="D14" s="35" t="s">
        <v>0</v>
      </c>
      <c r="E14" s="29" t="s">
        <v>217</v>
      </c>
      <c r="F14" s="70">
        <v>1</v>
      </c>
      <c r="G14" s="71">
        <v>2</v>
      </c>
      <c r="H14" s="72">
        <v>3</v>
      </c>
      <c r="I14" s="73">
        <v>4</v>
      </c>
      <c r="J14" s="74">
        <v>5</v>
      </c>
      <c r="K14" s="75">
        <v>6</v>
      </c>
      <c r="L14" s="76">
        <v>7</v>
      </c>
      <c r="M14" s="77">
        <v>8</v>
      </c>
      <c r="N14" s="78">
        <v>9</v>
      </c>
      <c r="O14" s="79">
        <v>10</v>
      </c>
      <c r="P14" s="31"/>
      <c r="Q14" s="138"/>
      <c r="R14" s="333"/>
      <c r="S14" s="132">
        <f>VLOOKUP($E14,R.VL_DEQResourcesInvolved,2,FALSE)</f>
        <v>0</v>
      </c>
      <c r="T14" s="120">
        <f>VLOOKUP($E14,R.VL_DEQResourcesInvolved,3,FALSE)</f>
        <v>0</v>
      </c>
      <c r="U14" s="120">
        <f>IF(S14=10,T14,VLOOKUP($E14,R.VL_DEQResourcesInvolved,4,FALSE))</f>
        <v>0</v>
      </c>
      <c r="V14" s="127"/>
      <c r="W14" s="127"/>
      <c r="X14" s="435"/>
      <c r="Y14" s="435"/>
      <c r="Z14" s="435"/>
      <c r="AA14" s="435"/>
      <c r="AB14" s="63"/>
      <c r="AC14" s="63"/>
      <c r="AD14" s="63"/>
      <c r="AE14" s="63"/>
      <c r="AF14" s="129"/>
      <c r="AG14" s="129"/>
      <c r="AH14" s="129"/>
      <c r="AI14" s="129"/>
    </row>
    <row r="15" spans="1:35" s="27" customFormat="1" ht="15.75" hidden="1" customHeight="1" outlineLevel="1" x14ac:dyDescent="0.2">
      <c r="A15" s="344"/>
      <c r="B15" s="333"/>
      <c r="C15" s="513" t="s">
        <v>0</v>
      </c>
      <c r="D15" s="35" t="s">
        <v>0</v>
      </c>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127"/>
      <c r="W15" s="127"/>
      <c r="X15" s="435"/>
      <c r="Y15" s="435"/>
      <c r="Z15" s="435"/>
      <c r="AA15" s="435"/>
      <c r="AB15" s="63"/>
      <c r="AC15" s="63"/>
      <c r="AD15" s="63"/>
      <c r="AE15" s="63"/>
      <c r="AF15" s="129"/>
      <c r="AG15" s="129"/>
      <c r="AH15" s="129"/>
      <c r="AI15" s="129"/>
    </row>
    <row r="16" spans="1:35" s="27" customFormat="1" ht="15.75" hidden="1" customHeight="1" outlineLevel="1" x14ac:dyDescent="0.2">
      <c r="A16" s="344"/>
      <c r="B16" s="333"/>
      <c r="C16" s="513" t="s">
        <v>0</v>
      </c>
      <c r="D16" s="35" t="s">
        <v>0</v>
      </c>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127"/>
      <c r="W16" s="127"/>
      <c r="X16" s="435"/>
      <c r="Y16" s="435"/>
      <c r="Z16" s="435"/>
      <c r="AA16" s="435"/>
      <c r="AB16" s="63"/>
      <c r="AC16" s="63"/>
      <c r="AD16" s="63"/>
      <c r="AE16" s="63"/>
      <c r="AF16" s="129"/>
      <c r="AG16" s="129"/>
      <c r="AH16" s="129"/>
      <c r="AI16" s="129"/>
    </row>
    <row r="17" spans="1:35" s="27" customFormat="1" ht="15.75" customHeight="1" collapsed="1" x14ac:dyDescent="0.2">
      <c r="A17" s="344"/>
      <c r="B17" s="333"/>
      <c r="C17" s="514"/>
      <c r="D17" s="441" t="s">
        <v>49</v>
      </c>
      <c r="E17" s="30"/>
      <c r="F17" s="30"/>
      <c r="G17" s="30"/>
      <c r="H17" s="30"/>
      <c r="I17" s="30"/>
      <c r="J17" s="30"/>
      <c r="K17" s="30"/>
      <c r="L17" s="30"/>
      <c r="M17" s="30"/>
      <c r="N17" s="30"/>
      <c r="O17" s="30"/>
      <c r="P17" s="30"/>
      <c r="Q17" s="142"/>
      <c r="R17" s="333"/>
      <c r="S17" s="227"/>
      <c r="T17" s="228"/>
      <c r="U17" s="228"/>
      <c r="V17" s="510" t="str">
        <f>SUM(T13:T16)&amp;"-"&amp;SUM(U13:U16)</f>
        <v>0-0</v>
      </c>
      <c r="W17" s="228"/>
      <c r="X17" s="235"/>
      <c r="Y17" s="235"/>
      <c r="Z17" s="235"/>
      <c r="AA17" s="235"/>
      <c r="AB17" s="235"/>
      <c r="AC17" s="235"/>
      <c r="AD17" s="235"/>
      <c r="AE17" s="235"/>
      <c r="AF17" s="129"/>
      <c r="AG17" s="129"/>
      <c r="AH17" s="129"/>
      <c r="AI17" s="129"/>
    </row>
    <row r="18" spans="1:35" s="27" customFormat="1" ht="15.75" customHeight="1" x14ac:dyDescent="0.2">
      <c r="A18" s="344"/>
      <c r="B18" s="333"/>
      <c r="C18" s="513"/>
      <c r="D18" s="737"/>
      <c r="E18" s="738"/>
      <c r="F18" s="738"/>
      <c r="G18" s="738"/>
      <c r="H18" s="738"/>
      <c r="I18" s="738"/>
      <c r="J18" s="738"/>
      <c r="K18" s="738"/>
      <c r="L18" s="738"/>
      <c r="M18" s="738"/>
      <c r="N18" s="738"/>
      <c r="O18" s="738"/>
      <c r="P18" s="739"/>
      <c r="Q18" s="138"/>
      <c r="R18" s="333"/>
      <c r="S18" s="131" t="s">
        <v>0</v>
      </c>
      <c r="T18" s="130"/>
      <c r="U18" s="130"/>
      <c r="V18" s="130"/>
      <c r="W18" s="130"/>
      <c r="X18" s="435"/>
      <c r="Y18" s="435"/>
      <c r="Z18" s="435"/>
      <c r="AA18" s="435"/>
      <c r="AB18" s="63"/>
      <c r="AC18" s="63"/>
      <c r="AD18" s="63"/>
      <c r="AE18" s="63"/>
      <c r="AF18" s="129"/>
      <c r="AG18" s="129"/>
      <c r="AH18" s="129"/>
      <c r="AI18" s="129"/>
    </row>
    <row r="19" spans="1:35" s="32" customFormat="1" ht="15.75" customHeight="1" x14ac:dyDescent="0.2">
      <c r="A19" s="343"/>
      <c r="B19" s="333"/>
      <c r="C19" s="515"/>
      <c r="D19" s="441" t="s">
        <v>57</v>
      </c>
      <c r="E19" s="291" t="s">
        <v>15</v>
      </c>
      <c r="F19" s="291" t="s">
        <v>16</v>
      </c>
      <c r="G19" s="291"/>
      <c r="H19" s="291"/>
      <c r="I19" s="291"/>
      <c r="J19" s="291"/>
      <c r="K19" s="291"/>
      <c r="L19" s="291"/>
      <c r="M19" s="291"/>
      <c r="N19" s="291"/>
      <c r="O19" s="291"/>
      <c r="P19" s="291" t="s">
        <v>17</v>
      </c>
      <c r="Q19" s="136"/>
      <c r="R19" s="333"/>
      <c r="S19" s="227"/>
      <c r="T19" s="228"/>
      <c r="U19" s="228"/>
      <c r="V19" s="228"/>
      <c r="W19" s="228"/>
      <c r="X19" s="229"/>
      <c r="Y19" s="229"/>
      <c r="Z19" s="229"/>
      <c r="AA19" s="229"/>
      <c r="AB19" s="229"/>
      <c r="AC19" s="229"/>
      <c r="AD19" s="229"/>
      <c r="AE19" s="229"/>
      <c r="AF19" s="126"/>
      <c r="AG19" s="126"/>
      <c r="AH19" s="126"/>
      <c r="AI19" s="126"/>
    </row>
    <row r="20" spans="1:35" s="27" customFormat="1" ht="15.75" customHeight="1" x14ac:dyDescent="0.2">
      <c r="A20" s="344"/>
      <c r="B20" s="333"/>
      <c r="C20" s="513" t="s">
        <v>0</v>
      </c>
      <c r="D20" s="35" t="s">
        <v>0</v>
      </c>
      <c r="E20" s="29" t="s">
        <v>217</v>
      </c>
      <c r="F20" s="70">
        <v>1</v>
      </c>
      <c r="G20" s="71">
        <v>2</v>
      </c>
      <c r="H20" s="72">
        <v>3</v>
      </c>
      <c r="I20" s="73">
        <v>4</v>
      </c>
      <c r="J20" s="74">
        <v>5</v>
      </c>
      <c r="K20" s="75">
        <v>6</v>
      </c>
      <c r="L20" s="76">
        <v>7</v>
      </c>
      <c r="M20" s="77">
        <v>8</v>
      </c>
      <c r="N20" s="78">
        <v>9</v>
      </c>
      <c r="O20" s="79">
        <v>10</v>
      </c>
      <c r="P20" s="31"/>
      <c r="Q20" s="138"/>
      <c r="R20" s="333"/>
      <c r="S20" s="132">
        <f>VLOOKUP($E20,R.VL_DEQResourcesInvolved,2,FALSE)</f>
        <v>0</v>
      </c>
      <c r="T20" s="120">
        <f>VLOOKUP($E20,R.VL_DEQResourcesInvolved,3,FALSE)</f>
        <v>0</v>
      </c>
      <c r="U20" s="120">
        <f>IF(S20=10,T20,VLOOKUP($E20,R.VL_DEQResourcesInvolved,4,FALSE))</f>
        <v>0</v>
      </c>
      <c r="V20" s="127"/>
      <c r="W20" s="127"/>
      <c r="X20" s="574" t="s">
        <v>542</v>
      </c>
      <c r="Y20" s="435"/>
      <c r="Z20" s="435"/>
      <c r="AA20" s="435"/>
      <c r="AB20" s="63"/>
      <c r="AC20" s="63"/>
      <c r="AD20" s="63"/>
      <c r="AE20" s="63"/>
      <c r="AF20" s="129"/>
      <c r="AG20" s="129"/>
      <c r="AH20" s="129"/>
      <c r="AI20" s="129"/>
    </row>
    <row r="21" spans="1:35" s="27" customFormat="1" ht="15.75" hidden="1" customHeight="1" outlineLevel="1" x14ac:dyDescent="0.2">
      <c r="A21" s="344"/>
      <c r="B21" s="333"/>
      <c r="C21" s="513" t="s">
        <v>0</v>
      </c>
      <c r="D21" s="35" t="s">
        <v>0</v>
      </c>
      <c r="E21" s="29" t="s">
        <v>217</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127"/>
      <c r="W21" s="127"/>
      <c r="X21" s="435"/>
      <c r="Y21" s="435"/>
      <c r="Z21" s="435"/>
      <c r="AA21" s="435"/>
      <c r="AB21" s="63"/>
      <c r="AC21" s="63"/>
      <c r="AD21" s="63"/>
      <c r="AE21" s="63"/>
      <c r="AF21" s="129"/>
      <c r="AG21" s="129"/>
      <c r="AH21" s="129"/>
      <c r="AI21" s="129"/>
    </row>
    <row r="22" spans="1:35" s="27" customFormat="1" ht="15.75" hidden="1" customHeight="1" outlineLevel="1" x14ac:dyDescent="0.2">
      <c r="A22" s="344"/>
      <c r="B22" s="333"/>
      <c r="C22" s="513" t="s">
        <v>0</v>
      </c>
      <c r="D22" s="35" t="s">
        <v>0</v>
      </c>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127"/>
      <c r="W22" s="127"/>
      <c r="X22" s="435"/>
      <c r="Y22" s="435"/>
      <c r="Z22" s="435"/>
      <c r="AA22" s="435"/>
      <c r="AB22" s="63"/>
      <c r="AC22" s="63"/>
      <c r="AD22" s="63"/>
      <c r="AE22" s="63"/>
      <c r="AF22" s="129"/>
      <c r="AG22" s="129"/>
      <c r="AH22" s="129"/>
      <c r="AI22" s="129"/>
    </row>
    <row r="23" spans="1:35" s="27" customFormat="1" ht="15.75" hidden="1" customHeight="1" outlineLevel="1" thickBot="1" x14ac:dyDescent="0.25">
      <c r="A23" s="344"/>
      <c r="B23" s="333"/>
      <c r="C23" s="513" t="s">
        <v>0</v>
      </c>
      <c r="D23" s="35" t="s">
        <v>0</v>
      </c>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10" t="str">
        <f>SUM(T20:T23)&amp;"-"&amp;SUM(U20:U23)</f>
        <v>0-0</v>
      </c>
      <c r="W23" s="511" t="str">
        <f>SUM(T13:T23)&amp;"-"&amp;SUM(U13:U23)</f>
        <v>0-0</v>
      </c>
      <c r="X23" s="435"/>
      <c r="Y23" s="435"/>
      <c r="Z23" s="435"/>
      <c r="AA23" s="435"/>
      <c r="AB23" s="63"/>
      <c r="AC23" s="63"/>
      <c r="AD23" s="63"/>
      <c r="AE23" s="63"/>
      <c r="AF23" s="129"/>
      <c r="AG23" s="129"/>
      <c r="AH23" s="129"/>
      <c r="AI23" s="129"/>
    </row>
    <row r="24" spans="1:35" s="27" customFormat="1" ht="14.25" customHeight="1" collapsed="1" x14ac:dyDescent="0.2">
      <c r="A24" s="344"/>
      <c r="B24" s="333"/>
      <c r="C24" s="513"/>
      <c r="D24" s="478"/>
      <c r="E24" s="726"/>
      <c r="F24" s="726"/>
      <c r="G24" s="726"/>
      <c r="H24" s="726"/>
      <c r="I24" s="726"/>
      <c r="J24" s="726"/>
      <c r="K24" s="726"/>
      <c r="L24" s="726"/>
      <c r="M24" s="726"/>
      <c r="N24" s="726"/>
      <c r="O24" s="726"/>
      <c r="P24" s="726"/>
      <c r="Q24" s="138"/>
      <c r="R24" s="333"/>
      <c r="S24" s="131"/>
      <c r="T24" s="133"/>
      <c r="U24" s="133"/>
      <c r="W24" s="133"/>
      <c r="X24" s="435"/>
      <c r="Y24" s="435"/>
      <c r="Z24" s="435"/>
      <c r="AA24" s="435"/>
      <c r="AB24" s="63"/>
      <c r="AC24" s="63"/>
      <c r="AD24" s="63"/>
      <c r="AE24" s="63"/>
      <c r="AF24" s="129"/>
      <c r="AG24" s="129"/>
      <c r="AH24" s="129"/>
      <c r="AI24" s="129"/>
    </row>
    <row r="25" spans="1:35" s="27" customFormat="1" ht="14.25" customHeight="1" x14ac:dyDescent="0.2">
      <c r="A25" s="344"/>
      <c r="B25" s="333"/>
      <c r="C25" s="375"/>
      <c r="D25" s="376"/>
      <c r="E25" s="481"/>
      <c r="F25" s="481"/>
      <c r="G25" s="481"/>
      <c r="H25" s="481"/>
      <c r="I25" s="481"/>
      <c r="J25" s="481"/>
      <c r="K25" s="481"/>
      <c r="L25" s="481"/>
      <c r="M25" s="481"/>
      <c r="N25" s="481"/>
      <c r="O25" s="481"/>
      <c r="P25" s="481"/>
      <c r="Q25" s="378"/>
      <c r="R25" s="333"/>
      <c r="S25" s="131"/>
      <c r="T25" s="133"/>
      <c r="U25" s="133"/>
      <c r="V25" s="133"/>
      <c r="W25" s="133"/>
      <c r="X25" s="435"/>
      <c r="Y25" s="435"/>
      <c r="Z25" s="435"/>
      <c r="AA25" s="435"/>
      <c r="AB25" s="435"/>
      <c r="AC25" s="435"/>
      <c r="AD25" s="435"/>
      <c r="AE25" s="435"/>
      <c r="AF25" s="129"/>
      <c r="AG25" s="129"/>
      <c r="AH25" s="129"/>
      <c r="AI25" s="129"/>
    </row>
    <row r="26" spans="1:35" s="32" customFormat="1" ht="30" customHeight="1" x14ac:dyDescent="0.3">
      <c r="A26" s="349" t="s">
        <v>103</v>
      </c>
      <c r="B26" s="333"/>
      <c r="C26" s="135"/>
      <c r="D26" s="303" t="s">
        <v>122</v>
      </c>
      <c r="E26" s="93"/>
      <c r="F26" s="93"/>
      <c r="G26" s="93"/>
      <c r="H26" s="93"/>
      <c r="I26" s="93"/>
      <c r="J26" s="93"/>
      <c r="K26" s="93"/>
      <c r="L26" s="93"/>
      <c r="M26" s="93"/>
      <c r="N26" s="93"/>
      <c r="O26" s="93"/>
      <c r="P26" s="93"/>
      <c r="Q26" s="136"/>
      <c r="R26" s="333"/>
      <c r="S26" s="133"/>
      <c r="T26" s="130"/>
      <c r="U26" s="130"/>
      <c r="V26" s="130"/>
      <c r="W26" s="130"/>
      <c r="X26" s="128"/>
      <c r="Y26" s="128"/>
      <c r="Z26" s="128"/>
      <c r="AA26" s="128"/>
      <c r="AB26" s="128"/>
      <c r="AC26" s="128"/>
      <c r="AD26" s="128"/>
      <c r="AE26" s="128"/>
      <c r="AF26" s="126"/>
      <c r="AG26" s="126"/>
      <c r="AH26" s="126"/>
      <c r="AI26" s="126"/>
    </row>
    <row r="27" spans="1:35" s="32" customFormat="1" ht="14.25" customHeight="1" x14ac:dyDescent="0.3">
      <c r="A27" s="343"/>
      <c r="B27" s="333"/>
      <c r="C27" s="135"/>
      <c r="D27" s="442" t="s">
        <v>50</v>
      </c>
      <c r="E27" s="93"/>
      <c r="F27" s="93"/>
      <c r="G27" s="93"/>
      <c r="H27" s="93"/>
      <c r="I27" s="93"/>
      <c r="J27" s="93"/>
      <c r="K27" s="93"/>
      <c r="L27" s="93"/>
      <c r="M27" s="93"/>
      <c r="N27" s="93"/>
      <c r="O27" s="93"/>
      <c r="P27" s="93"/>
      <c r="Q27" s="136"/>
      <c r="R27" s="333"/>
      <c r="S27" s="133"/>
      <c r="T27" s="130"/>
      <c r="U27" s="130"/>
      <c r="V27" s="130"/>
      <c r="W27" s="130"/>
      <c r="X27" s="128"/>
      <c r="Y27" s="128"/>
      <c r="Z27" s="128"/>
      <c r="AA27" s="128"/>
      <c r="AB27" s="128"/>
      <c r="AC27" s="128"/>
      <c r="AD27" s="128"/>
      <c r="AE27" s="128"/>
      <c r="AF27" s="126"/>
      <c r="AG27" s="126"/>
      <c r="AH27" s="126"/>
      <c r="AI27" s="126"/>
    </row>
    <row r="28" spans="1:35" s="27" customFormat="1" ht="15.75" customHeight="1" x14ac:dyDescent="0.2">
      <c r="A28" s="344"/>
      <c r="B28" s="333"/>
      <c r="C28" s="137"/>
      <c r="D28" s="722"/>
      <c r="E28" s="723"/>
      <c r="F28" s="723"/>
      <c r="G28" s="723"/>
      <c r="H28" s="723"/>
      <c r="I28" s="723"/>
      <c r="J28" s="723"/>
      <c r="K28" s="723"/>
      <c r="L28" s="723"/>
      <c r="M28" s="723"/>
      <c r="N28" s="723"/>
      <c r="O28" s="723"/>
      <c r="P28" s="724"/>
      <c r="Q28" s="138"/>
      <c r="R28" s="333"/>
      <c r="S28" s="131" t="s">
        <v>0</v>
      </c>
      <c r="T28" s="130"/>
      <c r="U28" s="130"/>
      <c r="V28" s="130"/>
      <c r="W28" s="130"/>
      <c r="X28" s="435"/>
      <c r="Y28" s="435"/>
      <c r="Z28" s="435"/>
      <c r="AA28" s="435"/>
      <c r="AB28" s="63"/>
      <c r="AC28" s="63"/>
      <c r="AD28" s="63"/>
      <c r="AE28" s="63"/>
      <c r="AF28" s="129"/>
      <c r="AG28" s="129"/>
      <c r="AH28" s="129"/>
      <c r="AI28" s="129"/>
    </row>
    <row r="29" spans="1:35" s="32" customFormat="1" ht="15.75" customHeight="1" x14ac:dyDescent="0.2">
      <c r="A29" s="343"/>
      <c r="B29" s="333"/>
      <c r="C29" s="231"/>
      <c r="D29" s="441" t="s">
        <v>57</v>
      </c>
      <c r="E29" s="291" t="s">
        <v>15</v>
      </c>
      <c r="F29" s="291" t="s">
        <v>16</v>
      </c>
      <c r="G29" s="291"/>
      <c r="H29" s="291"/>
      <c r="I29" s="291"/>
      <c r="J29" s="291"/>
      <c r="K29" s="291"/>
      <c r="L29" s="291"/>
      <c r="M29" s="291"/>
      <c r="N29" s="291"/>
      <c r="O29" s="291"/>
      <c r="P29" s="291" t="s">
        <v>17</v>
      </c>
      <c r="Q29" s="136"/>
      <c r="R29" s="333"/>
      <c r="S29" s="227"/>
      <c r="T29" s="228"/>
      <c r="U29" s="228"/>
      <c r="V29" s="228"/>
      <c r="W29" s="228"/>
      <c r="X29" s="229"/>
      <c r="Y29" s="229"/>
      <c r="Z29" s="229"/>
      <c r="AA29" s="229"/>
      <c r="AB29" s="229"/>
      <c r="AC29" s="229"/>
      <c r="AD29" s="229"/>
      <c r="AE29" s="229"/>
      <c r="AF29" s="126"/>
      <c r="AG29" s="126"/>
      <c r="AH29" s="126"/>
      <c r="AI29" s="126"/>
    </row>
    <row r="30" spans="1:35" s="27" customFormat="1" ht="15.75" customHeight="1" x14ac:dyDescent="0.2">
      <c r="A30" s="344"/>
      <c r="B30" s="333"/>
      <c r="C30" s="137"/>
      <c r="D30" s="35"/>
      <c r="E30" s="29" t="s">
        <v>217</v>
      </c>
      <c r="F30" s="70">
        <v>1</v>
      </c>
      <c r="G30" s="71">
        <v>2</v>
      </c>
      <c r="H30" s="72">
        <v>3</v>
      </c>
      <c r="I30" s="73">
        <v>4</v>
      </c>
      <c r="J30" s="74">
        <v>5</v>
      </c>
      <c r="K30" s="75">
        <v>6</v>
      </c>
      <c r="L30" s="76">
        <v>7</v>
      </c>
      <c r="M30" s="77">
        <v>8</v>
      </c>
      <c r="N30" s="78">
        <v>9</v>
      </c>
      <c r="O30" s="79">
        <v>10</v>
      </c>
      <c r="P30" s="31" t="s">
        <v>0</v>
      </c>
      <c r="Q30" s="138"/>
      <c r="R30" s="333"/>
      <c r="S30" s="132">
        <f>VLOOKUP($E30,R.VL_DEQResourcesInvolved,2,FALSE)</f>
        <v>0</v>
      </c>
      <c r="T30" s="120">
        <f>VLOOKUP($E30,R.VL_DEQResourcesInvolved,3,FALSE)</f>
        <v>0</v>
      </c>
      <c r="U30" s="120">
        <f>IF(S30=10,T30,VLOOKUP($E30,R.VL_DEQResourcesInvolved,4,FALSE))</f>
        <v>0</v>
      </c>
      <c r="V30" s="127"/>
      <c r="W30" s="127"/>
      <c r="X30" s="574" t="s">
        <v>542</v>
      </c>
      <c r="Y30" s="435"/>
      <c r="Z30" s="435"/>
      <c r="AA30" s="435"/>
      <c r="AB30" s="63"/>
      <c r="AC30" s="63"/>
      <c r="AD30" s="63"/>
      <c r="AE30" s="63"/>
      <c r="AF30" s="129"/>
      <c r="AG30" s="129"/>
      <c r="AH30" s="129"/>
      <c r="AI30" s="129"/>
    </row>
    <row r="31" spans="1:35" s="27" customFormat="1" ht="15.75" hidden="1" customHeight="1" outlineLevel="1" x14ac:dyDescent="0.2">
      <c r="A31" s="344"/>
      <c r="B31" s="333"/>
      <c r="C31" s="137"/>
      <c r="D31" s="35"/>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127"/>
      <c r="W31" s="127"/>
      <c r="X31" s="435"/>
      <c r="Y31" s="435"/>
      <c r="Z31" s="435"/>
      <c r="AA31" s="435"/>
      <c r="AB31" s="63"/>
      <c r="AC31" s="63"/>
      <c r="AD31" s="63"/>
      <c r="AE31" s="63"/>
      <c r="AF31" s="129"/>
      <c r="AG31" s="129"/>
      <c r="AH31" s="129"/>
      <c r="AI31" s="129"/>
    </row>
    <row r="32" spans="1:35" s="27" customFormat="1" ht="15.75" hidden="1" customHeight="1" outlineLevel="1" x14ac:dyDescent="0.2">
      <c r="A32" s="344"/>
      <c r="B32" s="333"/>
      <c r="C32" s="137"/>
      <c r="D32" s="35"/>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127"/>
      <c r="W32" s="127"/>
      <c r="X32" s="435"/>
      <c r="Y32" s="435"/>
      <c r="Z32" s="435"/>
      <c r="AA32" s="435"/>
      <c r="AB32" s="63"/>
      <c r="AC32" s="63"/>
      <c r="AD32" s="63"/>
      <c r="AE32" s="63"/>
      <c r="AF32" s="129"/>
      <c r="AG32" s="129"/>
      <c r="AH32" s="129"/>
      <c r="AI32" s="129"/>
    </row>
    <row r="33" spans="1:35" s="27" customFormat="1" ht="15.75" hidden="1" customHeight="1" outlineLevel="1" x14ac:dyDescent="0.2">
      <c r="A33" s="344"/>
      <c r="B33" s="333"/>
      <c r="C33" s="137"/>
      <c r="D33" s="35"/>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510" t="str">
        <f>SUM(T30:T33)&amp;"-"&amp;SUM(U30:U33)</f>
        <v>0-0</v>
      </c>
      <c r="W33" s="127"/>
      <c r="X33" s="435"/>
      <c r="Y33" s="435"/>
      <c r="Z33" s="435"/>
      <c r="AA33" s="435"/>
      <c r="AB33" s="63"/>
      <c r="AC33" s="63"/>
      <c r="AD33" s="63"/>
      <c r="AE33" s="63"/>
      <c r="AF33" s="129"/>
      <c r="AG33" s="129"/>
      <c r="AH33" s="129"/>
      <c r="AI33" s="129"/>
    </row>
    <row r="34" spans="1:35" s="27" customFormat="1" ht="15.75" customHeight="1" collapsed="1" x14ac:dyDescent="0.2">
      <c r="A34" s="344"/>
      <c r="B34" s="333"/>
      <c r="C34" s="141"/>
      <c r="D34" s="442" t="s">
        <v>49</v>
      </c>
      <c r="E34" s="30"/>
      <c r="F34" s="30"/>
      <c r="G34" s="30"/>
      <c r="H34" s="30"/>
      <c r="I34" s="30"/>
      <c r="J34" s="30"/>
      <c r="K34" s="30"/>
      <c r="L34" s="30"/>
      <c r="M34" s="30"/>
      <c r="N34" s="30"/>
      <c r="O34" s="30"/>
      <c r="P34" s="30"/>
      <c r="Q34" s="142"/>
      <c r="R34" s="333"/>
      <c r="S34" s="131"/>
      <c r="T34" s="130"/>
      <c r="U34" s="130"/>
      <c r="W34" s="130"/>
      <c r="X34" s="435"/>
      <c r="Y34" s="435"/>
      <c r="Z34" s="435"/>
      <c r="AA34" s="435"/>
      <c r="AB34" s="63"/>
      <c r="AC34" s="63"/>
      <c r="AD34" s="63"/>
      <c r="AE34" s="63"/>
      <c r="AF34" s="129"/>
      <c r="AG34" s="129"/>
      <c r="AH34" s="129"/>
      <c r="AI34" s="129"/>
    </row>
    <row r="35" spans="1:35" s="27" customFormat="1" ht="15.75" customHeight="1" x14ac:dyDescent="0.2">
      <c r="A35" s="344"/>
      <c r="B35" s="333"/>
      <c r="C35" s="137"/>
      <c r="D35" s="727"/>
      <c r="E35" s="728"/>
      <c r="F35" s="728"/>
      <c r="G35" s="728"/>
      <c r="H35" s="728"/>
      <c r="I35" s="728"/>
      <c r="J35" s="728"/>
      <c r="K35" s="728"/>
      <c r="L35" s="728"/>
      <c r="M35" s="728"/>
      <c r="N35" s="728"/>
      <c r="O35" s="728"/>
      <c r="P35" s="729"/>
      <c r="Q35" s="138"/>
      <c r="R35" s="333"/>
      <c r="S35" s="131" t="s">
        <v>0</v>
      </c>
      <c r="T35" s="130"/>
      <c r="U35" s="130"/>
      <c r="V35" s="130"/>
      <c r="W35" s="130"/>
      <c r="X35" s="435"/>
      <c r="Y35" s="435"/>
      <c r="Z35" s="435"/>
      <c r="AA35" s="435"/>
      <c r="AB35" s="63"/>
      <c r="AC35" s="63"/>
      <c r="AD35" s="63"/>
      <c r="AE35" s="63"/>
      <c r="AF35" s="129"/>
      <c r="AG35" s="129"/>
      <c r="AH35" s="129"/>
      <c r="AI35" s="129"/>
    </row>
    <row r="36" spans="1:35" s="32" customFormat="1" ht="15.75" customHeight="1" x14ac:dyDescent="0.2">
      <c r="A36" s="343"/>
      <c r="B36" s="333"/>
      <c r="C36" s="231"/>
      <c r="D36" s="441" t="s">
        <v>57</v>
      </c>
      <c r="E36" s="291" t="s">
        <v>15</v>
      </c>
      <c r="F36" s="291" t="s">
        <v>16</v>
      </c>
      <c r="G36" s="291"/>
      <c r="H36" s="291"/>
      <c r="I36" s="291"/>
      <c r="J36" s="291"/>
      <c r="K36" s="291"/>
      <c r="L36" s="291"/>
      <c r="M36" s="291"/>
      <c r="N36" s="291"/>
      <c r="O36" s="291"/>
      <c r="P36" s="291" t="s">
        <v>17</v>
      </c>
      <c r="Q36" s="136"/>
      <c r="R36" s="333"/>
      <c r="S36" s="227"/>
      <c r="T36" s="228"/>
      <c r="U36" s="228"/>
      <c r="V36" s="228"/>
      <c r="W36" s="228"/>
      <c r="X36" s="229"/>
      <c r="Y36" s="229"/>
      <c r="Z36" s="229"/>
      <c r="AA36" s="229"/>
      <c r="AB36" s="229"/>
      <c r="AC36" s="229"/>
      <c r="AD36" s="229"/>
      <c r="AE36" s="229"/>
      <c r="AF36" s="126"/>
      <c r="AG36" s="126"/>
      <c r="AH36" s="126"/>
      <c r="AI36" s="126"/>
    </row>
    <row r="37" spans="1:35" s="27" customFormat="1" ht="15.75" customHeight="1" x14ac:dyDescent="0.2">
      <c r="A37" s="344"/>
      <c r="B37" s="333"/>
      <c r="C37" s="137"/>
      <c r="D37" s="35" t="s">
        <v>0</v>
      </c>
      <c r="E37" s="29" t="s">
        <v>217</v>
      </c>
      <c r="F37" s="70">
        <v>1</v>
      </c>
      <c r="G37" s="71">
        <v>2</v>
      </c>
      <c r="H37" s="72">
        <v>3</v>
      </c>
      <c r="I37" s="73">
        <v>4</v>
      </c>
      <c r="J37" s="74">
        <v>5</v>
      </c>
      <c r="K37" s="75">
        <v>6</v>
      </c>
      <c r="L37" s="76">
        <v>7</v>
      </c>
      <c r="M37" s="77">
        <v>8</v>
      </c>
      <c r="N37" s="78">
        <v>9</v>
      </c>
      <c r="O37" s="79">
        <v>10</v>
      </c>
      <c r="P37" s="31" t="s">
        <v>0</v>
      </c>
      <c r="Q37" s="138"/>
      <c r="R37" s="333"/>
      <c r="S37" s="132">
        <f>VLOOKUP($E37,R.VL_DEQResourcesInvolved,2,FALSE)</f>
        <v>0</v>
      </c>
      <c r="T37" s="120">
        <f>VLOOKUP($E37,R.VL_DEQResourcesInvolved,3,FALSE)</f>
        <v>0</v>
      </c>
      <c r="U37" s="120">
        <f>IF(S37=10,T37,VLOOKUP($E37,R.VL_DEQResourcesInvolved,4,FALSE))</f>
        <v>0</v>
      </c>
      <c r="V37" s="127"/>
      <c r="W37" s="127"/>
      <c r="X37" s="574" t="s">
        <v>542</v>
      </c>
      <c r="Y37" s="435"/>
      <c r="Z37" s="435"/>
      <c r="AA37" s="435"/>
      <c r="AB37" s="63"/>
      <c r="AC37" s="63"/>
      <c r="AD37" s="63"/>
      <c r="AE37" s="63"/>
      <c r="AF37" s="129"/>
      <c r="AG37" s="129"/>
      <c r="AH37" s="129"/>
      <c r="AI37" s="129"/>
    </row>
    <row r="38" spans="1:35" s="27" customFormat="1" ht="15.75" hidden="1" customHeight="1" outlineLevel="1" x14ac:dyDescent="0.2">
      <c r="A38" s="344"/>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127"/>
      <c r="W38" s="127"/>
      <c r="X38" s="435"/>
      <c r="Y38" s="435"/>
      <c r="Z38" s="435"/>
      <c r="AA38" s="435"/>
      <c r="AB38" s="63"/>
      <c r="AC38" s="63"/>
      <c r="AD38" s="63"/>
      <c r="AE38" s="63"/>
      <c r="AF38" s="129"/>
      <c r="AG38" s="129"/>
      <c r="AH38" s="129"/>
      <c r="AI38" s="129"/>
    </row>
    <row r="39" spans="1:35" s="27" customFormat="1" ht="15.75" hidden="1" customHeight="1" outlineLevel="1" x14ac:dyDescent="0.2">
      <c r="A39" s="344"/>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127"/>
      <c r="W39" s="127"/>
      <c r="X39" s="435"/>
      <c r="Y39" s="435"/>
      <c r="Z39" s="435"/>
      <c r="AA39" s="435"/>
      <c r="AB39" s="63"/>
      <c r="AC39" s="63"/>
      <c r="AD39" s="63"/>
      <c r="AE39" s="63"/>
      <c r="AF39" s="129"/>
      <c r="AG39" s="129"/>
      <c r="AH39" s="129"/>
      <c r="AI39" s="129"/>
    </row>
    <row r="40" spans="1:35" s="27" customFormat="1" ht="15.75" hidden="1" customHeight="1" outlineLevel="1" thickBot="1" x14ac:dyDescent="0.25">
      <c r="A40" s="344"/>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510" t="str">
        <f>SUM(T37:T40)&amp;"-"&amp;SUM(U37:U40)</f>
        <v>0-0</v>
      </c>
      <c r="W40" s="511" t="str">
        <f>SUM(T30:T40)&amp;"-"&amp;SUM(U30:U40)</f>
        <v>0-0</v>
      </c>
      <c r="X40" s="435"/>
      <c r="Y40" s="435"/>
      <c r="Z40" s="435"/>
      <c r="AA40" s="435"/>
      <c r="AB40" s="63"/>
      <c r="AC40" s="63"/>
      <c r="AD40" s="63"/>
      <c r="AE40" s="63"/>
      <c r="AF40" s="129"/>
      <c r="AG40" s="129"/>
      <c r="AH40" s="129"/>
      <c r="AI40" s="129"/>
    </row>
    <row r="41" spans="1:35" s="27" customFormat="1" ht="12.75" customHeight="1" collapsed="1" x14ac:dyDescent="0.2">
      <c r="A41" s="344"/>
      <c r="B41" s="333"/>
      <c r="C41" s="137"/>
      <c r="D41" s="478"/>
      <c r="E41" s="726"/>
      <c r="F41" s="726"/>
      <c r="G41" s="726"/>
      <c r="H41" s="726"/>
      <c r="I41" s="726"/>
      <c r="J41" s="726"/>
      <c r="K41" s="726"/>
      <c r="L41" s="726"/>
      <c r="M41" s="726"/>
      <c r="N41" s="726"/>
      <c r="O41" s="726"/>
      <c r="P41" s="726"/>
      <c r="Q41" s="138"/>
      <c r="R41" s="333"/>
      <c r="S41" s="131"/>
      <c r="T41" s="133"/>
      <c r="U41" s="133"/>
      <c r="W41" s="133"/>
      <c r="X41" s="435"/>
      <c r="Y41" s="435"/>
      <c r="Z41" s="435"/>
      <c r="AA41" s="435"/>
      <c r="AB41" s="435"/>
      <c r="AC41" s="435"/>
      <c r="AD41" s="435"/>
      <c r="AE41" s="435"/>
      <c r="AF41" s="129"/>
      <c r="AG41" s="129"/>
      <c r="AH41" s="129"/>
      <c r="AI41" s="129"/>
    </row>
    <row r="42" spans="1:35" s="27" customFormat="1" ht="14.25" customHeight="1" x14ac:dyDescent="0.2">
      <c r="A42" s="344"/>
      <c r="B42" s="333"/>
      <c r="C42" s="375"/>
      <c r="D42" s="376"/>
      <c r="E42" s="721"/>
      <c r="F42" s="721"/>
      <c r="G42" s="721"/>
      <c r="H42" s="721"/>
      <c r="I42" s="721"/>
      <c r="J42" s="721"/>
      <c r="K42" s="721"/>
      <c r="L42" s="721"/>
      <c r="M42" s="721"/>
      <c r="N42" s="721"/>
      <c r="O42" s="721"/>
      <c r="P42" s="721"/>
      <c r="Q42" s="378"/>
      <c r="R42" s="333"/>
      <c r="S42" s="131"/>
      <c r="T42" s="130"/>
      <c r="U42" s="130"/>
      <c r="V42" s="130"/>
      <c r="W42" s="130"/>
      <c r="X42" s="435"/>
      <c r="Y42" s="435"/>
      <c r="Z42" s="435"/>
      <c r="AA42" s="435"/>
      <c r="AB42" s="63"/>
      <c r="AC42" s="63"/>
      <c r="AD42" s="63"/>
      <c r="AE42" s="63"/>
      <c r="AF42" s="129"/>
      <c r="AG42" s="129"/>
      <c r="AH42" s="129"/>
      <c r="AI42" s="129"/>
    </row>
    <row r="43" spans="1:35" s="32" customFormat="1" ht="30" customHeight="1" x14ac:dyDescent="0.25">
      <c r="A43" s="349" t="s">
        <v>103</v>
      </c>
      <c r="B43" s="333"/>
      <c r="C43" s="479" t="s">
        <v>0</v>
      </c>
      <c r="D43" s="303" t="s">
        <v>123</v>
      </c>
      <c r="E43" s="93"/>
      <c r="F43" s="93"/>
      <c r="G43" s="93"/>
      <c r="H43" s="93"/>
      <c r="I43" s="93"/>
      <c r="J43" s="93"/>
      <c r="K43" s="93"/>
      <c r="L43" s="93"/>
      <c r="M43" s="93"/>
      <c r="N43" s="93"/>
      <c r="O43" s="93"/>
      <c r="P43" s="93"/>
      <c r="Q43" s="136"/>
      <c r="R43" s="333"/>
      <c r="S43" s="133"/>
      <c r="T43" s="130" t="s">
        <v>0</v>
      </c>
      <c r="U43" s="130"/>
      <c r="V43" s="130"/>
      <c r="W43" s="130"/>
      <c r="X43" s="128"/>
      <c r="Y43" s="128"/>
      <c r="Z43" s="128"/>
      <c r="AA43" s="128"/>
      <c r="AB43" s="128"/>
      <c r="AC43" s="128"/>
      <c r="AD43" s="128"/>
      <c r="AE43" s="128"/>
      <c r="AF43" s="126"/>
      <c r="AG43" s="126"/>
      <c r="AH43" s="126"/>
      <c r="AI43" s="126"/>
    </row>
    <row r="44" spans="1:35" s="32" customFormat="1" ht="14.25" customHeight="1" x14ac:dyDescent="0.2">
      <c r="A44" s="343"/>
      <c r="B44" s="333"/>
      <c r="C44" s="231"/>
      <c r="D44" s="442" t="s">
        <v>50</v>
      </c>
      <c r="E44" s="93"/>
      <c r="F44" s="93"/>
      <c r="G44" s="93"/>
      <c r="H44" s="93"/>
      <c r="I44" s="93"/>
      <c r="J44" s="93"/>
      <c r="K44" s="93"/>
      <c r="L44" s="93"/>
      <c r="M44" s="93"/>
      <c r="N44" s="93"/>
      <c r="O44" s="93"/>
      <c r="P44" s="93"/>
      <c r="Q44" s="136"/>
      <c r="R44" s="333"/>
      <c r="S44" s="234"/>
      <c r="T44" s="228"/>
      <c r="U44" s="228"/>
      <c r="V44" s="228"/>
      <c r="W44" s="228"/>
      <c r="X44" s="229"/>
      <c r="Y44" s="229"/>
      <c r="Z44" s="229"/>
      <c r="AA44" s="229"/>
      <c r="AB44" s="229"/>
      <c r="AC44" s="229"/>
      <c r="AD44" s="229"/>
      <c r="AE44" s="229"/>
      <c r="AF44" s="126"/>
      <c r="AG44" s="126"/>
      <c r="AH44" s="126"/>
      <c r="AI44" s="126"/>
    </row>
    <row r="45" spans="1:35" s="27" customFormat="1" ht="15.75" customHeight="1" x14ac:dyDescent="0.2">
      <c r="A45" s="344"/>
      <c r="B45" s="333"/>
      <c r="C45" s="137"/>
      <c r="D45" s="722"/>
      <c r="E45" s="723"/>
      <c r="F45" s="723"/>
      <c r="G45" s="723"/>
      <c r="H45" s="723"/>
      <c r="I45" s="723"/>
      <c r="J45" s="723"/>
      <c r="K45" s="723"/>
      <c r="L45" s="723"/>
      <c r="M45" s="723"/>
      <c r="N45" s="723"/>
      <c r="O45" s="723"/>
      <c r="P45" s="724"/>
      <c r="Q45" s="138"/>
      <c r="R45" s="333"/>
      <c r="S45" s="131" t="s">
        <v>0</v>
      </c>
      <c r="T45" s="130"/>
      <c r="U45" s="130"/>
      <c r="V45" s="130"/>
      <c r="W45" s="130"/>
      <c r="X45" s="435"/>
      <c r="Y45" s="435"/>
      <c r="Z45" s="435"/>
      <c r="AA45" s="435"/>
      <c r="AB45" s="63"/>
      <c r="AC45" s="63"/>
      <c r="AD45" s="63"/>
      <c r="AE45" s="63"/>
      <c r="AF45" s="129"/>
      <c r="AG45" s="129"/>
      <c r="AH45" s="129"/>
      <c r="AI45" s="129"/>
    </row>
    <row r="46" spans="1:35" s="32" customFormat="1" ht="15.75" customHeight="1" x14ac:dyDescent="0.2">
      <c r="A46" s="343"/>
      <c r="B46" s="333"/>
      <c r="C46" s="231"/>
      <c r="D46" s="441" t="s">
        <v>57</v>
      </c>
      <c r="E46" s="291" t="s">
        <v>15</v>
      </c>
      <c r="F46" s="725" t="s">
        <v>16</v>
      </c>
      <c r="G46" s="725"/>
      <c r="H46" s="725"/>
      <c r="I46" s="725"/>
      <c r="J46" s="725"/>
      <c r="K46" s="725"/>
      <c r="L46" s="725"/>
      <c r="M46" s="725"/>
      <c r="N46" s="725"/>
      <c r="O46" s="725"/>
      <c r="P46" s="291" t="s">
        <v>17</v>
      </c>
      <c r="Q46" s="136"/>
      <c r="R46" s="333"/>
      <c r="S46" s="227"/>
      <c r="T46" s="228"/>
      <c r="U46" s="228"/>
      <c r="V46" s="228"/>
      <c r="W46" s="228"/>
      <c r="X46" s="229"/>
      <c r="Y46" s="229"/>
      <c r="Z46" s="229"/>
      <c r="AA46" s="229"/>
      <c r="AB46" s="229"/>
      <c r="AC46" s="229"/>
      <c r="AD46" s="229"/>
      <c r="AE46" s="229"/>
      <c r="AF46" s="126"/>
      <c r="AG46" s="126"/>
      <c r="AH46" s="126"/>
      <c r="AI46" s="126"/>
    </row>
    <row r="47" spans="1:35" s="27" customFormat="1" ht="15.75" customHeight="1" x14ac:dyDescent="0.2">
      <c r="A47" s="344"/>
      <c r="B47" s="333"/>
      <c r="C47" s="137"/>
      <c r="D47" s="35"/>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127"/>
      <c r="W47" s="127"/>
      <c r="X47" s="574" t="s">
        <v>542</v>
      </c>
      <c r="Y47" s="435"/>
      <c r="Z47" s="435"/>
      <c r="AA47" s="435"/>
      <c r="AB47" s="63"/>
      <c r="AC47" s="63"/>
      <c r="AD47" s="63"/>
      <c r="AE47" s="63"/>
      <c r="AF47" s="129"/>
      <c r="AG47" s="129"/>
      <c r="AH47" s="129"/>
      <c r="AI47" s="129"/>
    </row>
    <row r="48" spans="1:35" s="27" customFormat="1" ht="15.75" hidden="1" customHeight="1" outlineLevel="1" x14ac:dyDescent="0.2">
      <c r="A48" s="344"/>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127"/>
      <c r="W48" s="127"/>
      <c r="X48" s="435"/>
      <c r="Y48" s="435"/>
      <c r="Z48" s="435"/>
      <c r="AA48" s="435"/>
      <c r="AB48" s="63"/>
      <c r="AC48" s="63"/>
      <c r="AD48" s="63"/>
      <c r="AE48" s="63"/>
      <c r="AF48" s="129"/>
      <c r="AG48" s="129"/>
      <c r="AH48" s="129"/>
      <c r="AI48" s="129"/>
    </row>
    <row r="49" spans="1:35" s="27" customFormat="1" ht="15.75" hidden="1" customHeight="1" outlineLevel="1" x14ac:dyDescent="0.2">
      <c r="A49" s="344"/>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127"/>
      <c r="W49" s="127"/>
      <c r="X49" s="435"/>
      <c r="Y49" s="435"/>
      <c r="Z49" s="435"/>
      <c r="AA49" s="435"/>
      <c r="AB49" s="63"/>
      <c r="AC49" s="63"/>
      <c r="AD49" s="63"/>
      <c r="AE49" s="63"/>
      <c r="AF49" s="129"/>
      <c r="AG49" s="129"/>
      <c r="AH49" s="129"/>
      <c r="AI49" s="129"/>
    </row>
    <row r="50" spans="1:35" s="27" customFormat="1" ht="15.75" hidden="1" customHeight="1" outlineLevel="1" x14ac:dyDescent="0.2">
      <c r="A50" s="344"/>
      <c r="B50" s="333"/>
      <c r="C50" s="137"/>
      <c r="D50" s="35"/>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510" t="str">
        <f>SUM(T47:T50)&amp;"-"&amp;SUM(U47:U50)</f>
        <v>0-0</v>
      </c>
      <c r="W50" s="127"/>
      <c r="X50" s="435"/>
      <c r="Y50" s="435"/>
      <c r="Z50" s="435"/>
      <c r="AA50" s="435"/>
      <c r="AB50" s="63"/>
      <c r="AC50" s="63"/>
      <c r="AD50" s="63"/>
      <c r="AE50" s="63"/>
      <c r="AF50" s="129"/>
      <c r="AG50" s="129"/>
      <c r="AH50" s="129"/>
      <c r="AI50" s="129"/>
    </row>
    <row r="51" spans="1:35" s="27" customFormat="1" ht="15.75" customHeight="1" collapsed="1" x14ac:dyDescent="0.2">
      <c r="A51" s="344"/>
      <c r="B51" s="333"/>
      <c r="C51" s="244"/>
      <c r="D51" s="441" t="s">
        <v>49</v>
      </c>
      <c r="E51" s="30"/>
      <c r="F51" s="30"/>
      <c r="G51" s="30"/>
      <c r="H51" s="30"/>
      <c r="I51" s="30"/>
      <c r="J51" s="30"/>
      <c r="K51" s="30"/>
      <c r="L51" s="30"/>
      <c r="M51" s="30"/>
      <c r="N51" s="30"/>
      <c r="O51" s="30"/>
      <c r="P51" s="30"/>
      <c r="Q51" s="142"/>
      <c r="R51" s="333"/>
      <c r="S51" s="227"/>
      <c r="T51" s="228"/>
      <c r="U51" s="228"/>
      <c r="V51" s="228"/>
      <c r="W51" s="228"/>
      <c r="X51" s="235"/>
      <c r="Y51" s="235"/>
      <c r="Z51" s="235"/>
      <c r="AA51" s="235"/>
      <c r="AB51" s="235"/>
      <c r="AC51" s="235"/>
      <c r="AD51" s="235"/>
      <c r="AE51" s="235"/>
      <c r="AF51" s="129"/>
      <c r="AG51" s="129"/>
      <c r="AH51" s="129"/>
      <c r="AI51" s="129"/>
    </row>
    <row r="52" spans="1:35" s="27" customFormat="1" ht="15.75" customHeight="1" x14ac:dyDescent="0.2">
      <c r="A52" s="344"/>
      <c r="B52" s="333"/>
      <c r="C52" s="137"/>
      <c r="D52" s="722"/>
      <c r="E52" s="723"/>
      <c r="F52" s="723"/>
      <c r="G52" s="723"/>
      <c r="H52" s="723"/>
      <c r="I52" s="723"/>
      <c r="J52" s="723"/>
      <c r="K52" s="723"/>
      <c r="L52" s="723"/>
      <c r="M52" s="723"/>
      <c r="N52" s="723"/>
      <c r="O52" s="723"/>
      <c r="P52" s="724"/>
      <c r="Q52" s="138"/>
      <c r="R52" s="333"/>
      <c r="S52" s="131" t="s">
        <v>0</v>
      </c>
      <c r="T52" s="130"/>
      <c r="U52" s="130"/>
      <c r="V52" s="130"/>
      <c r="W52" s="130"/>
      <c r="X52" s="435"/>
      <c r="Y52" s="435"/>
      <c r="Z52" s="435"/>
      <c r="AA52" s="435"/>
      <c r="AB52" s="63"/>
      <c r="AC52" s="63"/>
      <c r="AD52" s="63"/>
      <c r="AE52" s="63"/>
      <c r="AF52" s="129"/>
      <c r="AG52" s="129"/>
      <c r="AH52" s="129"/>
      <c r="AI52" s="129"/>
    </row>
    <row r="53" spans="1:35" s="32" customFormat="1" ht="15.75" customHeight="1" x14ac:dyDescent="0.2">
      <c r="A53" s="343"/>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8"/>
      <c r="W53" s="228"/>
      <c r="X53" s="229"/>
      <c r="Y53" s="229"/>
      <c r="Z53" s="229"/>
      <c r="AA53" s="229"/>
      <c r="AB53" s="229"/>
      <c r="AC53" s="229"/>
      <c r="AD53" s="229"/>
      <c r="AE53" s="229"/>
      <c r="AF53" s="126"/>
      <c r="AG53" s="126"/>
      <c r="AH53" s="126"/>
      <c r="AI53" s="126"/>
    </row>
    <row r="54" spans="1:35" s="27" customFormat="1" ht="15.75" customHeight="1" x14ac:dyDescent="0.2">
      <c r="A54" s="344"/>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127"/>
      <c r="W54" s="127"/>
      <c r="X54" s="574" t="s">
        <v>542</v>
      </c>
      <c r="Y54" s="435"/>
      <c r="Z54" s="435"/>
      <c r="AA54" s="435"/>
      <c r="AB54" s="63"/>
      <c r="AC54" s="63"/>
      <c r="AD54" s="63"/>
      <c r="AE54" s="63"/>
      <c r="AF54" s="129"/>
      <c r="AG54" s="129"/>
      <c r="AH54" s="129"/>
      <c r="AI54" s="129"/>
    </row>
    <row r="55" spans="1:35" s="27" customFormat="1" ht="15.75" hidden="1" customHeight="1" outlineLevel="1" x14ac:dyDescent="0.2">
      <c r="A55" s="344"/>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127"/>
      <c r="W55" s="127"/>
      <c r="X55" s="435"/>
      <c r="Y55" s="435"/>
      <c r="Z55" s="435"/>
      <c r="AA55" s="435"/>
      <c r="AB55" s="63"/>
      <c r="AC55" s="63"/>
      <c r="AD55" s="63"/>
      <c r="AE55" s="63"/>
      <c r="AF55" s="129"/>
      <c r="AG55" s="129"/>
      <c r="AH55" s="129"/>
      <c r="AI55" s="129"/>
    </row>
    <row r="56" spans="1:35" s="27" customFormat="1" ht="15.75" hidden="1" customHeight="1" outlineLevel="1" x14ac:dyDescent="0.2">
      <c r="A56" s="344"/>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127"/>
      <c r="W56" s="127"/>
      <c r="X56" s="435"/>
      <c r="Y56" s="435"/>
      <c r="Z56" s="435"/>
      <c r="AA56" s="435"/>
      <c r="AB56" s="63"/>
      <c r="AC56" s="63"/>
      <c r="AD56" s="63"/>
      <c r="AE56" s="63"/>
      <c r="AF56" s="129"/>
      <c r="AG56" s="129"/>
      <c r="AH56" s="129"/>
      <c r="AI56" s="129"/>
    </row>
    <row r="57" spans="1:35" s="27" customFormat="1" ht="15.75" hidden="1" customHeight="1" outlineLevel="1" thickBot="1" x14ac:dyDescent="0.25">
      <c r="A57" s="344"/>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510" t="str">
        <f>SUM(T54:T57)&amp;"-"&amp;SUM(U54:U57)</f>
        <v>0-0</v>
      </c>
      <c r="W57" s="511" t="str">
        <f>SUM(T47:T57)&amp;"-"&amp;SUM(U47:U57)</f>
        <v>0-0</v>
      </c>
      <c r="X57" s="435"/>
      <c r="Y57" s="435"/>
      <c r="Z57" s="435"/>
      <c r="AA57" s="435"/>
      <c r="AB57" s="63"/>
      <c r="AC57" s="63"/>
      <c r="AD57" s="63"/>
      <c r="AE57" s="63"/>
      <c r="AF57" s="129"/>
      <c r="AG57" s="129"/>
      <c r="AH57" s="129"/>
      <c r="AI57" s="129"/>
    </row>
    <row r="58" spans="1:35" s="27" customFormat="1" ht="8.25" customHeight="1" collapsed="1" x14ac:dyDescent="0.2">
      <c r="A58" s="344"/>
      <c r="B58" s="333"/>
      <c r="C58" s="137"/>
      <c r="D58" s="478"/>
      <c r="E58" s="726"/>
      <c r="F58" s="726"/>
      <c r="G58" s="726"/>
      <c r="H58" s="726"/>
      <c r="I58" s="726"/>
      <c r="J58" s="726"/>
      <c r="K58" s="726"/>
      <c r="L58" s="726"/>
      <c r="M58" s="726"/>
      <c r="N58" s="726"/>
      <c r="O58" s="726"/>
      <c r="P58" s="726"/>
      <c r="Q58" s="138"/>
      <c r="R58" s="333"/>
      <c r="S58" s="131"/>
      <c r="T58" s="130"/>
      <c r="U58" s="130"/>
      <c r="V58" s="130"/>
      <c r="W58" s="130"/>
      <c r="X58" s="435"/>
      <c r="Y58" s="435"/>
      <c r="Z58" s="435"/>
      <c r="AA58" s="435"/>
      <c r="AB58" s="63"/>
      <c r="AC58" s="63"/>
      <c r="AD58" s="63"/>
      <c r="AE58" s="63"/>
      <c r="AF58" s="129"/>
      <c r="AG58" s="129"/>
      <c r="AH58" s="129"/>
      <c r="AI58" s="129"/>
    </row>
    <row r="59" spans="1:35" s="27" customFormat="1" ht="14.25" customHeight="1" x14ac:dyDescent="0.2">
      <c r="A59" s="344"/>
      <c r="B59" s="333"/>
      <c r="C59" s="375"/>
      <c r="D59" s="376"/>
      <c r="E59" s="481"/>
      <c r="F59" s="481"/>
      <c r="G59" s="481"/>
      <c r="H59" s="481"/>
      <c r="I59" s="481"/>
      <c r="J59" s="481"/>
      <c r="K59" s="481"/>
      <c r="L59" s="481"/>
      <c r="M59" s="481"/>
      <c r="N59" s="481"/>
      <c r="O59" s="481"/>
      <c r="P59" s="481"/>
      <c r="Q59" s="378"/>
      <c r="R59" s="333"/>
      <c r="S59" s="131"/>
      <c r="T59" s="133"/>
      <c r="U59" s="133"/>
      <c r="V59" s="133"/>
      <c r="W59" s="133"/>
      <c r="X59" s="435"/>
      <c r="Y59" s="435"/>
      <c r="Z59" s="435"/>
      <c r="AA59" s="435"/>
      <c r="AB59" s="435"/>
      <c r="AC59" s="435"/>
      <c r="AD59" s="435"/>
      <c r="AE59" s="435"/>
      <c r="AF59" s="129"/>
      <c r="AG59" s="129"/>
      <c r="AH59" s="129"/>
      <c r="AI59" s="129"/>
    </row>
    <row r="60" spans="1:35" s="32" customFormat="1" ht="30" customHeight="1" x14ac:dyDescent="0.3">
      <c r="A60" s="349" t="s">
        <v>103</v>
      </c>
      <c r="B60" s="333"/>
      <c r="C60" s="135"/>
      <c r="D60" s="380" t="s">
        <v>184</v>
      </c>
      <c r="E60" s="720" t="s">
        <v>185</v>
      </c>
      <c r="F60" s="720"/>
      <c r="G60" s="720"/>
      <c r="H60" s="720"/>
      <c r="I60" s="720"/>
      <c r="J60" s="720"/>
      <c r="K60" s="720"/>
      <c r="L60" s="720"/>
      <c r="M60" s="720"/>
      <c r="N60" s="720"/>
      <c r="O60" s="720"/>
      <c r="P60" s="720"/>
      <c r="Q60" s="136"/>
      <c r="R60" s="333"/>
      <c r="S60" s="133"/>
      <c r="T60" s="130"/>
      <c r="U60" s="130"/>
      <c r="V60" s="130"/>
      <c r="W60" s="130"/>
      <c r="X60" s="128"/>
      <c r="Y60" s="128"/>
      <c r="Z60" s="128"/>
      <c r="AA60" s="128"/>
      <c r="AB60" s="128"/>
      <c r="AC60" s="128"/>
      <c r="AD60" s="128"/>
      <c r="AE60" s="128"/>
      <c r="AF60" s="126"/>
      <c r="AG60" s="126"/>
      <c r="AH60" s="126"/>
      <c r="AI60" s="126"/>
    </row>
    <row r="61" spans="1:35" s="32" customFormat="1" ht="14.25" customHeight="1" x14ac:dyDescent="0.3">
      <c r="A61" s="343"/>
      <c r="B61" s="333"/>
      <c r="C61" s="135"/>
      <c r="D61" s="442" t="s">
        <v>50</v>
      </c>
      <c r="E61" s="93"/>
      <c r="F61" s="93"/>
      <c r="G61" s="93"/>
      <c r="H61" s="93"/>
      <c r="I61" s="93"/>
      <c r="J61" s="93"/>
      <c r="K61" s="93"/>
      <c r="L61" s="93"/>
      <c r="M61" s="93"/>
      <c r="N61" s="93"/>
      <c r="O61" s="93"/>
      <c r="P61" s="93"/>
      <c r="Q61" s="136"/>
      <c r="R61" s="333"/>
      <c r="S61" s="133"/>
      <c r="T61" s="130"/>
      <c r="U61" s="130"/>
      <c r="V61" s="130"/>
      <c r="W61" s="130"/>
      <c r="X61" s="128"/>
      <c r="Y61" s="128"/>
      <c r="Z61" s="128"/>
      <c r="AA61" s="128"/>
      <c r="AB61" s="128"/>
      <c r="AC61" s="128"/>
      <c r="AD61" s="128"/>
      <c r="AE61" s="128"/>
      <c r="AF61" s="126"/>
      <c r="AG61" s="126"/>
      <c r="AH61" s="126"/>
      <c r="AI61" s="126"/>
    </row>
    <row r="62" spans="1:35" s="27" customFormat="1" ht="15.75" customHeight="1" x14ac:dyDescent="0.2">
      <c r="A62" s="344"/>
      <c r="B62" s="333"/>
      <c r="C62" s="137"/>
      <c r="D62" s="722" t="s">
        <v>0</v>
      </c>
      <c r="E62" s="723"/>
      <c r="F62" s="723"/>
      <c r="G62" s="723"/>
      <c r="H62" s="723"/>
      <c r="I62" s="723"/>
      <c r="J62" s="723"/>
      <c r="K62" s="723"/>
      <c r="L62" s="723"/>
      <c r="M62" s="723"/>
      <c r="N62" s="723"/>
      <c r="O62" s="723"/>
      <c r="P62" s="724"/>
      <c r="Q62" s="138"/>
      <c r="R62" s="333"/>
      <c r="S62" s="131" t="s">
        <v>0</v>
      </c>
      <c r="T62" s="130"/>
      <c r="U62" s="130"/>
      <c r="V62" s="130"/>
      <c r="W62" s="130"/>
      <c r="X62" s="435"/>
      <c r="Y62" s="435"/>
      <c r="Z62" s="435"/>
      <c r="AA62" s="435"/>
      <c r="AB62" s="63"/>
      <c r="AC62" s="63"/>
      <c r="AD62" s="63"/>
      <c r="AE62" s="63"/>
      <c r="AF62" s="129"/>
      <c r="AG62" s="129"/>
      <c r="AH62" s="129"/>
      <c r="AI62" s="129"/>
    </row>
    <row r="63" spans="1:35" s="32" customFormat="1" ht="15.75" customHeight="1" x14ac:dyDescent="0.2">
      <c r="A63" s="343"/>
      <c r="B63" s="333"/>
      <c r="C63" s="231"/>
      <c r="D63" s="441" t="s">
        <v>57</v>
      </c>
      <c r="E63" s="291" t="s">
        <v>15</v>
      </c>
      <c r="F63" s="291" t="s">
        <v>16</v>
      </c>
      <c r="G63" s="291"/>
      <c r="H63" s="291"/>
      <c r="I63" s="291"/>
      <c r="J63" s="291"/>
      <c r="K63" s="291"/>
      <c r="L63" s="291"/>
      <c r="M63" s="291"/>
      <c r="N63" s="291"/>
      <c r="O63" s="291"/>
      <c r="P63" s="291" t="s">
        <v>17</v>
      </c>
      <c r="Q63" s="136"/>
      <c r="R63" s="333"/>
      <c r="S63" s="227"/>
      <c r="T63" s="228"/>
      <c r="U63" s="228"/>
      <c r="V63" s="228"/>
      <c r="W63" s="228"/>
      <c r="X63" s="229"/>
      <c r="Y63" s="229"/>
      <c r="Z63" s="229"/>
      <c r="AA63" s="229"/>
      <c r="AB63" s="229"/>
      <c r="AC63" s="229"/>
      <c r="AD63" s="229"/>
      <c r="AE63" s="229"/>
      <c r="AF63" s="126"/>
      <c r="AG63" s="126"/>
      <c r="AH63" s="126"/>
      <c r="AI63" s="126"/>
    </row>
    <row r="64" spans="1:35" s="27" customFormat="1" ht="15.75" customHeight="1" x14ac:dyDescent="0.2">
      <c r="A64" s="344"/>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127"/>
      <c r="W64" s="127"/>
      <c r="X64" s="574" t="s">
        <v>542</v>
      </c>
      <c r="Y64" s="435"/>
      <c r="Z64" s="435"/>
      <c r="AA64" s="435"/>
      <c r="AB64" s="63"/>
      <c r="AC64" s="63"/>
      <c r="AD64" s="63"/>
      <c r="AE64" s="63"/>
      <c r="AF64" s="129"/>
      <c r="AG64" s="129"/>
      <c r="AH64" s="129"/>
      <c r="AI64" s="129"/>
    </row>
    <row r="65" spans="1:35" s="27" customFormat="1" ht="15.75" hidden="1" customHeight="1" outlineLevel="1" x14ac:dyDescent="0.2">
      <c r="A65" s="344"/>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127"/>
      <c r="W65" s="127"/>
      <c r="X65" s="435"/>
      <c r="Y65" s="435"/>
      <c r="Z65" s="435"/>
      <c r="AA65" s="435"/>
      <c r="AB65" s="63"/>
      <c r="AC65" s="63"/>
      <c r="AD65" s="63"/>
      <c r="AE65" s="63"/>
      <c r="AF65" s="129"/>
      <c r="AG65" s="129"/>
      <c r="AH65" s="129"/>
      <c r="AI65" s="129"/>
    </row>
    <row r="66" spans="1:35" s="27" customFormat="1" ht="15.75" hidden="1" customHeight="1" outlineLevel="1" x14ac:dyDescent="0.2">
      <c r="A66" s="344"/>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127"/>
      <c r="W66" s="127"/>
      <c r="X66" s="435"/>
      <c r="Y66" s="435"/>
      <c r="Z66" s="435"/>
      <c r="AA66" s="435"/>
      <c r="AB66" s="63"/>
      <c r="AC66" s="63"/>
      <c r="AD66" s="63"/>
      <c r="AE66" s="63"/>
      <c r="AF66" s="129"/>
      <c r="AG66" s="129"/>
      <c r="AH66" s="129"/>
      <c r="AI66" s="129"/>
    </row>
    <row r="67" spans="1:35" s="27" customFormat="1" ht="15.75" hidden="1" customHeight="1" outlineLevel="1" x14ac:dyDescent="0.2">
      <c r="A67" s="344"/>
      <c r="B67" s="333"/>
      <c r="C67" s="137"/>
      <c r="D67" s="35" t="s">
        <v>0</v>
      </c>
      <c r="E67" s="29" t="s">
        <v>217</v>
      </c>
      <c r="F67" s="70">
        <v>1</v>
      </c>
      <c r="G67" s="71">
        <v>2</v>
      </c>
      <c r="H67" s="72">
        <v>3</v>
      </c>
      <c r="I67" s="73">
        <v>4</v>
      </c>
      <c r="J67" s="74">
        <v>5</v>
      </c>
      <c r="K67" s="75">
        <v>6</v>
      </c>
      <c r="L67" s="76">
        <v>7</v>
      </c>
      <c r="M67" s="77">
        <v>8</v>
      </c>
      <c r="N67" s="78">
        <v>9</v>
      </c>
      <c r="O67" s="79">
        <v>10</v>
      </c>
      <c r="P67" s="31" t="s">
        <v>0</v>
      </c>
      <c r="Q67" s="138"/>
      <c r="R67" s="333"/>
      <c r="S67" s="132">
        <f>VLOOKUP($E67,R.VL_DEQResourcesInvolved,2,FALSE)</f>
        <v>0</v>
      </c>
      <c r="T67" s="120">
        <f>VLOOKUP($E67,R.VL_DEQResourcesInvolved,3,FALSE)</f>
        <v>0</v>
      </c>
      <c r="U67" s="120">
        <f>IF(S67=10,T67,VLOOKUP($E67,R.VL_DEQResourcesInvolved,4,FALSE))</f>
        <v>0</v>
      </c>
      <c r="V67" s="510" t="str">
        <f>SUM(T64:T67)&amp;"-"&amp;SUM(U64:U67)</f>
        <v>0-0</v>
      </c>
      <c r="W67" s="127"/>
      <c r="X67" s="435"/>
      <c r="Y67" s="435"/>
      <c r="Z67" s="435"/>
      <c r="AA67" s="435"/>
      <c r="AB67" s="63"/>
      <c r="AC67" s="63"/>
      <c r="AD67" s="63"/>
      <c r="AE67" s="63"/>
      <c r="AF67" s="129"/>
      <c r="AG67" s="129"/>
      <c r="AH67" s="129"/>
      <c r="AI67" s="129"/>
    </row>
    <row r="68" spans="1:35" s="27" customFormat="1" ht="15.75" customHeight="1" collapsed="1" x14ac:dyDescent="0.2">
      <c r="A68" s="344"/>
      <c r="B68" s="333"/>
      <c r="C68" s="467"/>
      <c r="D68" s="434"/>
      <c r="E68" s="434"/>
      <c r="F68" s="434"/>
      <c r="G68" s="434"/>
      <c r="H68" s="434"/>
      <c r="I68" s="434"/>
      <c r="J68" s="434"/>
      <c r="K68" s="434"/>
      <c r="L68" s="434"/>
      <c r="M68" s="434"/>
      <c r="N68" s="434"/>
      <c r="O68" s="434"/>
      <c r="P68" s="434"/>
      <c r="Q68" s="468"/>
      <c r="R68" s="333"/>
      <c r="S68" s="131"/>
      <c r="T68" s="133"/>
      <c r="U68" s="133"/>
      <c r="V68" s="133"/>
      <c r="W68" s="133"/>
      <c r="X68" s="435"/>
      <c r="Y68" s="435"/>
      <c r="Z68" s="435"/>
      <c r="AA68" s="435"/>
      <c r="AB68" s="63"/>
      <c r="AC68" s="63"/>
      <c r="AD68" s="63"/>
      <c r="AE68" s="63"/>
      <c r="AF68" s="129"/>
      <c r="AG68" s="129"/>
      <c r="AH68" s="129"/>
      <c r="AI68" s="129"/>
    </row>
    <row r="69" spans="1:35" s="27" customFormat="1" ht="15.75" customHeight="1" x14ac:dyDescent="0.2">
      <c r="A69" s="344"/>
      <c r="B69" s="333"/>
      <c r="C69" s="141"/>
      <c r="D69" s="442" t="s">
        <v>49</v>
      </c>
      <c r="E69" s="30"/>
      <c r="F69" s="30"/>
      <c r="G69" s="30"/>
      <c r="H69" s="30"/>
      <c r="I69" s="30"/>
      <c r="J69" s="30"/>
      <c r="K69" s="30"/>
      <c r="L69" s="30"/>
      <c r="M69" s="30"/>
      <c r="N69" s="30"/>
      <c r="O69" s="30"/>
      <c r="P69" s="30"/>
      <c r="Q69" s="142"/>
      <c r="R69" s="333"/>
      <c r="S69" s="131"/>
      <c r="T69" s="130"/>
      <c r="U69" s="130"/>
      <c r="V69" s="130"/>
      <c r="W69" s="130"/>
      <c r="X69" s="435"/>
      <c r="Y69" s="435"/>
      <c r="Z69" s="435"/>
      <c r="AA69" s="435"/>
      <c r="AB69" s="63"/>
      <c r="AC69" s="63"/>
      <c r="AD69" s="63"/>
      <c r="AE69" s="63"/>
      <c r="AF69" s="129"/>
      <c r="AG69" s="129"/>
      <c r="AH69" s="129"/>
      <c r="AI69" s="129"/>
    </row>
    <row r="70" spans="1:35" s="27" customFormat="1" ht="15.75" customHeight="1" x14ac:dyDescent="0.2">
      <c r="A70" s="344"/>
      <c r="B70" s="333"/>
      <c r="C70" s="137"/>
      <c r="D70" s="727"/>
      <c r="E70" s="728"/>
      <c r="F70" s="728"/>
      <c r="G70" s="728"/>
      <c r="H70" s="728"/>
      <c r="I70" s="728"/>
      <c r="J70" s="728"/>
      <c r="K70" s="728"/>
      <c r="L70" s="728"/>
      <c r="M70" s="728"/>
      <c r="N70" s="728"/>
      <c r="O70" s="728"/>
      <c r="P70" s="729"/>
      <c r="Q70" s="138"/>
      <c r="R70" s="333"/>
      <c r="S70" s="131" t="s">
        <v>0</v>
      </c>
      <c r="T70" s="130"/>
      <c r="U70" s="130"/>
      <c r="V70" s="130"/>
      <c r="W70" s="130"/>
      <c r="X70" s="435"/>
      <c r="Y70" s="435"/>
      <c r="Z70" s="435"/>
      <c r="AA70" s="435"/>
      <c r="AB70" s="63"/>
      <c r="AC70" s="63"/>
      <c r="AD70" s="63"/>
      <c r="AE70" s="63"/>
      <c r="AF70" s="129"/>
      <c r="AG70" s="129"/>
      <c r="AH70" s="129"/>
      <c r="AI70" s="129"/>
    </row>
    <row r="71" spans="1:35" s="32" customFormat="1" ht="15.75" customHeight="1" x14ac:dyDescent="0.2">
      <c r="A71" s="343"/>
      <c r="B71" s="333"/>
      <c r="C71" s="231"/>
      <c r="D71" s="441" t="s">
        <v>57</v>
      </c>
      <c r="E71" s="291" t="s">
        <v>15</v>
      </c>
      <c r="F71" s="291" t="s">
        <v>16</v>
      </c>
      <c r="G71" s="291"/>
      <c r="H71" s="291"/>
      <c r="I71" s="291"/>
      <c r="J71" s="291"/>
      <c r="K71" s="291"/>
      <c r="L71" s="291"/>
      <c r="M71" s="291"/>
      <c r="N71" s="291"/>
      <c r="O71" s="291"/>
      <c r="P71" s="291" t="s">
        <v>17</v>
      </c>
      <c r="Q71" s="136"/>
      <c r="R71" s="333"/>
      <c r="S71" s="227"/>
      <c r="T71" s="228"/>
      <c r="U71" s="228"/>
      <c r="V71" s="228"/>
      <c r="W71" s="228"/>
      <c r="X71" s="229"/>
      <c r="Y71" s="229"/>
      <c r="Z71" s="229"/>
      <c r="AA71" s="229"/>
      <c r="AB71" s="229"/>
      <c r="AC71" s="229"/>
      <c r="AD71" s="229"/>
      <c r="AE71" s="229"/>
      <c r="AF71" s="126"/>
      <c r="AG71" s="126"/>
      <c r="AH71" s="126"/>
      <c r="AI71" s="126"/>
    </row>
    <row r="72" spans="1:35" s="27" customFormat="1" ht="15.75" customHeight="1" x14ac:dyDescent="0.2">
      <c r="A72" s="344"/>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120">
        <f>COUNTIF(S64:S75,"&gt;0")</f>
        <v>0</v>
      </c>
      <c r="W72" s="127"/>
      <c r="X72" s="574" t="s">
        <v>542</v>
      </c>
      <c r="Y72" s="435"/>
      <c r="Z72" s="435"/>
      <c r="AA72" s="435"/>
      <c r="AB72" s="63"/>
      <c r="AC72" s="63"/>
      <c r="AD72" s="63"/>
      <c r="AE72" s="63"/>
      <c r="AF72" s="129"/>
      <c r="AG72" s="129"/>
      <c r="AH72" s="129"/>
      <c r="AI72" s="129"/>
    </row>
    <row r="73" spans="1:35" s="27" customFormat="1" ht="15.75" hidden="1" customHeight="1" outlineLevel="1" x14ac:dyDescent="0.2">
      <c r="A73" s="344"/>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127"/>
      <c r="W73" s="127"/>
      <c r="X73" s="435"/>
      <c r="Y73" s="435"/>
      <c r="Z73" s="435"/>
      <c r="AA73" s="435"/>
      <c r="AB73" s="63"/>
      <c r="AC73" s="63"/>
      <c r="AD73" s="63"/>
      <c r="AE73" s="63"/>
      <c r="AF73" s="129"/>
      <c r="AG73" s="129"/>
      <c r="AH73" s="129"/>
      <c r="AI73" s="129"/>
    </row>
    <row r="74" spans="1:35" s="27" customFormat="1" ht="15.75" hidden="1" customHeight="1" outlineLevel="1" x14ac:dyDescent="0.2">
      <c r="A74" s="344"/>
      <c r="B74" s="333"/>
      <c r="C74" s="137"/>
      <c r="D74" s="35" t="s">
        <v>0</v>
      </c>
      <c r="E74" s="29" t="s">
        <v>217</v>
      </c>
      <c r="F74" s="70">
        <v>1</v>
      </c>
      <c r="G74" s="71">
        <v>2</v>
      </c>
      <c r="H74" s="72">
        <v>3</v>
      </c>
      <c r="I74" s="73">
        <v>4</v>
      </c>
      <c r="J74" s="74">
        <v>5</v>
      </c>
      <c r="K74" s="75">
        <v>6</v>
      </c>
      <c r="L74" s="76">
        <v>7</v>
      </c>
      <c r="M74" s="77">
        <v>8</v>
      </c>
      <c r="N74" s="78">
        <v>9</v>
      </c>
      <c r="O74" s="79">
        <v>10</v>
      </c>
      <c r="P74" s="31" t="s">
        <v>0</v>
      </c>
      <c r="Q74" s="138"/>
      <c r="R74" s="333"/>
      <c r="S74" s="132">
        <f>VLOOKUP($E74,R.VL_DEQResourcesInvolved,2,FALSE)</f>
        <v>0</v>
      </c>
      <c r="T74" s="120">
        <f>VLOOKUP($E74,R.VL_DEQResourcesInvolved,3,FALSE)</f>
        <v>0</v>
      </c>
      <c r="U74" s="120">
        <f>IF(S74=10,T74,VLOOKUP($E74,R.VL_DEQResourcesInvolved,4,FALSE))</f>
        <v>0</v>
      </c>
      <c r="V74" s="127"/>
      <c r="W74" s="127"/>
      <c r="X74" s="435"/>
      <c r="Y74" s="435"/>
      <c r="Z74" s="435"/>
      <c r="AA74" s="435"/>
      <c r="AB74" s="63"/>
      <c r="AC74" s="63"/>
      <c r="AD74" s="63"/>
      <c r="AE74" s="63"/>
      <c r="AF74" s="129"/>
      <c r="AG74" s="129"/>
      <c r="AH74" s="129"/>
      <c r="AI74" s="129"/>
    </row>
    <row r="75" spans="1:35" s="27" customFormat="1" ht="15.75" hidden="1" customHeight="1" outlineLevel="1" thickBot="1" x14ac:dyDescent="0.25">
      <c r="A75" s="344"/>
      <c r="B75" s="333"/>
      <c r="C75" s="137"/>
      <c r="D75" s="35" t="s">
        <v>0</v>
      </c>
      <c r="E75" s="29" t="s">
        <v>217</v>
      </c>
      <c r="F75" s="70">
        <v>1</v>
      </c>
      <c r="G75" s="71">
        <v>2</v>
      </c>
      <c r="H75" s="72">
        <v>3</v>
      </c>
      <c r="I75" s="73">
        <v>4</v>
      </c>
      <c r="J75" s="74">
        <v>5</v>
      </c>
      <c r="K75" s="75">
        <v>6</v>
      </c>
      <c r="L75" s="76">
        <v>7</v>
      </c>
      <c r="M75" s="77">
        <v>8</v>
      </c>
      <c r="N75" s="78">
        <v>9</v>
      </c>
      <c r="O75" s="79">
        <v>10</v>
      </c>
      <c r="P75" s="31" t="s">
        <v>0</v>
      </c>
      <c r="Q75" s="138"/>
      <c r="R75" s="333"/>
      <c r="S75" s="132">
        <f>VLOOKUP($E75,R.VL_DEQResourcesInvolved,2,FALSE)</f>
        <v>0</v>
      </c>
      <c r="T75" s="120">
        <f>VLOOKUP($E75,R.VL_DEQResourcesInvolved,3,FALSE)</f>
        <v>0</v>
      </c>
      <c r="U75" s="120">
        <f>IF(S75=10,T75,VLOOKUP($E75,R.VL_DEQResourcesInvolved,4,FALSE))</f>
        <v>0</v>
      </c>
      <c r="V75" s="510" t="str">
        <f>SUM(T72:T75)&amp;"-"&amp;SUM(U72:U75)</f>
        <v>0-0</v>
      </c>
      <c r="W75" s="511" t="str">
        <f>SUM(T64:T75)&amp;"-"&amp;SUM(U64:U75)</f>
        <v>0-0</v>
      </c>
      <c r="X75" s="435"/>
      <c r="Y75" s="435"/>
      <c r="Z75" s="435"/>
      <c r="AA75" s="435"/>
      <c r="AB75" s="63"/>
      <c r="AC75" s="63"/>
      <c r="AD75" s="63"/>
      <c r="AE75" s="63"/>
      <c r="AF75" s="129"/>
      <c r="AG75" s="129"/>
      <c r="AH75" s="129"/>
      <c r="AI75" s="129"/>
    </row>
    <row r="76" spans="1:35" s="27" customFormat="1" ht="8.25" customHeight="1" collapsed="1" x14ac:dyDescent="0.2">
      <c r="A76" s="344"/>
      <c r="B76" s="333"/>
      <c r="C76" s="137"/>
      <c r="D76" s="478"/>
      <c r="E76" s="726"/>
      <c r="F76" s="726"/>
      <c r="G76" s="726"/>
      <c r="H76" s="726"/>
      <c r="I76" s="726"/>
      <c r="J76" s="726"/>
      <c r="K76" s="726"/>
      <c r="L76" s="726"/>
      <c r="M76" s="726"/>
      <c r="N76" s="726"/>
      <c r="O76" s="726"/>
      <c r="P76" s="726"/>
      <c r="Q76" s="138"/>
      <c r="R76" s="333"/>
      <c r="S76" s="131"/>
      <c r="T76" s="127"/>
      <c r="U76" s="127"/>
      <c r="V76" s="127"/>
      <c r="W76" s="127"/>
      <c r="X76" s="435"/>
      <c r="Y76" s="435"/>
      <c r="Z76" s="435"/>
      <c r="AA76" s="435"/>
      <c r="AB76" s="63"/>
      <c r="AC76" s="63"/>
      <c r="AD76" s="63"/>
      <c r="AE76" s="63"/>
      <c r="AF76" s="129"/>
      <c r="AG76" s="129"/>
      <c r="AH76" s="129"/>
      <c r="AI76" s="129"/>
    </row>
    <row r="77" spans="1:35" s="27" customFormat="1" ht="8.25" customHeight="1" x14ac:dyDescent="0.2">
      <c r="A77" s="344"/>
      <c r="B77" s="333"/>
      <c r="C77" s="375"/>
      <c r="D77" s="376"/>
      <c r="E77" s="481"/>
      <c r="F77" s="481"/>
      <c r="G77" s="481"/>
      <c r="H77" s="481"/>
      <c r="I77" s="481"/>
      <c r="J77" s="481"/>
      <c r="K77" s="481"/>
      <c r="L77" s="481"/>
      <c r="M77" s="481"/>
      <c r="N77" s="481"/>
      <c r="O77" s="481"/>
      <c r="P77" s="481"/>
      <c r="Q77" s="378"/>
      <c r="R77" s="333"/>
      <c r="S77" s="131"/>
      <c r="T77" s="127"/>
      <c r="U77" s="127"/>
      <c r="V77" s="127"/>
      <c r="W77" s="127"/>
      <c r="X77" s="435"/>
      <c r="Y77" s="435"/>
      <c r="Z77" s="435"/>
      <c r="AA77" s="435"/>
      <c r="AB77" s="435"/>
      <c r="AC77" s="435"/>
      <c r="AD77" s="435"/>
      <c r="AE77" s="435"/>
      <c r="AF77" s="129"/>
      <c r="AG77" s="129"/>
      <c r="AH77" s="129"/>
      <c r="AI77" s="129"/>
    </row>
    <row r="78" spans="1:35" s="28" customFormat="1" ht="30" customHeight="1" x14ac:dyDescent="0.3">
      <c r="A78" s="343"/>
      <c r="B78" s="333"/>
      <c r="C78" s="145"/>
      <c r="D78" s="730" t="str">
        <f>"Please suggest process improvements to the "&amp;D2&amp;" worksheet."</f>
        <v>Please suggest process improvements to the Other Divisions worksheet.</v>
      </c>
      <c r="E78" s="730"/>
      <c r="F78" s="730"/>
      <c r="G78" s="469"/>
      <c r="H78" s="470"/>
      <c r="I78" s="471"/>
      <c r="J78" s="472"/>
      <c r="K78" s="473"/>
      <c r="L78" s="474"/>
      <c r="M78" s="475"/>
      <c r="N78" s="476"/>
      <c r="O78" s="477"/>
      <c r="P78" s="38"/>
      <c r="Q78" s="146"/>
      <c r="R78" s="333"/>
      <c r="S78" s="133"/>
      <c r="T78" s="130"/>
      <c r="U78" s="130"/>
      <c r="V78" s="130"/>
      <c r="W78" s="130"/>
      <c r="X78" s="435"/>
      <c r="Y78" s="435"/>
      <c r="Z78" s="435"/>
      <c r="AA78" s="435"/>
      <c r="AB78" s="63"/>
      <c r="AC78" s="63"/>
      <c r="AD78" s="63"/>
      <c r="AE78" s="63"/>
      <c r="AF78" s="64"/>
      <c r="AG78" s="64"/>
      <c r="AH78" s="64"/>
      <c r="AI78" s="64"/>
    </row>
    <row r="79" spans="1:35" s="6" customFormat="1" ht="30.75" customHeight="1" x14ac:dyDescent="0.3">
      <c r="A79" s="349"/>
      <c r="B79" s="333"/>
      <c r="C79" s="135"/>
      <c r="D79" s="639"/>
      <c r="E79" s="640"/>
      <c r="F79" s="640"/>
      <c r="G79" s="640"/>
      <c r="H79" s="640"/>
      <c r="I79" s="640"/>
      <c r="J79" s="640"/>
      <c r="K79" s="640"/>
      <c r="L79" s="640"/>
      <c r="M79" s="640"/>
      <c r="N79" s="640"/>
      <c r="O79" s="640"/>
      <c r="P79" s="641"/>
      <c r="Q79" s="147"/>
      <c r="R79" s="333"/>
      <c r="S79" s="131"/>
      <c r="T79" s="130"/>
      <c r="U79" s="130"/>
      <c r="V79" s="130"/>
      <c r="W79" s="130"/>
      <c r="X79" s="435"/>
      <c r="Y79" s="435"/>
      <c r="Z79" s="435"/>
      <c r="AA79" s="435"/>
      <c r="AB79" s="63"/>
      <c r="AC79" s="63"/>
      <c r="AD79" s="63"/>
      <c r="AE79" s="63"/>
      <c r="AF79" s="65"/>
      <c r="AG79" s="65"/>
      <c r="AH79" s="65"/>
      <c r="AI79" s="65"/>
    </row>
    <row r="80" spans="1:35" ht="18" customHeight="1" x14ac:dyDescent="0.3">
      <c r="A80" s="349" t="s">
        <v>104</v>
      </c>
      <c r="B80" s="333"/>
      <c r="C80" s="148"/>
      <c r="D80" s="149"/>
      <c r="E80" s="149"/>
      <c r="F80" s="149"/>
      <c r="G80" s="149"/>
      <c r="H80" s="149"/>
      <c r="I80" s="149"/>
      <c r="J80" s="149"/>
      <c r="K80" s="149"/>
      <c r="L80" s="149"/>
      <c r="M80" s="149"/>
      <c r="N80" s="149"/>
      <c r="O80" s="149"/>
      <c r="P80" s="149"/>
      <c r="Q80" s="150"/>
      <c r="R80" s="333"/>
      <c r="AB80" s="110"/>
      <c r="AC80" s="110"/>
    </row>
    <row r="81" spans="1:29" s="63" customFormat="1" ht="14.25" x14ac:dyDescent="0.2">
      <c r="A81" s="336"/>
      <c r="B81" s="333"/>
      <c r="C81" s="333"/>
      <c r="D81" s="333"/>
      <c r="E81" s="333"/>
      <c r="F81" s="333"/>
      <c r="G81" s="333"/>
      <c r="H81" s="333"/>
      <c r="I81" s="333"/>
      <c r="J81" s="333"/>
      <c r="K81" s="333"/>
      <c r="L81" s="333"/>
      <c r="M81" s="333"/>
      <c r="N81" s="333"/>
      <c r="O81" s="333"/>
      <c r="P81" s="333"/>
      <c r="Q81" s="333"/>
      <c r="R81" s="333"/>
      <c r="S81" s="112"/>
      <c r="T81" s="435"/>
      <c r="U81" s="435"/>
      <c r="V81" s="435"/>
      <c r="W81" s="435"/>
      <c r="X81" s="435"/>
      <c r="Y81" s="435"/>
      <c r="Z81" s="435"/>
      <c r="AA81" s="435"/>
      <c r="AB81" s="110"/>
      <c r="AC81" s="110"/>
    </row>
    <row r="82" spans="1:29" s="63" customFormat="1" ht="14.25" customHeight="1" x14ac:dyDescent="0.3">
      <c r="A82" s="336"/>
      <c r="C82" s="111"/>
      <c r="D82" s="435"/>
      <c r="E82" s="435"/>
      <c r="F82" s="435"/>
      <c r="G82" s="435"/>
      <c r="H82" s="435"/>
      <c r="I82" s="434"/>
      <c r="J82" s="434"/>
      <c r="K82" s="434"/>
      <c r="L82" s="294"/>
      <c r="M82" s="295"/>
      <c r="N82" s="690"/>
      <c r="O82" s="690"/>
      <c r="P82" s="690"/>
      <c r="Q82" s="690"/>
      <c r="R82" s="690"/>
      <c r="S82" s="690"/>
      <c r="T82" s="690"/>
      <c r="U82" s="690"/>
      <c r="V82" s="690"/>
      <c r="W82" s="690"/>
      <c r="X82" s="690"/>
      <c r="Y82" s="690"/>
      <c r="Z82" s="690"/>
      <c r="AA82" s="690"/>
      <c r="AB82" s="94"/>
      <c r="AC82" s="110"/>
    </row>
    <row r="83" spans="1:29" s="63" customFormat="1" x14ac:dyDescent="0.3">
      <c r="A83" s="336"/>
      <c r="C83" s="111"/>
      <c r="D83" s="435"/>
      <c r="E83" s="435"/>
      <c r="F83" s="435"/>
      <c r="G83" s="435"/>
      <c r="H83" s="435"/>
      <c r="I83" s="435"/>
      <c r="J83" s="435"/>
      <c r="K83" s="435"/>
      <c r="L83" s="435"/>
      <c r="M83" s="435"/>
      <c r="N83" s="435"/>
      <c r="O83" s="435"/>
      <c r="P83" s="435"/>
      <c r="Q83" s="435"/>
      <c r="R83" s="435"/>
      <c r="S83" s="112"/>
      <c r="T83" s="435"/>
      <c r="U83" s="435"/>
      <c r="V83" s="435"/>
      <c r="W83" s="435"/>
      <c r="X83" s="435"/>
      <c r="Y83" s="435"/>
      <c r="Z83" s="435"/>
      <c r="AA83" s="435"/>
    </row>
    <row r="84" spans="1:29" s="63" customFormat="1" x14ac:dyDescent="0.3">
      <c r="A84" s="336"/>
      <c r="C84" s="111"/>
      <c r="D84" s="435"/>
      <c r="E84" s="435"/>
      <c r="F84" s="435"/>
      <c r="G84" s="435"/>
      <c r="H84" s="435"/>
      <c r="I84" s="435"/>
      <c r="J84" s="435"/>
      <c r="K84" s="435"/>
      <c r="L84" s="435"/>
      <c r="M84" s="435"/>
      <c r="N84" s="435"/>
      <c r="O84" s="435"/>
      <c r="P84" s="435"/>
      <c r="Q84" s="435"/>
      <c r="R84" s="435"/>
      <c r="S84" s="112"/>
      <c r="T84" s="435"/>
      <c r="U84" s="435"/>
      <c r="V84" s="435"/>
      <c r="W84" s="435"/>
      <c r="X84" s="435"/>
      <c r="Y84" s="435"/>
      <c r="Z84" s="435"/>
      <c r="AA84" s="435"/>
    </row>
    <row r="85" spans="1:29" s="63" customFormat="1" x14ac:dyDescent="0.3">
      <c r="A85" s="336"/>
      <c r="C85" s="111"/>
      <c r="D85" s="435"/>
      <c r="E85" s="435"/>
      <c r="F85" s="435"/>
      <c r="G85" s="435"/>
      <c r="H85" s="435"/>
      <c r="I85" s="435"/>
      <c r="J85" s="435"/>
      <c r="K85" s="435"/>
      <c r="L85" s="435"/>
      <c r="M85" s="435"/>
      <c r="N85" s="435"/>
      <c r="O85" s="435"/>
      <c r="P85" s="435"/>
      <c r="Q85" s="435"/>
      <c r="R85" s="435"/>
      <c r="S85" s="112"/>
      <c r="T85" s="435"/>
      <c r="U85" s="435"/>
      <c r="V85" s="435"/>
      <c r="W85" s="435"/>
      <c r="X85" s="435"/>
      <c r="Y85" s="435"/>
      <c r="Z85" s="435"/>
      <c r="AA85" s="435"/>
    </row>
    <row r="86" spans="1:29" s="63" customFormat="1" x14ac:dyDescent="0.3">
      <c r="A86" s="336"/>
      <c r="C86" s="111"/>
      <c r="D86" s="435"/>
      <c r="E86" s="435"/>
      <c r="F86" s="435"/>
      <c r="G86" s="435"/>
      <c r="H86" s="435"/>
      <c r="I86" s="435"/>
      <c r="J86" s="435"/>
      <c r="K86" s="435"/>
      <c r="L86" s="435"/>
      <c r="M86" s="435"/>
      <c r="N86" s="435"/>
      <c r="O86" s="435"/>
      <c r="P86" s="435"/>
      <c r="Q86" s="435"/>
      <c r="R86" s="435"/>
      <c r="S86" s="112"/>
      <c r="T86" s="435"/>
      <c r="U86" s="435"/>
      <c r="V86" s="435"/>
      <c r="W86" s="435"/>
      <c r="X86" s="435"/>
      <c r="Y86" s="435"/>
      <c r="Z86" s="435"/>
      <c r="AA86" s="435"/>
    </row>
    <row r="87" spans="1:29" s="63" customFormat="1" x14ac:dyDescent="0.3">
      <c r="A87" s="336"/>
      <c r="C87" s="111"/>
      <c r="D87" s="435"/>
      <c r="E87" s="435"/>
      <c r="F87" s="435"/>
      <c r="G87" s="435"/>
      <c r="H87" s="435"/>
      <c r="I87" s="435"/>
      <c r="J87" s="435"/>
      <c r="K87" s="435"/>
      <c r="L87" s="435"/>
      <c r="M87" s="435"/>
      <c r="N87" s="435"/>
      <c r="O87" s="435"/>
      <c r="P87" s="435"/>
      <c r="Q87" s="435"/>
      <c r="R87" s="435"/>
      <c r="S87" s="112"/>
      <c r="T87" s="435"/>
      <c r="U87" s="435"/>
      <c r="V87" s="435"/>
      <c r="W87" s="435"/>
      <c r="X87" s="435"/>
      <c r="Y87" s="435"/>
      <c r="Z87" s="435"/>
      <c r="AA87" s="435"/>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3750F150-B4EB-4981-9B0B-A0A3B731AE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AGarten</cp:lastModifiedBy>
  <cp:lastPrinted>2014-05-14T17:01:35Z</cp:lastPrinted>
  <dcterms:created xsi:type="dcterms:W3CDTF">2012-04-11T21:44:01Z</dcterms:created>
  <dcterms:modified xsi:type="dcterms:W3CDTF">2014-11-07T23:09:24Z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y fmtid="{D5CDD505-2E9C-101B-9397-08002B2CF9AE}" pid="3" name="_CheckOutSrcUrl">
    <vt:lpwstr>http://deqsps/programs/rulemaking/aq/gplimited/docs/1-Planning/RESOURCES.xlsx</vt:lpwstr>
  </property>
</Properties>
</file>