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B237" i="94" l="1"/>
  <c r="AH593" i="94" l="1"/>
  <c r="AG593" i="94"/>
  <c r="AH31" i="94"/>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AG25" i="94"/>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AG24" i="94"/>
  <c r="AH573" i="94" l="1"/>
  <c r="H573" i="94" s="1"/>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AG23" i="94" s="1"/>
  <c r="AH569" i="94" l="1"/>
  <c r="H569" i="94" s="1"/>
  <c r="AH504" i="94"/>
  <c r="AG573" i="94"/>
  <c r="G573" i="94" s="1"/>
  <c r="AG755" i="94"/>
  <c r="G755" i="94" s="1"/>
  <c r="AH755" i="94" s="1"/>
  <c r="H755" i="94" s="1"/>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C47" i="102"/>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<sst xmlns="http://schemas.openxmlformats.org/spreadsheetml/2006/main" count="1994" uniqueCount="783">
  <si>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</si>
  <si>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</si>
  <si>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</si>
  <si>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</si>
  <si>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</si>
  <si>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</si>
  <si>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</si>
  <si>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</si>
  <si>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</si>
  <si>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</si>
  <si>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</si>
  <si>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</si>
  <si>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</si>
  <si>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</si>
  <si>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</si>
  <si>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</si>
  <si>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</si>
  <si>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</si>
  <si>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</si>
  <si>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</si>
  <si>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</si>
  <si>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</si>
  <si>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</si>
  <si>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</si>
  <si>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</si>
  <si>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</si>
  <si>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</si>
  <si>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</si>
  <si>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</si>
  <si>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</si>
  <si>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</si>
  <si>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</si>
  <si>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</si>
  <si>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</si>
  <si>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</si>
  <si>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</si>
  <si>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</si>
  <si>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</si>
  <si>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</si>
  <si>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</si>
  <si>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</si>
  <si>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</si>
  <si>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</si>
  <si>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</si>
  <si>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</si>
  <si>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</si>
  <si>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</si>
  <si>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</si>
  <si>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</si>
  <si>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</si>
  <si>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</si>
  <si>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</si>
  <si>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</si>
  <si>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</si>
  <si>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</si>
  <si>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</si>
  <si>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</si>
  <si>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</si>
  <si>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</si>
  <si>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</si>
  <si>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</si>
  <si>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</si>
  <si>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</si>
  <si>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</si>
  <si>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</si>
  <si>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</si>
  <si>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</si>
  <si>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</si>
  <si>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</si>
  <si>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</si>
  <si>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</si>
  <si>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</si>
  <si>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</si>
  <si>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</si>
  <si>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</si>
  <si>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</si>
  <si>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</si>
  <si>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</si>
  <si>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</si>
  <si>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</si>
  <si>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</si>
  <si>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</si>
  <si>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</si>
  <si>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</si>
  <si>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</si>
  <si>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</si>
  <si>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</si>
  <si>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</si>
  <si>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</si>
  <si>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</si>
  <si>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</si>
  <si>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</si>
  <si>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</si>
  <si>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</si>
  <si>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</si>
  <si>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</si>
  <si>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</si>
  <si>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</si>
  <si>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</si>
  <si>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</si>
  <si>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</si>
  <si>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</si>
  <si>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</si>
  <si>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</si>
  <si>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</si>
  <si>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</si>
  <si>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</si>
  <si>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</si>
  <si>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</si>
  <si>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</si>
  <si>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</si>
  <si>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</si>
  <si>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</si>
  <si>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</si>
  <si>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</si>
  <si>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</si>
  <si>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</si>
  <si>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</si>
  <si>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</si>
  <si>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</si>
  <si>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</si>
  <si>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</si>
  <si>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</si>
  <si>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</si>
  <si>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</si>
  <si>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</si>
  <si>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</si>
  <si>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</si>
  <si>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</si>
  <si>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</si>
  <si>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</si>
  <si>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</si>
  <si>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</si>
  <si>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</si>
  <si>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</si>
  <si>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</si>
  <si>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</si>
  <si>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</si>
  <si>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</si>
  <si>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</si>
  <si>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</si>
  <si>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</si>
  <si>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</si>
  <si>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</si>
  <si>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</si>
  <si>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</si>
  <si>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</si>
  <si>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</si>
  <si>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</si>
  <si>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</si>
  <si>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</si>
  <si>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</si>
  <si>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</si>
  <si>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</si>
  <si>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</si>
  <si>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</si>
  <si>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</si>
  <si>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</si>
  <si>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</si>
  <si>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</si>
  <si>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</si>
  <si>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</si>
  <si>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</si>
  <si>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</si>
  <si>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</si>
  <si>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</si>
  <si>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</si>
  <si>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</si>
  <si>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</si>
  <si>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</si>
  <si>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</si>
  <si>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</si>
  <si>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</si>
  <si>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</si>
  <si>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</si>
  <si>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</si>
  <si>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</si>
  <si>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</si>
  <si>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</si>
  <si>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</si>
  <si>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</si>
  <si>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</si>
  <si>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</si>
  <si>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</si>
  <si>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</si>
  <si>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</si>
  <si>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</si>
  <si>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</si>
  <si>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</si>
  <si>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</si>
  <si>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</si>
  <si>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</si>
  <si>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</si>
  <si>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</si>
  <si>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</si>
  <si>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</si>
  <si>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</si>
  <si>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</si>
  <si>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</si>
  <si>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</si>
  <si>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</si>
  <si>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</si>
  <si>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</si>
  <si>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</si>
  <si>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</si>
  <si>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</si>
  <si>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</si>
  <si>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</si>
  <si>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</si>
  <si>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</si>
  <si>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</si>
  <si>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</si>
  <si>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</si>
  <si>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</si>
  <si>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</si>
  <si>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</si>
  <si>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</si>
  <si>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</si>
  <si>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</si>
  <si>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</si>
  <si>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</si>
  <si>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</si>
  <si>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</si>
  <si>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</si>
  <si>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</si>
  <si>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</si>
  <si>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</si>
  <si>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</si>
  <si>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</si>
  <si>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</si>
  <si>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</si>
  <si>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</si>
  <si>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</si>
  <si>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</si>
  <si>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</si>
  <si>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</si>
  <si>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</si>
  <si>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</si>
  <si>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</si>
  <si>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</si>
  <si>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</si>
  <si>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</si>
  <si>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</si>
  <si>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</si>
  <si>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</si>
  <si>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</si>
  <si>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</si>
  <si>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</si>
  <si>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</si>
  <si>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</si>
  <si>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</si>
  <si>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</si>
  <si>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</si>
  <si>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</si>
  <si>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</si>
  <si>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</si>
  <si>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</si>
  <si>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</si>
  <si>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</si>
  <si>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</si>
  <si>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</si>
  <si>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</si>
  <si>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</si>
  <si>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</si>
  <si>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</si>
  <si>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</si>
  <si>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</si>
  <si>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</si>
  <si>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</si>
  <si>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</si>
  <si>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</si>
  <si>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</si>
  <si>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</si>
  <si>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</si>
  <si>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</si>
  <si>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</si>
  <si>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</si>
  <si>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</si>
  <si>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</si>
  <si>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</si>
  <si>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</si>
  <si>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</si>
  <si>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</si>
  <si>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</si>
  <si>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</si>
  <si>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</si>
  <si>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</si>
  <si>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</si>
  <si>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</si>
  <si>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</si>
  <si>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</si>
  <si>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</si>
  <si>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</si>
  <si>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</si>
  <si>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</si>
  <si>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</si>
  <si>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</si>
  <si>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</si>
  <si>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</si>
  <si>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</si>
  <si>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</si>
  <si>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</si>
  <si>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</si>
  <si>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</si>
  <si>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</si>
  <si>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</si>
  <si>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</si>
  <si>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</si>
  <si>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</si>
  <si>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</si>
  <si>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</si>
  <si>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</si>
  <si>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</si>
  <si>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</si>
  <si>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</si>
  <si>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</si>
  <si>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</si>
  <si>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</si>
  <si>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</si>
  <si>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</si>
  <si>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</si>
  <si>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</si>
  <si>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</si>
  <si>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</si>
  <si>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</si>
  <si>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</si>
  <si>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</si>
  <si>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</si>
  <si>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</si>
  <si>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</si>
  <si>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</si>
  <si>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</si>
  <si>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</si>
  <si>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</si>
  <si>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</si>
  <si>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</si>
  <si>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</si>
  <si>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</si>
  <si>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</si>
  <si>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</si>
  <si>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</si>
  <si>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</si>
  <si>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</si>
  <si>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</si>
  <si>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</si>
  <si>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</si>
  <si>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</si>
  <si>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</si>
  <si>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</si>
  <si>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</si>
  <si>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</si>
  <si>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</si>
  <si>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</si>
  <si>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</si>
  <si>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</si>
  <si>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</si>
  <si>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</si>
  <si>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</si>
  <si>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</si>
  <si>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</si>
  <si>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</si>
  <si>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</si>
  <si>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</si>
  <si>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</si>
  <si>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</si>
  <si>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</si>
  <si>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</si>
  <si>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</si>
  <si>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</si>
  <si>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</si>
  <si>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</si>
  <si>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</si>
  <si>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</si>
  <si>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</si>
  <si>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</si>
  <si>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</si>
  <si>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</si>
  <si>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</si>
  <si>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</si>
  <si>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</si>
  <si>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</si>
  <si>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</si>
  <si>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</si>
  <si>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</si>
  <si>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</si>
  <si>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</si>
  <si>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</si>
  <si>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</si>
  <si>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</si>
  <si>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</si>
  <si>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</si>
  <si>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</si>
  <si>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</si>
  <si>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</si>
  <si>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</si>
  <si>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</si>
  <si>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</si>
  <si>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</si>
  <si>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</si>
  <si>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</si>
  <si>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</si>
  <si>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</si>
  <si>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</si>
  <si>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</si>
  <si>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</si>
  <si>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</si>
  <si>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</si>
  <si>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</si>
  <si>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</si>
  <si>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</si>
  <si>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</si>
  <si>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</si>
  <si>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</si>
  <si>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</si>
  <si>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</si>
  <si>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</si>
  <si>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</si>
  <si>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</si>
  <si>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</si>
  <si>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</si>
  <si>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</si>
  <si>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</si>
  <si>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</si>
  <si>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</si>
  <si>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</si>
  <si>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</si>
  <si>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</si>
  <si>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</si>
  <si>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</si>
  <si>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</si>
  <si>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</si>
  <si>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</si>
  <si>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</si>
  <si>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</si>
  <si>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</si>
  <si>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</si>
  <si>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</si>
  <si>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</si>
  <si>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</si>
  <si>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</si>
  <si>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</si>
  <si>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</si>
  <si>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</si>
  <si>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</si>
  <si>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</si>
  <si>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</si>
  <si>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</si>
  <si>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</si>
  <si>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</si>
  <si>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</si>
  <si>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</si>
  <si>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</si>
  <si>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</si>
  <si>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</si>
  <si>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</si>
  <si>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</si>
  <si>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</si>
  <si>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</si>
  <si>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</si>
  <si>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</si>
  <si>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</si>
  <si>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</si>
  <si>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</si>
  <si>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</si>
  <si>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</si>
  <si>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</si>
  <si>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</si>
  <si>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</si>
  <si>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</si>
  <si>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</si>
  <si>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</si>
  <si>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</si>
  <si>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</si>
  <si>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</si>
  <si>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</si>
  <si>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</si>
  <si>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</si>
  <si>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</si>
  <si>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</si>
  <si>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</si>
  <si>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</si>
  <si>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</si>
  <si>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</si>
  <si>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</si>
  <si>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</si>
  <si>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</si>
  <si>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</si>
  <si>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</si>
  <si>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</si>
  <si>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</si>
  <si>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</si>
  <si>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</si>
  <si>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</si>
  <si>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</si>
  <si>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</si>
  <si>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</si>
  <si>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</si>
  <si>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</si>
  <si>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</si>
  <si>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</si>
  <si>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</si>
  <si>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</si>
  <si>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</si>
  <si>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</si>
  <si>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</si>
  <si>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</si>
  <si>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</si>
  <si>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</si>
  <si>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</si>
  <si>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</si>
  <si>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</si>
  <si>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</si>
  <si>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</si>
  <si>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</si>
  <si>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</si>
  <si>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</si>
  <si>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</si>
  <si>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</si>
  <si>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</si>
  <si>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</si>
  <si>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</si>
  <si>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</si>
  <si>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</si>
  <si>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</si>
  <si>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</si>
  <si>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</si>
  <si>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</si>
  <si>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</si>
  <si>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</si>
  <si>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</si>
  <si>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</si>
  <si>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</si>
  <si>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</si>
  <si>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</si>
  <si>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</si>
  <si>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</si>
  <si>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</si>
  <si>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</si>
  <si>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</si>
  <si>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</si>
  <si>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</si>
  <si>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</si>
  <si>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</si>
  <si>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</si>
  <si>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</si>
  <si>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</si>
  <si>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</si>
  <si>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</si>
  <si>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</si>
  <si>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</si>
  <si>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</si>
  <si>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</si>
  <si>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</si>
  <si>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</si>
  <si>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</si>
  <si>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</si>
  <si>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</si>
  <si>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</si>
  <si>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</si>
  <si>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</si>
  <si>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</si>
  <si>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</si>
  <si>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</si>
  <si>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</si>
  <si>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</si>
  <si>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</si>
  <si>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</si>
  <si>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</si>
  <si>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</si>
  <si>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</si>
  <si>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</si>
  <si>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</si>
  <si>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</si>
  <si>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</si>
  <si>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</si>
  <si>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</si>
  <si>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</si>
  <si>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</si>
  <si>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</si>
  <si>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</si>
  <si>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</si>
  <si>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</si>
  <si>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</si>
  <si>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</si>
  <si>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</si>
  <si>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</si>
  <si>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</si>
  <si>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</si>
  <si>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</si>
  <si>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</si>
  <si>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</si>
  <si>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</si>
  <si>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</si>
  <si>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</si>
  <si>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</si>
  <si>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</si>
  <si>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</si>
  <si>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</si>
  <si>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</si>
  <si>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</si>
  <si>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</si>
  <si>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</si>
  <si>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</si>
  <si>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</si>
  <si>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</si>
  <si>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</si>
  <si>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</si>
  <si>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</si>
  <si>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</si>
  <si>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</si>
  <si>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</si>
  <si>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</si>
  <si>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</si>
  <si>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</si>
  <si>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</si>
  <si>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</si>
  <si>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</si>
  <si>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</si>
  <si>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</si>
  <si>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</si>
  <si>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</si>
  <si>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</si>
  <si>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</si>
  <si>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</si>
  <si>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</si>
  <si>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</si>
  <si>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</si>
  <si>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</si>
  <si>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</si>
  <si>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</si>
  <si>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</si>
  <si>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</si>
  <si>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</si>
  <si>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</si>
  <si>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</si>
  <si>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</si>
  <si>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</si>
  <si>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</si>
  <si>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</si>
  <si>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</si>
  <si>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</si>
  <si>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</si>
  <si>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</si>
  <si>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</si>
  <si>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</si>
  <si>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</si>
  <si>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</si>
  <si>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</si>
  <si>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</si>
  <si>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</si>
  <si>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</si>
  <si>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</si>
  <si>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</si>
  <si>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</si>
  <si>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</si>
  <si>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</si>
  <si>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</si>
  <si>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</si>
  <si>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</si>
  <si>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</si>
  <si>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</si>
  <si>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</si>
  <si>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</si>
  <si>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</si>
  <si>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</si>
  <si>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</si>
  <si>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</si>
  <si>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</si>
  <si>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</si>
  <si>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</si>
  <si>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</si>
  <si>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</si>
  <si>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</si>
  <si>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</si>
  <si>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</si>
  <si>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</si>
  <si>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</si>
  <si>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</si>
  <si>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</si>
  <si>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</si>
  <si>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</si>
  <si>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</si>
  <si>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</si>
  <si>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</si>
  <si>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</si>
  <si>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</si>
  <si>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</si>
  <si>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</si>
  <si>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</si>
  <si>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</si>
  <si>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</si>
  <si>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</si>
  <si>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</si>
  <si>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</si>
  <si>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</si>
  <si>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</si>
  <si>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</si>
  <si>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</si>
  <si>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</si>
  <si>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</si>
  <si>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</si>
  <si>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</si>
  <si>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</si>
  <si>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</si>
  <si>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</si>
  <si>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</si>
  <si>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</si>
  <si>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</si>
  <si>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</si>
  <si>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</si>
  <si>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</si>
  <si>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</si>
  <si>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</si>
  <si>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</si>
  <si>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</si>
  <si>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</si>
  <si>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</si>
  <si>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</si>
  <si>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</si>
  <si>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</si>
  <si>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</si>
  <si>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</si>
  <si>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</si>
  <si>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</si>
  <si>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</si>
  <si>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</si>
  <si>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</si>
  <si>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</si>
  <si>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</si>
  <si>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</si>
  <si>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</si>
  <si>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</si>
  <si>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</si>
  <si>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</si>
  <si>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</si>
  <si>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</si>
  <si>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</si>
  <si>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</si>
  <si>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</si>
  <si>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</si>
  <si>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</si>
  <si>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</si>
  <si>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</si>
  <si>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</si>
  <si>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</si>
  <si>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</si>
  <si>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</si>
  <si>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</si>
  <si>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</si>
  <si>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</si>
  <si>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</si>
  <si>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</si>
  <si>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</si>
  <si>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</si>
  <si>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</si>
  <si>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</si>
  <si>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</si>
  <si>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</si>
  <si>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</si>
  <si>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</si>
  <si>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</si>
  <si>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</si>
  <si>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</si>
  <si>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</si>
  <si>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</si>
  <si>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</si>
  <si>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</si>
  <si>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</si>
  <si>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</si>
  <si>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</si>
  <si>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</si>
  <si>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</si>
  <si>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</si>
  <si>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</si>
  <si>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</si>
  <si>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</si>
  <si>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</si>
  <si>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</si>
  <si>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</si>
  <si>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</si>
  <si>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</si>
  <si>
    <t>Grants Pass</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</si>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</sst>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rgb="FFFF0000"/>
      <name val="Cambria"/>
      <family val="1"/>
      <scheme val="minor"/>
    </font>
    <font>
      <b/>
      <sz val="10"/>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7">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6" fontId="174" fillId="11" borderId="2" xfId="0" applyNumberFormat="1" applyFont="1" applyFill="1" applyBorder="1" applyAlignment="1" applyProtection="1">
      <alignment horizontal="right"/>
    </xf>
    <xf numFmtId="166" fontId="174" fillId="9" borderId="45" xfId="0" applyNumberFormat="1" applyFont="1" applyFill="1" applyBorder="1" applyAlignment="1" applyProtection="1">
      <alignment horizontal="right"/>
    </xf>
    <xf numFmtId="166" fontId="173" fillId="2" borderId="2" xfId="0" applyNumberFormat="1" applyFont="1" applyFill="1" applyBorder="1" applyAlignment="1" applyProtection="1">
      <protection locked="0"/>
    </xf>
    <xf numFmtId="166" fontId="173" fillId="2" borderId="9" xfId="0" applyNumberFormat="1" applyFont="1" applyFill="1" applyBorder="1" applyAlignment="1" applyProtection="1"/>
    <xf numFmtId="166" fontId="173" fillId="2" borderId="2" xfId="0" applyNumberFormat="1" applyFont="1" applyFill="1" applyBorder="1" applyAlignment="1" applyProtection="1"/>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644" zoomScale="120" zoomScaleNormal="120" workbookViewId="0">
      <selection activeCell="B633" sqref="B633"/>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15" t="s">
        <v>0</v>
      </c>
      <c r="H1" s="1015"/>
      <c r="I1" s="746"/>
      <c r="AF1" s="361" t="s">
        <v>21</v>
      </c>
      <c r="AG1" s="59"/>
      <c r="AH1" s="76"/>
      <c r="AI1" s="817"/>
      <c r="AJ1" s="1013"/>
      <c r="AK1" s="1013"/>
      <c r="AL1" s="1013"/>
      <c r="AM1" s="1013"/>
      <c r="AN1" s="1013"/>
      <c r="AO1" s="1013"/>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08" t="s">
        <v>0</v>
      </c>
      <c r="D3" s="1008"/>
      <c r="E3" s="1008"/>
      <c r="F3" s="1008"/>
      <c r="G3" s="800">
        <f ca="1">AG3</f>
        <v>41956</v>
      </c>
      <c r="H3" s="801">
        <f>AH3</f>
        <v>42170</v>
      </c>
      <c r="I3" s="746"/>
      <c r="J3"/>
      <c r="K3"/>
      <c r="L3"/>
      <c r="M3"/>
      <c r="N3"/>
      <c r="O3"/>
      <c r="P3"/>
      <c r="Q3"/>
      <c r="R3"/>
      <c r="S3"/>
      <c r="T3"/>
      <c r="U3"/>
      <c r="X3"/>
      <c r="AB3"/>
      <c r="AC3"/>
      <c r="AF3" s="361" t="s">
        <v>58</v>
      </c>
      <c r="AG3" s="60">
        <f ca="1">TODAY()</f>
        <v>41956</v>
      </c>
      <c r="AH3" s="60">
        <f>S.EndOfRulemaking</f>
        <v>42170</v>
      </c>
      <c r="AI3" s="479" t="s">
        <v>0</v>
      </c>
      <c r="AJ3" s="380"/>
      <c r="AK3" s="348" t="str">
        <f>"Last row = "&amp;ROW(S.General.LastCellSchedule)</f>
        <v>Last row = 866</v>
      </c>
      <c r="AL3" s="76"/>
      <c r="AS3" s="1000"/>
      <c r="AT3" s="1000"/>
      <c r="AU3" s="1000"/>
      <c r="AV3" s="1000"/>
      <c r="AW3" s="1000"/>
      <c r="AX3" s="1000"/>
      <c r="AY3" s="1000"/>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05" t="s">
        <v>639</v>
      </c>
      <c r="C5" s="1005"/>
      <c r="D5" s="1005"/>
      <c r="E5" s="1005"/>
      <c r="F5" s="1005"/>
      <c r="G5" s="841"/>
      <c r="H5" s="841"/>
      <c r="I5" s="923"/>
      <c r="J5"/>
      <c r="K5"/>
      <c r="L5"/>
      <c r="M5"/>
      <c r="N5"/>
      <c r="O5"/>
      <c r="P5"/>
      <c r="Q5"/>
      <c r="R5"/>
      <c r="S5"/>
      <c r="T5"/>
      <c r="U5"/>
      <c r="X5"/>
      <c r="AB5"/>
      <c r="AC5"/>
      <c r="AF5" s="361">
        <v>0</v>
      </c>
      <c r="AG5" s="58"/>
      <c r="AH5" s="809" t="s">
        <v>641</v>
      </c>
      <c r="AI5" s="58" t="s">
        <v>0</v>
      </c>
      <c r="AJ5" s="160"/>
      <c r="AK5" s="497" t="s">
        <v>0</v>
      </c>
      <c r="AL5" s="76"/>
    </row>
    <row r="6" spans="1:51" s="23" customFormat="1" ht="14.1" customHeight="1" thickTop="1" thickBot="1" x14ac:dyDescent="0.25">
      <c r="A6" s="163"/>
      <c r="B6" s="330" t="s">
        <v>640</v>
      </c>
      <c r="C6" s="481" t="s">
        <v>16</v>
      </c>
      <c r="F6" s="903"/>
      <c r="G6" s="333">
        <v>41820</v>
      </c>
      <c r="I6" s="924"/>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5"/>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6">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7">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6"/>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8"/>
      <c r="J17"/>
      <c r="K17"/>
      <c r="L17"/>
      <c r="M17"/>
      <c r="N17"/>
      <c r="O17"/>
      <c r="P17"/>
      <c r="Q17"/>
      <c r="R17"/>
      <c r="S17"/>
      <c r="T17"/>
      <c r="U17"/>
      <c r="X17"/>
      <c r="AB17"/>
      <c r="AC17"/>
      <c r="AF17" s="361">
        <v>0</v>
      </c>
      <c r="AG17" s="64"/>
      <c r="AH17" s="59"/>
      <c r="AI17" s="1006"/>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7">
        <f>IF(S.SIP.Involved="N",0,IF(S.General.Complexity=1,0,112))</f>
        <v>112</v>
      </c>
      <c r="J18"/>
      <c r="K18"/>
      <c r="L18"/>
      <c r="M18"/>
      <c r="N18"/>
      <c r="O18"/>
      <c r="P18"/>
      <c r="Q18"/>
      <c r="R18"/>
      <c r="S18"/>
      <c r="T18"/>
      <c r="U18"/>
      <c r="X18"/>
      <c r="AB18"/>
      <c r="AC18"/>
      <c r="AF18" s="362">
        <f>IF(S.SIP.Involved="N",0,1)</f>
        <v>1</v>
      </c>
      <c r="AG18" s="48"/>
      <c r="AH18" s="48"/>
      <c r="AI18" s="1006"/>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8"/>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7">
        <f>IF(S.SIP.Involved="N",,IF(S.General.Complexity=1,0,45))</f>
        <v>45</v>
      </c>
      <c r="AF20" s="362">
        <f>IF(S.SIP.Involved="Y",1,0)</f>
        <v>1</v>
      </c>
      <c r="AG20" s="48"/>
      <c r="AH20" s="921">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8"/>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754</v>
      </c>
      <c r="G22" s="918">
        <f>AG22</f>
        <v>41820</v>
      </c>
      <c r="H22" s="919">
        <f>AH22</f>
        <v>42027</v>
      </c>
      <c r="I22" s="927"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42027</v>
      </c>
      <c r="AI22" s="59" t="s">
        <v>755</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89">
        <v>41948</v>
      </c>
      <c r="H23" s="989">
        <v>41950</v>
      </c>
      <c r="I23" s="927">
        <f>IF(S.Notice.Involved="N",0,10)</f>
        <v>10</v>
      </c>
      <c r="AF23" s="361">
        <f>IF(S.Notice.Involved="Y",1,0)</f>
        <v>1</v>
      </c>
      <c r="AG23" s="60">
        <f>IF(S.Notice.Involved="N",,WORKDAY(H23-F23+1,-1,S.DDL_DEQClosed))</f>
        <v>41940</v>
      </c>
      <c r="AH23" s="60">
        <f>IF(S.Notice.Involved="N",,WORKDAY(G24-9,-1,S.DDL_DEQClosed))</f>
        <v>41939</v>
      </c>
      <c r="AI23" s="956">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89">
        <v>41949</v>
      </c>
      <c r="H24" s="990">
        <v>41957</v>
      </c>
      <c r="I24" s="927">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89">
        <v>41968</v>
      </c>
      <c r="H25" s="990">
        <v>41976</v>
      </c>
      <c r="I25" s="927">
        <v>7</v>
      </c>
      <c r="J25"/>
      <c r="K25"/>
      <c r="L25"/>
      <c r="M25"/>
      <c r="N25"/>
      <c r="O25"/>
      <c r="P25"/>
      <c r="Q25"/>
      <c r="R25"/>
      <c r="S25"/>
      <c r="T25"/>
      <c r="U25"/>
      <c r="X25"/>
      <c r="AB25"/>
      <c r="AC25"/>
      <c r="AF25" s="361">
        <f>IF(S.Notice.Involved="Y",1,0)</f>
        <v>1</v>
      </c>
      <c r="AG25" s="60">
        <f>IF(S.Notice.Involved="N",,WORKDAY(H25-F25+1,-1,S.DDL_DEQClosed))</f>
        <v>41971</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09" t="s">
        <v>679</v>
      </c>
      <c r="D27" s="1009"/>
      <c r="E27" s="1009"/>
      <c r="F27" s="1009"/>
      <c r="G27" s="1010"/>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8">
        <f>AG29</f>
        <v>41988</v>
      </c>
      <c r="H29" s="918">
        <f>AH29</f>
        <v>42037</v>
      </c>
      <c r="I29" s="929">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0"/>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988">
        <v>42024</v>
      </c>
      <c r="I31" s="930"/>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42027</v>
      </c>
      <c r="I32" s="930"/>
      <c r="AF32" s="361">
        <f>IF(S.Hearing.1stInvolve="N",0,1)</f>
        <v>1</v>
      </c>
      <c r="AG32" s="48"/>
      <c r="AH32" s="60">
        <f>IF(AF32=0,,IF(S.Notice.Involved="N",S.DIRECTOR.Approves.ForDEQRulemakingPlan,WORKDAY(S.Notice.LastHearingDate+2,1,S.DDL_DEQClosed)))</f>
        <v>42027</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1"/>
      <c r="AE33" s="40"/>
      <c r="AF33" s="361">
        <v>1</v>
      </c>
      <c r="AG33" s="48"/>
      <c r="AH33" s="60"/>
      <c r="AI33" s="59"/>
      <c r="AJ33" s="162"/>
      <c r="AK33" s="78"/>
      <c r="AL33" s="76"/>
    </row>
    <row r="34" spans="1:39" s="23" customFormat="1" ht="13.5" customHeight="1" x14ac:dyDescent="0.2">
      <c r="A34" s="145"/>
      <c r="B34" s="330" t="s">
        <v>170</v>
      </c>
      <c r="C34" s="304"/>
      <c r="D34" s="846"/>
      <c r="E34" s="846"/>
      <c r="F34" s="908"/>
      <c r="G34" s="919">
        <f>AG34</f>
        <v>41988</v>
      </c>
      <c r="H34" s="919">
        <f>AH34</f>
        <v>42037</v>
      </c>
      <c r="I34" s="930"/>
      <c r="J34"/>
      <c r="K34"/>
      <c r="L34"/>
      <c r="M34"/>
      <c r="N34"/>
      <c r="O34"/>
      <c r="P34"/>
      <c r="Q34"/>
      <c r="R34"/>
      <c r="S34"/>
      <c r="T34"/>
      <c r="U34"/>
      <c r="X34"/>
      <c r="AB34"/>
      <c r="AC34"/>
      <c r="AF34" s="361">
        <v>1</v>
      </c>
      <c r="AG34" s="60">
        <f>S.Notice.SubmitToSOS</f>
        <v>41988</v>
      </c>
      <c r="AH34" s="60">
        <f>S.EQC.SubmitStaffRpt</f>
        <v>42037</v>
      </c>
      <c r="AI34" s="59"/>
      <c r="AJ34" s="161"/>
      <c r="AK34" s="873" t="s">
        <v>686</v>
      </c>
      <c r="AL34" s="76"/>
    </row>
    <row r="35" spans="1:39" s="23" customFormat="1" ht="6" customHeight="1" x14ac:dyDescent="0.2">
      <c r="A35" s="145"/>
      <c r="B35" s="204"/>
      <c r="C35" s="335"/>
      <c r="D35" s="698"/>
      <c r="E35" s="698"/>
      <c r="F35" s="909"/>
      <c r="G35" s="369"/>
      <c r="H35" s="963"/>
      <c r="I35" s="930"/>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1">AG37</f>
        <v>0</v>
      </c>
      <c r="H37" s="866">
        <f t="shared" si="1"/>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29">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09" t="s">
        <v>679</v>
      </c>
      <c r="D42" s="1009"/>
      <c r="E42" s="1009"/>
      <c r="F42" s="1009"/>
      <c r="G42" s="1010"/>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993" t="s">
        <v>0</v>
      </c>
      <c r="H43" s="993"/>
      <c r="I43" s="933">
        <v>-55</v>
      </c>
      <c r="J43"/>
      <c r="K43"/>
      <c r="L43"/>
      <c r="M43"/>
      <c r="N43"/>
      <c r="O43"/>
      <c r="P43"/>
      <c r="Q43"/>
      <c r="R43"/>
      <c r="S43"/>
      <c r="T43"/>
      <c r="U43"/>
      <c r="X43"/>
      <c r="AB43"/>
      <c r="AC43"/>
      <c r="AF43" s="361">
        <v>1</v>
      </c>
      <c r="AG43" s="1007" t="s">
        <v>745</v>
      </c>
      <c r="AH43" s="1007"/>
      <c r="AI43" s="1007"/>
      <c r="AJ43" s="1007"/>
      <c r="AK43" s="1007"/>
      <c r="AL43" s="76"/>
    </row>
    <row r="44" spans="1:39" s="23" customFormat="1" ht="14.1" hidden="1" customHeight="1" thickTop="1" x14ac:dyDescent="0.2">
      <c r="A44" s="145"/>
      <c r="C44" s="335"/>
      <c r="D44"/>
      <c r="G44" s="993"/>
      <c r="H44" s="993"/>
      <c r="I44" s="929">
        <f>SUM(I8:I42)</f>
        <v>326</v>
      </c>
      <c r="J44"/>
      <c r="K44"/>
      <c r="L44"/>
      <c r="M44"/>
      <c r="N44"/>
      <c r="O44"/>
      <c r="P44"/>
      <c r="Q44"/>
      <c r="R44"/>
      <c r="S44"/>
      <c r="T44"/>
      <c r="U44"/>
      <c r="X44"/>
      <c r="AB44"/>
      <c r="AC44"/>
      <c r="AF44" s="361">
        <v>1</v>
      </c>
      <c r="AG44" s="1007" t="s">
        <v>746</v>
      </c>
      <c r="AH44" s="1007"/>
      <c r="AI44" s="1007"/>
      <c r="AJ44" s="1007"/>
      <c r="AK44" s="1007"/>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8">
        <f>AG46</f>
        <v>42078</v>
      </c>
      <c r="H46" s="918">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773</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528</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2">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729</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738</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736</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737</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735</v>
      </c>
      <c r="C63" s="97"/>
      <c r="D63" s="183"/>
      <c r="E63" s="183"/>
      <c r="G63" s="350"/>
      <c r="H63" s="350"/>
      <c r="I63" s="746"/>
      <c r="AF63" s="361">
        <v>1</v>
      </c>
      <c r="AG63" s="47"/>
      <c r="AH63" s="47"/>
      <c r="AI63" s="59"/>
      <c r="AJ63" s="43"/>
      <c r="AK63" s="35"/>
      <c r="AL63" s="76"/>
    </row>
    <row r="64" spans="1:39" s="23" customFormat="1" ht="14.1" customHeight="1" outlineLevel="2" x14ac:dyDescent="0.2">
      <c r="A64" s="145"/>
      <c r="B64" s="979" t="s">
        <v>769</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734</v>
      </c>
      <c r="C65" s="97"/>
      <c r="D65" s="183"/>
      <c r="E65" s="183"/>
      <c r="G65" s="350"/>
      <c r="H65" s="350"/>
      <c r="I65" s="746"/>
      <c r="AF65" s="361">
        <v>1</v>
      </c>
      <c r="AG65" s="47"/>
      <c r="AH65" s="47"/>
      <c r="AI65" s="59"/>
      <c r="AJ65" s="43"/>
      <c r="AK65" s="35"/>
      <c r="AL65" s="76"/>
    </row>
    <row r="66" spans="1:38" s="23" customFormat="1" ht="14.1" customHeight="1" outlineLevel="2" x14ac:dyDescent="0.2">
      <c r="A66" s="145"/>
      <c r="B66" s="979" t="s">
        <v>770</v>
      </c>
      <c r="C66" s="97"/>
      <c r="D66" s="183"/>
      <c r="E66" s="183"/>
      <c r="G66" s="350"/>
      <c r="H66" s="350"/>
      <c r="I66" s="746"/>
      <c r="AF66" s="361">
        <v>1</v>
      </c>
      <c r="AG66" s="47"/>
      <c r="AH66" s="47"/>
      <c r="AI66" s="59"/>
      <c r="AJ66" s="43"/>
      <c r="AK66" s="35"/>
      <c r="AL66" s="76"/>
    </row>
    <row r="67" spans="1:38" s="978" customFormat="1" ht="14.1" customHeight="1" outlineLevel="2" x14ac:dyDescent="0.2">
      <c r="A67" s="145"/>
      <c r="B67" s="979" t="s">
        <v>771</v>
      </c>
      <c r="C67" s="97"/>
      <c r="D67" s="183"/>
      <c r="E67" s="183"/>
      <c r="G67" s="350"/>
      <c r="H67" s="350"/>
      <c r="I67" s="746"/>
      <c r="AF67" s="361">
        <v>1</v>
      </c>
      <c r="AG67" s="47"/>
      <c r="AH67" s="47"/>
      <c r="AI67" s="59"/>
      <c r="AJ67" s="43"/>
      <c r="AK67" s="35"/>
      <c r="AL67" s="76"/>
    </row>
    <row r="68" spans="1:38" s="23" customFormat="1" ht="14.1" customHeight="1" outlineLevel="2" x14ac:dyDescent="0.2">
      <c r="A68" s="145"/>
      <c r="B68" s="979" t="s">
        <v>772</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739</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740</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2"/>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730</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765</v>
      </c>
      <c r="C74" s="97"/>
      <c r="D74" s="183"/>
      <c r="E74" s="183"/>
      <c r="G74" s="350"/>
      <c r="H74" s="350"/>
      <c r="I74" s="746"/>
      <c r="AF74" s="361">
        <v>1</v>
      </c>
      <c r="AG74" s="47"/>
      <c r="AH74" s="47"/>
      <c r="AI74" s="59"/>
      <c r="AJ74" s="43"/>
      <c r="AK74" s="35"/>
      <c r="AL74" s="76"/>
    </row>
    <row r="75" spans="1:38" s="23" customFormat="1" ht="14.1" customHeight="1" outlineLevel="2" x14ac:dyDescent="0.2">
      <c r="A75" s="145"/>
      <c r="B75" s="979" t="s">
        <v>766</v>
      </c>
      <c r="C75" s="97"/>
      <c r="D75" s="183"/>
      <c r="E75" s="183"/>
      <c r="G75" s="350"/>
      <c r="H75" s="350"/>
      <c r="I75" s="746"/>
      <c r="AF75" s="361">
        <v>1</v>
      </c>
      <c r="AG75" s="47"/>
      <c r="AH75" s="47"/>
      <c r="AI75" s="59"/>
      <c r="AJ75" s="43"/>
      <c r="AK75" s="35"/>
      <c r="AL75" s="76"/>
    </row>
    <row r="76" spans="1:38" s="23" customFormat="1" ht="14.1" customHeight="1" outlineLevel="2" x14ac:dyDescent="0.2">
      <c r="A76" s="145"/>
      <c r="B76" s="979" t="s">
        <v>767</v>
      </c>
      <c r="C76" s="97"/>
      <c r="D76" s="183"/>
      <c r="E76" s="183"/>
      <c r="G76" s="350"/>
      <c r="H76" s="350"/>
      <c r="I76" s="746"/>
      <c r="AF76" s="361">
        <v>1</v>
      </c>
      <c r="AG76" s="47"/>
      <c r="AH76" s="47"/>
      <c r="AI76" s="59"/>
      <c r="AJ76" s="43"/>
      <c r="AK76" s="35"/>
      <c r="AL76" s="76"/>
    </row>
    <row r="77" spans="1:38" s="23" customFormat="1" ht="14.1" customHeight="1" outlineLevel="2" x14ac:dyDescent="0.2">
      <c r="A77" s="145"/>
      <c r="B77" s="979" t="s">
        <v>768</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739</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740</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2"/>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731</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738</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743</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742</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732</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726</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727</v>
      </c>
      <c r="C89" s="97"/>
      <c r="D89" s="183"/>
      <c r="E89" s="183"/>
      <c r="G89" s="350"/>
      <c r="H89" s="350"/>
      <c r="I89" s="746"/>
      <c r="AF89" s="361">
        <v>1</v>
      </c>
      <c r="AG89" s="47"/>
      <c r="AH89" s="47"/>
      <c r="AI89" s="59"/>
      <c r="AJ89" s="43"/>
      <c r="AK89" s="63"/>
      <c r="AL89" s="76"/>
    </row>
    <row r="90" spans="1:38" s="23" customFormat="1" ht="14.1" customHeight="1" outlineLevel="2" x14ac:dyDescent="0.2">
      <c r="A90" s="145"/>
      <c r="B90" s="1011" t="s">
        <v>741</v>
      </c>
      <c r="C90" s="1012"/>
      <c r="D90" s="183"/>
      <c r="E90" s="183"/>
      <c r="G90" s="350"/>
      <c r="H90" s="350"/>
      <c r="I90" s="746"/>
      <c r="AF90" s="361">
        <v>1</v>
      </c>
      <c r="AG90" s="47"/>
      <c r="AH90" s="47"/>
      <c r="AI90" s="59"/>
      <c r="AJ90" s="43"/>
      <c r="AK90" s="63"/>
      <c r="AL90" s="76"/>
    </row>
    <row r="91" spans="1:38" s="980" customFormat="1" ht="14.1" customHeight="1" outlineLevel="2" x14ac:dyDescent="0.2">
      <c r="A91" s="145"/>
      <c r="B91" s="1011" t="s">
        <v>774</v>
      </c>
      <c r="C91" s="1012"/>
      <c r="D91" s="183"/>
      <c r="E91" s="183"/>
      <c r="G91" s="350"/>
      <c r="H91" s="350"/>
      <c r="I91" s="746"/>
      <c r="AF91" s="361">
        <v>1</v>
      </c>
      <c r="AG91" s="47"/>
      <c r="AH91" s="47"/>
      <c r="AI91" s="59"/>
      <c r="AJ91" s="43"/>
      <c r="AK91" s="63"/>
      <c r="AL91" s="76"/>
    </row>
    <row r="92" spans="1:38" s="23" customFormat="1" ht="14.1" customHeight="1" outlineLevel="2" x14ac:dyDescent="0.2">
      <c r="A92" s="145"/>
      <c r="B92" s="440" t="s">
        <v>775</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733</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728</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739</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740</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2"/>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722</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634</v>
      </c>
      <c r="C103" s="546" t="s">
        <v>0</v>
      </c>
      <c r="D103" s="706"/>
      <c r="E103" s="706"/>
      <c r="F103"/>
      <c r="I103" s="746"/>
      <c r="AF103" s="361">
        <f t="shared" ref="AF103:AF114" si="3">IF(S.Notice.Involved="Y",1,0)</f>
        <v>1</v>
      </c>
      <c r="AG103" s="59"/>
      <c r="AH103" s="59"/>
      <c r="AI103" s="59"/>
      <c r="AJ103" s="59"/>
      <c r="AK103" s="58"/>
      <c r="AL103" s="76"/>
    </row>
    <row r="104" spans="1:38" s="23" customFormat="1" ht="14.1" customHeight="1" outlineLevel="2" x14ac:dyDescent="0.2">
      <c r="A104" s="145"/>
      <c r="B104" s="786" t="s">
        <v>635</v>
      </c>
      <c r="C104" s="546"/>
      <c r="D104" s="706"/>
      <c r="E104" s="706"/>
      <c r="F104"/>
      <c r="I104" s="746"/>
      <c r="AF104" s="361">
        <f t="shared" si="3"/>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3"/>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636</v>
      </c>
      <c r="C106" s="546"/>
      <c r="D106" s="706"/>
      <c r="E106" s="706"/>
      <c r="F106"/>
      <c r="I106" s="746"/>
      <c r="AF106" s="361">
        <f t="shared" si="3"/>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3"/>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631</v>
      </c>
      <c r="C108" s="546"/>
      <c r="D108" s="706"/>
      <c r="E108" s="706"/>
      <c r="F108"/>
      <c r="I108" s="746"/>
      <c r="AF108" s="361">
        <f t="shared" si="3"/>
        <v>1</v>
      </c>
      <c r="AG108" s="59"/>
      <c r="AH108" s="59"/>
      <c r="AI108" s="59"/>
      <c r="AJ108" s="59"/>
      <c r="AK108" s="58"/>
      <c r="AL108" s="76"/>
    </row>
    <row r="109" spans="1:38" s="23" customFormat="1" ht="14.1" customHeight="1" outlineLevel="2" x14ac:dyDescent="0.2">
      <c r="A109" s="145"/>
      <c r="B109" s="450" t="s">
        <v>630</v>
      </c>
      <c r="C109" s="546"/>
      <c r="D109" s="706"/>
      <c r="E109" s="706"/>
      <c r="F109"/>
      <c r="I109" s="746"/>
      <c r="AF109" s="361">
        <f t="shared" si="3"/>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632</v>
      </c>
      <c r="C111" s="546"/>
      <c r="D111" s="706"/>
      <c r="E111" s="706"/>
      <c r="F111"/>
      <c r="I111" s="746"/>
      <c r="AF111" s="361">
        <f t="shared" si="3"/>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633</v>
      </c>
      <c r="C113" s="546"/>
      <c r="D113" s="706"/>
      <c r="E113" s="706"/>
      <c r="F113"/>
      <c r="I113" s="746"/>
      <c r="AF113" s="361">
        <f t="shared" si="3"/>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3"/>
        <v>1</v>
      </c>
      <c r="AG114" s="59"/>
      <c r="AH114" s="59"/>
      <c r="AI114" s="59"/>
      <c r="AJ114" s="59"/>
      <c r="AK114" s="982"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customHeight="1" outlineLevel="2" x14ac:dyDescent="0.2">
      <c r="A117" s="145"/>
      <c r="B117" s="267" t="str">
        <f t="shared" ref="B117:B122" si="4">AK117</f>
        <v>DavidC discusses developing concept for DEQ Rulemaking Plan with Wendy</v>
      </c>
      <c r="C117" s="97" t="s">
        <v>0</v>
      </c>
      <c r="D117" s="200" t="s">
        <v>0</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4"/>
        <v>Wendy approves concept development work</v>
      </c>
      <c r="C118" s="97" t="s">
        <v>0</v>
      </c>
      <c r="D118" s="200" t="s">
        <v>0</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4"/>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4"/>
        <v>* assigns subject expert for the rulemaking</v>
      </c>
      <c r="C120" s="195" t="s">
        <v>0</v>
      </c>
      <c r="D120" s="200" t="s">
        <v>0</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4"/>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4"/>
        <v>* identify existing Q-Time number for concept development work</v>
      </c>
      <c r="C122" s="195" t="s">
        <v>0</v>
      </c>
      <c r="D122" s="200" t="s">
        <v>0</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531</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718</v>
      </c>
      <c r="C125" s="195" t="s">
        <v>0</v>
      </c>
      <c r="D125" s="200" t="s">
        <v>0</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529</v>
      </c>
      <c r="C126" s="510" t="str">
        <f>HYPERLINK("\\deqhq1\Rule_Development\Currrent Plan\AQ-CFP.P2-Cory Ann Wind","i")</f>
        <v>i</v>
      </c>
      <c r="D126" s="194" t="s">
        <v>0</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530</v>
      </c>
      <c r="C127" s="914" t="s">
        <v>725</v>
      </c>
      <c r="D127" s="194" t="s">
        <v>0</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0</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0</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532</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533</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534</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536</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535</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537</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538</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541</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543</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542</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4.1" customHeight="1" outlineLevel="2" x14ac:dyDescent="0.2">
      <c r="A155" s="145"/>
      <c r="B155" s="276" t="s">
        <v>720</v>
      </c>
      <c r="C155" s="564"/>
      <c r="D155" s="194"/>
      <c r="E155" s="880"/>
      <c r="G155" s="90" t="s">
        <v>0</v>
      </c>
      <c r="H155" s="90"/>
      <c r="I155" s="746"/>
      <c r="AF155" s="361">
        <f>IF(S.Planning.DecisionToAddToPlan="A",1,0)</f>
        <v>1</v>
      </c>
      <c r="AG155" s="58"/>
      <c r="AH155" s="58"/>
      <c r="AI155" s="59"/>
      <c r="AJ155" s="62"/>
      <c r="AK155" s="72" t="s">
        <v>0</v>
      </c>
      <c r="AL155" s="76"/>
    </row>
    <row r="156" spans="1:51" s="23" customFormat="1" ht="14.1" customHeight="1" outlineLevel="2" x14ac:dyDescent="0.2">
      <c r="A156" s="145"/>
      <c r="B156" s="902" t="s">
        <v>721</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687</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724</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540</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5">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5"/>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5"/>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5"/>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5"/>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5"/>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539</v>
      </c>
      <c r="C170" s="541" t="s">
        <v>115</v>
      </c>
      <c r="D170" s="188"/>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719</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551</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549</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550</v>
      </c>
      <c r="C180" s="564"/>
      <c r="D180" s="707"/>
      <c r="E180" s="707"/>
      <c r="F180"/>
      <c r="G180" s="90" t="s">
        <v>0</v>
      </c>
      <c r="H180" s="90"/>
      <c r="I180" s="746"/>
      <c r="AF180" s="361">
        <f t="shared" ref="AF180:AF191" si="6">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c r="E181" s="883"/>
      <c r="F181"/>
      <c r="G181" s="90" t="s">
        <v>0</v>
      </c>
      <c r="H181" s="190">
        <f>AH181</f>
        <v>41820</v>
      </c>
      <c r="I181" s="746"/>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c r="E182" s="883"/>
      <c r="F182"/>
      <c r="G182" s="90" t="s">
        <v>0</v>
      </c>
      <c r="H182" s="190">
        <f>AH182</f>
        <v>41820</v>
      </c>
      <c r="I182" s="746"/>
      <c r="AF182" s="361">
        <f t="shared" si="6"/>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c r="E183" s="883"/>
      <c r="F183"/>
      <c r="G183" s="190">
        <f>AG183</f>
        <v>41820</v>
      </c>
      <c r="H183" s="190">
        <f>AH183</f>
        <v>41820</v>
      </c>
      <c r="I183" s="746"/>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541</v>
      </c>
      <c r="C184" s="564"/>
      <c r="D184" s="707"/>
      <c r="E184" s="707"/>
      <c r="F184" s="89"/>
      <c r="G184" s="90" t="s">
        <v>0</v>
      </c>
      <c r="H184" s="90"/>
      <c r="I184" s="746"/>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x14ac:dyDescent="0.25">
      <c r="A185" s="145"/>
      <c r="B185" s="302" t="s">
        <v>543</v>
      </c>
      <c r="C185" s="564"/>
      <c r="D185" s="707"/>
      <c r="E185" s="707"/>
      <c r="F185" s="89"/>
      <c r="G185" s="90" t="s">
        <v>0</v>
      </c>
      <c r="H185" s="90"/>
      <c r="I185" s="746"/>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x14ac:dyDescent="0.25">
      <c r="A186" s="145" t="s">
        <v>0</v>
      </c>
      <c r="B186" s="302" t="s">
        <v>542</v>
      </c>
      <c r="C186" s="564"/>
      <c r="D186" s="707"/>
      <c r="E186" s="707"/>
      <c r="F186" s="89"/>
      <c r="G186" s="90" t="s">
        <v>0</v>
      </c>
      <c r="H186" s="90"/>
      <c r="I186" s="746"/>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x14ac:dyDescent="0.25">
      <c r="A187" s="145" t="s">
        <v>0</v>
      </c>
      <c r="B187" s="302" t="s">
        <v>552</v>
      </c>
      <c r="C187" s="564"/>
      <c r="D187" s="707"/>
      <c r="E187" s="707"/>
      <c r="F187" s="89"/>
      <c r="G187" s="90" t="s">
        <v>0</v>
      </c>
      <c r="H187" s="90"/>
      <c r="I187" s="746"/>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0</v>
      </c>
      <c r="E190" s="884"/>
      <c r="F190"/>
      <c r="G190" s="190">
        <f>AG190</f>
        <v>41820</v>
      </c>
      <c r="H190" s="190">
        <f>AH190</f>
        <v>41820</v>
      </c>
      <c r="I190" s="746"/>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6"/>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205</v>
      </c>
      <c r="D192" s="706"/>
      <c r="E192" s="706"/>
      <c r="F192"/>
      <c r="G192"/>
      <c r="H192"/>
      <c r="I192" s="746"/>
      <c r="J192"/>
      <c r="K192"/>
      <c r="L192"/>
      <c r="M192"/>
      <c r="N192"/>
      <c r="O192"/>
      <c r="P192"/>
      <c r="Q192"/>
      <c r="R192"/>
      <c r="S192"/>
      <c r="T192"/>
      <c r="U192"/>
      <c r="X192"/>
      <c r="AB192"/>
      <c r="AC192"/>
      <c r="AF192" s="361">
        <f>IF(S.Planning.CommunicationsPlan="Y",1,0)</f>
        <v>0</v>
      </c>
      <c r="AG192" s="59"/>
      <c r="AH192" s="59"/>
      <c r="AI192" s="912" t="str">
        <f>IF(AND(S.Planning.CommunicationsPlan="Y",S.Planning.MessageMap="Y",S.Notice.NewsRelease="Y"),"Y","N")</f>
        <v>N</v>
      </c>
      <c r="AJ192" s="62"/>
      <c r="AK192" s="44"/>
      <c r="AL192" s="76"/>
    </row>
    <row r="193" spans="1:39" s="23" customFormat="1" ht="15.75" customHeight="1" outlineLevel="2" thickBot="1" x14ac:dyDescent="0.25">
      <c r="A193" s="145"/>
      <c r="B193" s="730" t="s">
        <v>332</v>
      </c>
      <c r="C193" s="540" t="s">
        <v>205</v>
      </c>
      <c r="D193" s="706"/>
      <c r="E193" s="706"/>
      <c r="F193"/>
      <c r="G193"/>
      <c r="H193"/>
      <c r="I193" s="746"/>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x14ac:dyDescent="0.25">
      <c r="A194" s="145"/>
      <c r="B194" s="730" t="s">
        <v>581</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609</v>
      </c>
      <c r="C195" s="540" t="s">
        <v>205</v>
      </c>
      <c r="D195" s="706"/>
      <c r="E195" s="706"/>
      <c r="F195" s="257" t="s">
        <v>0</v>
      </c>
      <c r="G195" s="258"/>
      <c r="H195" s="258"/>
      <c r="I195" s="746"/>
      <c r="AF195" s="361">
        <f>IF(S.Notice.NewsRelease="Y",1,0)</f>
        <v>0</v>
      </c>
      <c r="AG195" s="58" t="s">
        <v>0</v>
      </c>
      <c r="AH195" s="58"/>
      <c r="AI195" s="58"/>
      <c r="AJ195" s="66"/>
      <c r="AK195" s="44"/>
      <c r="AL195" s="76"/>
    </row>
    <row r="196" spans="1:39" s="23" customFormat="1" ht="15" customHeight="1" outlineLevel="2" thickBot="1" x14ac:dyDescent="0.25">
      <c r="A196" s="145"/>
      <c r="B196" s="730" t="s">
        <v>333</v>
      </c>
      <c r="C196" s="540" t="s">
        <v>205</v>
      </c>
      <c r="D196" s="706"/>
      <c r="E196" s="706"/>
      <c r="F196" s="257" t="s">
        <v>0</v>
      </c>
      <c r="G196" s="258"/>
      <c r="H196" s="258"/>
      <c r="I196" s="746"/>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x14ac:dyDescent="0.25">
      <c r="A197" s="145"/>
      <c r="B197" s="736" t="s">
        <v>334</v>
      </c>
      <c r="C197" s="540" t="s">
        <v>205</v>
      </c>
      <c r="D197" s="706"/>
      <c r="E197" s="706"/>
      <c r="F197" s="262"/>
      <c r="G197" s="258" t="s">
        <v>0</v>
      </c>
      <c r="H197" s="258"/>
      <c r="I197" s="746"/>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customHeight="1" outlineLevel="3" x14ac:dyDescent="0.2">
      <c r="A199" s="145"/>
      <c r="B199" s="795" t="s">
        <v>637</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x14ac:dyDescent="0.2">
      <c r="A202" s="145"/>
      <c r="B202" s="521" t="s">
        <v>544</v>
      </c>
      <c r="C202" s="732" t="s">
        <v>0</v>
      </c>
      <c r="D202" s="733"/>
      <c r="E202" s="885"/>
      <c r="F202"/>
      <c r="G202" s="264" t="s">
        <v>0</v>
      </c>
      <c r="I202" s="746"/>
      <c r="AF202" s="361">
        <f>IF(S.Planning.CommunicationsPlan="Y",1,0)</f>
        <v>0</v>
      </c>
      <c r="AG202" s="58" t="s">
        <v>0</v>
      </c>
      <c r="AH202" s="58"/>
      <c r="AI202" s="47"/>
      <c r="AJ202" s="44"/>
      <c r="AK202" s="44"/>
      <c r="AL202" s="76"/>
    </row>
    <row r="203" spans="1:39" ht="15.75"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customHeight="1" outlineLevel="3" x14ac:dyDescent="0.2">
      <c r="A206" s="145"/>
      <c r="B206" s="519" t="str">
        <f>AK206</f>
        <v>* shares content with Wendy and approves content:</v>
      </c>
      <c r="C206" s="268"/>
      <c r="D206" s="281"/>
      <c r="E206" s="885"/>
      <c r="F206"/>
      <c r="G206" s="256">
        <f t="shared" ref="G206:H211" si="7">AG206</f>
        <v>41820</v>
      </c>
      <c r="H206" s="256">
        <f t="shared" si="7"/>
        <v>41820</v>
      </c>
      <c r="I206" s="746"/>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Wendy and approves content:</v>
      </c>
      <c r="AL206" s="76"/>
    </row>
    <row r="207" spans="1:39" s="23" customFormat="1" ht="15" customHeight="1" outlineLevel="3" thickBot="1" x14ac:dyDescent="0.25">
      <c r="A207" s="145"/>
      <c r="B207" s="521" t="s">
        <v>261</v>
      </c>
      <c r="C207" s="542" t="s">
        <v>0</v>
      </c>
      <c r="D207" s="281"/>
      <c r="E207" s="885"/>
      <c r="F207"/>
      <c r="G207" s="256">
        <f t="shared" si="7"/>
        <v>41820</v>
      </c>
      <c r="H207" s="256">
        <f t="shared" si="7"/>
        <v>41820</v>
      </c>
      <c r="I207" s="746"/>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customHeight="1" outlineLevel="3" thickBot="1" x14ac:dyDescent="0.25">
      <c r="A208" s="145"/>
      <c r="B208" s="449" t="s">
        <v>262</v>
      </c>
      <c r="C208" s="481" t="s">
        <v>16</v>
      </c>
      <c r="D208" s="281"/>
      <c r="E208" s="885"/>
      <c r="F208"/>
      <c r="G208" s="259">
        <f t="shared" si="7"/>
        <v>0</v>
      </c>
      <c r="H208" s="256">
        <f t="shared" si="7"/>
        <v>0</v>
      </c>
      <c r="I208" s="746"/>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customHeight="1" outlineLevel="3" thickBot="1" x14ac:dyDescent="0.25">
      <c r="A209" s="145"/>
      <c r="B209" s="446" t="s">
        <v>263</v>
      </c>
      <c r="C209" s="481" t="s">
        <v>16</v>
      </c>
      <c r="D209" s="281"/>
      <c r="E209" s="885"/>
      <c r="F209"/>
      <c r="G209" s="259">
        <f t="shared" si="7"/>
        <v>0</v>
      </c>
      <c r="H209" s="256">
        <f t="shared" si="7"/>
        <v>0</v>
      </c>
      <c r="I209" s="746"/>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customHeight="1" outlineLevel="3" thickBot="1" x14ac:dyDescent="0.25">
      <c r="A210" s="145"/>
      <c r="B210" s="522" t="s">
        <v>265</v>
      </c>
      <c r="C210" s="481" t="s">
        <v>16</v>
      </c>
      <c r="D210" s="281"/>
      <c r="E210" s="885"/>
      <c r="F210"/>
      <c r="G210" s="259">
        <f t="shared" si="7"/>
        <v>0</v>
      </c>
      <c r="H210" s="256">
        <f t="shared" si="7"/>
        <v>0</v>
      </c>
      <c r="I210" s="746"/>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customHeight="1" outlineLevel="3" x14ac:dyDescent="0.25">
      <c r="A211" s="145"/>
      <c r="B211" s="518" t="str">
        <f>AK211</f>
        <v>BrianF leads program Web page development:</v>
      </c>
      <c r="C211" s="195" t="s">
        <v>0</v>
      </c>
      <c r="D211" s="281"/>
      <c r="E211" s="885"/>
      <c r="F211"/>
      <c r="G211" s="259">
        <f t="shared" si="7"/>
        <v>41761</v>
      </c>
      <c r="H211" s="256">
        <f t="shared" si="7"/>
        <v>41761</v>
      </c>
      <c r="I211" s="746"/>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BrianF leads program Web page development:</v>
      </c>
      <c r="AL211" s="76"/>
    </row>
    <row r="212" spans="1:38" s="23" customFormat="1" ht="15" customHeight="1" outlineLevel="3" x14ac:dyDescent="0.2">
      <c r="A212" s="145"/>
      <c r="B212" s="519" t="s">
        <v>546</v>
      </c>
      <c r="C212" s="282" t="s">
        <v>0</v>
      </c>
      <c r="D212" s="281"/>
      <c r="E212" s="885"/>
      <c r="F212"/>
      <c r="G212"/>
      <c r="H212"/>
      <c r="I212" s="746"/>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566</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16" t="s">
        <v>579</v>
      </c>
      <c r="E217" s="1016"/>
      <c r="F217" s="1016"/>
      <c r="G217" s="1016"/>
      <c r="H217" s="1016"/>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1001" t="s">
        <v>578</v>
      </c>
      <c r="E218" s="1002"/>
      <c r="F218" s="1002"/>
      <c r="G218" s="750" t="s">
        <v>562</v>
      </c>
      <c r="H218" s="764" t="s">
        <v>563</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781</v>
      </c>
      <c r="C219" s="964" t="s">
        <v>16</v>
      </c>
      <c r="D219" s="1003">
        <v>1</v>
      </c>
      <c r="E219" s="1004"/>
      <c r="F219" s="1004"/>
      <c r="G219" s="253">
        <f t="shared" ref="G219:G227" si="9">AG219</f>
        <v>42024</v>
      </c>
      <c r="H219" s="761" t="s">
        <v>303</v>
      </c>
      <c r="I219" s="746"/>
      <c r="J219"/>
      <c r="K219"/>
      <c r="L219"/>
      <c r="M219"/>
      <c r="N219"/>
      <c r="O219"/>
      <c r="P219"/>
      <c r="Q219"/>
      <c r="R219"/>
      <c r="S219"/>
      <c r="T219"/>
      <c r="U219"/>
      <c r="X219"/>
      <c r="AB219"/>
      <c r="AC219"/>
      <c r="AF219" s="361">
        <f>IF(S.Hearing.1stInvolve="Y",1,0)</f>
        <v>1</v>
      </c>
      <c r="AG219" s="60">
        <f>S.Hearing.1stDate</f>
        <v>42024</v>
      </c>
      <c r="AH219" s="387" t="s">
        <v>66</v>
      </c>
      <c r="AI219" s="34"/>
      <c r="AJ219" s="43"/>
      <c r="AK219" s="43"/>
      <c r="AL219" s="76"/>
    </row>
    <row r="220" spans="1:38" s="23" customFormat="1" ht="15" customHeight="1" outlineLevel="1" x14ac:dyDescent="0.2">
      <c r="A220" s="145"/>
      <c r="B220" s="759" t="str">
        <f t="shared" ref="B220:B226" si="10">"Enter city name"</f>
        <v>Enter city name</v>
      </c>
      <c r="C220" s="965" t="s">
        <v>205</v>
      </c>
      <c r="D220" s="1003">
        <v>2</v>
      </c>
      <c r="E220" s="1004"/>
      <c r="F220" s="1004"/>
      <c r="G220" s="253">
        <f t="shared" si="9"/>
        <v>0</v>
      </c>
      <c r="H220" s="761" t="str">
        <f t="shared" ref="H220:H226" si="11">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0"/>
        <v>Enter city name</v>
      </c>
      <c r="C221" s="965" t="s">
        <v>205</v>
      </c>
      <c r="D221" s="1003">
        <v>3</v>
      </c>
      <c r="E221" s="1004"/>
      <c r="F221" s="1004" t="s">
        <v>0</v>
      </c>
      <c r="G221" s="253">
        <f t="shared" si="9"/>
        <v>0</v>
      </c>
      <c r="H221" s="761" t="str">
        <f t="shared" si="11"/>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0"/>
        <v>Enter city name</v>
      </c>
      <c r="C222" s="966" t="s">
        <v>205</v>
      </c>
      <c r="D222" s="1003">
        <v>4</v>
      </c>
      <c r="E222" s="1004"/>
      <c r="F222" s="1004" t="s">
        <v>0</v>
      </c>
      <c r="G222" s="253">
        <f t="shared" si="9"/>
        <v>0</v>
      </c>
      <c r="H222" s="761" t="str">
        <f t="shared" si="11"/>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0"/>
        <v>Enter city name</v>
      </c>
      <c r="C223" s="965" t="s">
        <v>205</v>
      </c>
      <c r="D223" s="1003">
        <v>5</v>
      </c>
      <c r="E223" s="1004"/>
      <c r="F223" s="1004" t="s">
        <v>0</v>
      </c>
      <c r="G223" s="253">
        <f t="shared" si="9"/>
        <v>0</v>
      </c>
      <c r="H223" s="761" t="str">
        <f t="shared" si="11"/>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0"/>
        <v>Enter city name</v>
      </c>
      <c r="C224" s="965" t="s">
        <v>205</v>
      </c>
      <c r="D224" s="1003">
        <v>6</v>
      </c>
      <c r="E224" s="1004"/>
      <c r="F224" s="1004" t="s">
        <v>0</v>
      </c>
      <c r="G224" s="253">
        <f t="shared" si="9"/>
        <v>0</v>
      </c>
      <c r="H224" s="761" t="str">
        <f t="shared" si="11"/>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0"/>
        <v>Enter city name</v>
      </c>
      <c r="C225" s="965" t="s">
        <v>205</v>
      </c>
      <c r="D225" s="1003">
        <v>7</v>
      </c>
      <c r="E225" s="1004"/>
      <c r="F225" s="1004" t="s">
        <v>0</v>
      </c>
      <c r="G225" s="253">
        <f t="shared" si="9"/>
        <v>0</v>
      </c>
      <c r="H225" s="761" t="str">
        <f t="shared" si="11"/>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0"/>
        <v>Enter city name</v>
      </c>
      <c r="C226" s="967" t="s">
        <v>205</v>
      </c>
      <c r="D226" s="1003" t="s">
        <v>0</v>
      </c>
      <c r="E226" s="1004"/>
      <c r="F226" s="1004" t="s">
        <v>0</v>
      </c>
      <c r="G226" s="253">
        <f t="shared" si="9"/>
        <v>0</v>
      </c>
      <c r="H226" s="761" t="str">
        <f t="shared" si="11"/>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564</v>
      </c>
      <c r="C227" s="760"/>
      <c r="D227" s="766"/>
      <c r="E227" s="886"/>
      <c r="F227" s="823" t="s">
        <v>0</v>
      </c>
      <c r="G227" s="765">
        <f t="shared" si="9"/>
        <v>42024</v>
      </c>
      <c r="H227" s="762"/>
      <c r="I227" s="746"/>
      <c r="J227"/>
      <c r="K227"/>
      <c r="L227"/>
      <c r="M227"/>
      <c r="N227"/>
      <c r="O227"/>
      <c r="P227"/>
      <c r="Q227"/>
      <c r="R227"/>
      <c r="S227"/>
      <c r="T227"/>
      <c r="U227"/>
      <c r="X227"/>
      <c r="AB227"/>
      <c r="AC227"/>
      <c r="AF227" s="361">
        <f>IF(S.Hearing.1stInvolve="Y",1,0)</f>
        <v>1</v>
      </c>
      <c r="AG227" s="60">
        <f>IF(AF227=0,,MAX(G219:G226))</f>
        <v>42024</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42024</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42024</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577</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c r="E233" s="751"/>
      <c r="F233"/>
      <c r="G233" s="256">
        <f t="shared" ref="G233" si="12">AG233</f>
        <v>41820</v>
      </c>
      <c r="H233" s="256">
        <f t="shared" ref="H233:H251" si="13">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590</v>
      </c>
      <c r="C234" s="549"/>
      <c r="D234" s="325"/>
      <c r="E234" s="325"/>
      <c r="F234" s="257"/>
      <c r="G234" s="968"/>
      <c r="H234" s="968"/>
      <c r="I234" s="746"/>
      <c r="AF234" s="361">
        <f>IF(AND(S.Notice.Involved="Y",S.Notice.AD.Involved="Y"),1,0)</f>
        <v>1</v>
      </c>
      <c r="AG234" s="59"/>
      <c r="AH234" s="59"/>
      <c r="AI234" s="59"/>
      <c r="AJ234" s="59"/>
      <c r="AK234" s="44"/>
      <c r="AL234" s="76"/>
    </row>
    <row r="235" spans="1:39" s="23" customFormat="1" ht="15" customHeight="1" outlineLevel="1" thickBot="1" x14ac:dyDescent="0.25">
      <c r="A235" s="145"/>
      <c r="C235" s="994" t="s">
        <v>591</v>
      </c>
      <c r="D235" s="994"/>
      <c r="E235" s="994"/>
      <c r="F235" s="994"/>
      <c r="G235" s="994"/>
      <c r="H235" s="994"/>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578</v>
      </c>
      <c r="D236" s="770" t="s">
        <v>400</v>
      </c>
      <c r="E236" s="770"/>
      <c r="F236" s="770"/>
      <c r="G236" s="770"/>
      <c r="H236" s="771" t="s">
        <v>602</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69">
        <v>1</v>
      </c>
      <c r="D237" s="995" t="s">
        <v>594</v>
      </c>
      <c r="E237" s="996"/>
      <c r="F237" s="996"/>
      <c r="G237" s="997"/>
      <c r="H237" s="767">
        <f t="shared" si="13"/>
        <v>41989</v>
      </c>
      <c r="I237" s="746"/>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6">AK238</f>
        <v>NOTICE.AD2RegisterGuard</v>
      </c>
      <c r="C238" s="969">
        <v>2</v>
      </c>
      <c r="D238" s="995" t="s">
        <v>596</v>
      </c>
      <c r="E238" s="996"/>
      <c r="F238" s="996"/>
      <c r="G238" s="997"/>
      <c r="H238" s="767">
        <f t="shared" si="13"/>
        <v>41989</v>
      </c>
      <c r="I238" s="746"/>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NOTICE.AD2RegisterGuard</v>
      </c>
      <c r="AL238" s="76"/>
    </row>
    <row r="239" spans="1:39" s="23" customFormat="1" ht="15" customHeight="1" outlineLevel="1" x14ac:dyDescent="0.2">
      <c r="A239" s="145"/>
      <c r="B239" s="755" t="str">
        <f t="shared" si="16"/>
        <v>NOTICE.AD3MailTribune</v>
      </c>
      <c r="C239" s="969">
        <v>3</v>
      </c>
      <c r="D239" s="995" t="s">
        <v>597</v>
      </c>
      <c r="E239" s="996"/>
      <c r="F239" s="996"/>
      <c r="G239" s="997"/>
      <c r="H239" s="767">
        <f t="shared" si="13"/>
        <v>41989</v>
      </c>
      <c r="I239" s="746"/>
      <c r="J239"/>
      <c r="K239"/>
      <c r="L239"/>
      <c r="M239"/>
      <c r="N239"/>
      <c r="O239"/>
      <c r="P239"/>
      <c r="Q239"/>
      <c r="R239"/>
      <c r="S239"/>
      <c r="T239"/>
      <c r="U239"/>
      <c r="X239"/>
      <c r="AB239"/>
      <c r="AC239"/>
      <c r="AF239" s="361">
        <f t="shared" si="14"/>
        <v>1</v>
      </c>
      <c r="AG239" s="59"/>
      <c r="AH239" s="60">
        <f t="shared" si="15"/>
        <v>41989</v>
      </c>
      <c r="AI239" s="59"/>
      <c r="AJ239" s="59"/>
      <c r="AK239" s="182" t="str">
        <f t="shared" si="17"/>
        <v>NOTICE.AD3MailTribune</v>
      </c>
      <c r="AL239" s="76"/>
    </row>
    <row r="240" spans="1:39" s="23" customFormat="1" ht="15" customHeight="1" outlineLevel="1" x14ac:dyDescent="0.2">
      <c r="A240" s="145"/>
      <c r="B240" s="755" t="str">
        <f t="shared" si="16"/>
        <v>NOTICE.AD4Other</v>
      </c>
      <c r="C240" s="969">
        <v>4</v>
      </c>
      <c r="D240" s="995" t="s">
        <v>600</v>
      </c>
      <c r="E240" s="996"/>
      <c r="F240" s="996"/>
      <c r="G240" s="997"/>
      <c r="H240" s="767">
        <f t="shared" si="13"/>
        <v>41989</v>
      </c>
      <c r="I240" s="746"/>
      <c r="J240"/>
      <c r="K240"/>
      <c r="L240"/>
      <c r="M240"/>
      <c r="N240"/>
      <c r="O240"/>
      <c r="P240"/>
      <c r="Q240"/>
      <c r="R240"/>
      <c r="S240"/>
      <c r="T240"/>
      <c r="U240"/>
      <c r="X240"/>
      <c r="AB240"/>
      <c r="AC240"/>
      <c r="AF240" s="361">
        <f t="shared" si="14"/>
        <v>1</v>
      </c>
      <c r="AG240" s="59"/>
      <c r="AH240" s="60">
        <f t="shared" si="15"/>
        <v>41989</v>
      </c>
      <c r="AI240" s="59"/>
      <c r="AJ240" s="59"/>
      <c r="AK240" s="182" t="str">
        <f t="shared" si="17"/>
        <v>NOTICE.AD4Other</v>
      </c>
      <c r="AL240" s="76"/>
    </row>
    <row r="241" spans="1:38" s="23" customFormat="1" ht="15" customHeight="1" outlineLevel="1" x14ac:dyDescent="0.2">
      <c r="A241" s="145"/>
      <c r="B241" s="755" t="str">
        <f t="shared" si="16"/>
        <v>NOTICE.AD5None</v>
      </c>
      <c r="C241" s="969">
        <v>5</v>
      </c>
      <c r="D241" s="995" t="s">
        <v>601</v>
      </c>
      <c r="E241" s="996"/>
      <c r="F241" s="996"/>
      <c r="G241" s="997"/>
      <c r="H241" s="767">
        <f t="shared" si="13"/>
        <v>41989</v>
      </c>
      <c r="I241" s="746"/>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customHeight="1" outlineLevel="1" x14ac:dyDescent="0.2">
      <c r="A242" s="145"/>
      <c r="B242" s="755" t="str">
        <f t="shared" si="16"/>
        <v>NOTICE.AD6None</v>
      </c>
      <c r="C242" s="969">
        <v>6</v>
      </c>
      <c r="D242" s="995" t="s">
        <v>601</v>
      </c>
      <c r="E242" s="996"/>
      <c r="F242" s="996"/>
      <c r="G242" s="997"/>
      <c r="H242" s="767">
        <f t="shared" si="13"/>
        <v>41989</v>
      </c>
      <c r="I242" s="746"/>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customHeight="1" outlineLevel="1" x14ac:dyDescent="0.2">
      <c r="A243" s="145"/>
      <c r="B243" s="755" t="str">
        <f t="shared" si="16"/>
        <v>NOTICE.AD7None</v>
      </c>
      <c r="C243" s="969">
        <v>7</v>
      </c>
      <c r="D243" s="995" t="s">
        <v>601</v>
      </c>
      <c r="E243" s="996"/>
      <c r="F243" s="996"/>
      <c r="G243" s="997"/>
      <c r="H243" s="767">
        <f t="shared" si="13"/>
        <v>41989</v>
      </c>
      <c r="I243" s="746"/>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customHeight="1" outlineLevel="1" thickBot="1" x14ac:dyDescent="0.25">
      <c r="A244" s="145"/>
      <c r="B244" s="755" t="str">
        <f t="shared" si="16"/>
        <v>NOTICE.AD8None</v>
      </c>
      <c r="C244" s="970">
        <v>8</v>
      </c>
      <c r="D244" s="1017" t="s">
        <v>601</v>
      </c>
      <c r="E244" s="1017"/>
      <c r="F244" s="1017"/>
      <c r="G244" s="1018"/>
      <c r="H244" s="768">
        <f t="shared" si="13"/>
        <v>41989</v>
      </c>
      <c r="I244" s="746"/>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thickTop="1" x14ac:dyDescent="0.2">
      <c r="A245" s="145"/>
      <c r="B245" s="207"/>
      <c r="C245" s="758"/>
      <c r="D245" s="971"/>
      <c r="E245" s="971"/>
      <c r="F245" s="971"/>
      <c r="G245" s="971"/>
      <c r="H245" s="968"/>
      <c r="I245" s="746"/>
      <c r="AF245" s="361"/>
      <c r="AG245" s="59"/>
      <c r="AH245" s="60"/>
      <c r="AI245" s="59"/>
      <c r="AJ245" s="59"/>
      <c r="AK245" s="44"/>
      <c r="AL245" s="76"/>
    </row>
    <row r="246" spans="1:38" s="23" customFormat="1" ht="15" customHeight="1" outlineLevel="1" x14ac:dyDescent="0.2">
      <c r="A246" s="145" t="s">
        <v>0</v>
      </c>
      <c r="B246" s="221" t="s">
        <v>582</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x14ac:dyDescent="0.2">
      <c r="A247" s="145" t="s">
        <v>0</v>
      </c>
      <c r="B247" s="221" t="s">
        <v>583</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x14ac:dyDescent="0.2">
      <c r="A248" s="145" t="s">
        <v>0</v>
      </c>
      <c r="B248" s="221" t="s">
        <v>584</v>
      </c>
      <c r="C248" s="543"/>
      <c r="D248" s="283"/>
      <c r="E248" s="751"/>
      <c r="F248"/>
      <c r="G248" s="40"/>
      <c r="H248"/>
      <c r="I248" s="746"/>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x14ac:dyDescent="0.2">
      <c r="A249" s="145"/>
      <c r="B249" s="221" t="s">
        <v>585</v>
      </c>
      <c r="C249" s="1031" t="s">
        <v>610</v>
      </c>
      <c r="D249" s="1031"/>
      <c r="E249" s="1031"/>
      <c r="F249" s="1031"/>
      <c r="G249" s="1032"/>
      <c r="H249" s="256">
        <f t="shared" si="13"/>
        <v>41975</v>
      </c>
      <c r="I249" s="746"/>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c r="E250" s="751"/>
      <c r="F250"/>
      <c r="G250" s="256">
        <f t="shared" ref="G250" si="19">AG250</f>
        <v>41820</v>
      </c>
      <c r="H250" s="256">
        <f t="shared" si="13"/>
        <v>41968</v>
      </c>
      <c r="I250" s="746"/>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c r="E251" s="751"/>
      <c r="F251"/>
      <c r="G251" s="256">
        <f t="shared" ref="G251" si="20">AG251</f>
        <v>41820</v>
      </c>
      <c r="H251" s="256">
        <f t="shared" si="13"/>
        <v>41968</v>
      </c>
      <c r="I251" s="746"/>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580</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1">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565</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572</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998" t="str">
        <f>AK259</f>
        <v/>
      </c>
      <c r="G257" s="999"/>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998"/>
      <c r="G258" s="999"/>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998"/>
      <c r="G259" s="999"/>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998"/>
      <c r="G260" s="999"/>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998"/>
      <c r="G261" s="999"/>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545</v>
      </c>
      <c r="C263"/>
      <c r="D263" s="706"/>
      <c r="E263" s="706"/>
      <c r="F263"/>
      <c r="G263"/>
      <c r="H263"/>
      <c r="I263" s="746"/>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554</v>
      </c>
      <c r="C265" s="196"/>
      <c r="D265" s="188" t="s">
        <v>782</v>
      </c>
      <c r="E265" s="883"/>
      <c r="I265" s="746"/>
      <c r="AF265" s="361">
        <f t="shared" si="22"/>
        <v>1</v>
      </c>
      <c r="AG265" s="59"/>
      <c r="AH265" s="59"/>
      <c r="AI265" s="59"/>
      <c r="AJ265" s="43"/>
      <c r="AK265" s="58" t="s">
        <v>0</v>
      </c>
      <c r="AL265" s="76"/>
    </row>
    <row r="266" spans="1:38" s="23" customFormat="1" ht="15.75" customHeight="1" outlineLevel="1" x14ac:dyDescent="0.25">
      <c r="A266" s="145"/>
      <c r="B266" s="269" t="s">
        <v>548</v>
      </c>
      <c r="C266" s="196"/>
      <c r="D266" s="188" t="s">
        <v>782</v>
      </c>
      <c r="E266" s="883"/>
      <c r="I266" s="746"/>
      <c r="AF266" s="361">
        <f t="shared" si="22"/>
        <v>1</v>
      </c>
      <c r="AG266" s="59"/>
      <c r="AH266" s="59"/>
      <c r="AI266" s="59"/>
      <c r="AJ266" s="43"/>
      <c r="AK266" s="58" t="s">
        <v>0</v>
      </c>
      <c r="AL266" s="76"/>
    </row>
    <row r="267" spans="1:38" s="23" customFormat="1" ht="15.75" customHeight="1" outlineLevel="1" x14ac:dyDescent="0.25">
      <c r="A267" s="145"/>
      <c r="B267" s="269" t="s">
        <v>553</v>
      </c>
      <c r="C267" s="196"/>
      <c r="D267" s="188" t="s">
        <v>782</v>
      </c>
      <c r="E267" s="883"/>
      <c r="I267" s="746"/>
      <c r="AF267" s="361">
        <f t="shared" si="22"/>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t="s">
        <v>782</v>
      </c>
      <c r="E268" s="888"/>
      <c r="I268" s="746"/>
      <c r="AF268" s="361">
        <f t="shared" si="22"/>
        <v>1</v>
      </c>
      <c r="AG268" s="59"/>
      <c r="AH268" s="59"/>
      <c r="AI268" s="59"/>
      <c r="AJ268" s="43"/>
      <c r="AK268" s="58" t="s">
        <v>0</v>
      </c>
      <c r="AL268" s="76"/>
    </row>
    <row r="269" spans="1:38" s="23" customFormat="1" ht="15.75" customHeight="1" outlineLevel="1" x14ac:dyDescent="0.2">
      <c r="A269" s="145"/>
      <c r="B269" s="269" t="s">
        <v>547</v>
      </c>
      <c r="C269" s="510" t="str">
        <f>HYPERLINK("http://arcweb.sos.state.or.us/pages/rules/oars_300/oar_340/340_018.html","i")</f>
        <v>i</v>
      </c>
      <c r="D269" s="355" t="s">
        <v>782</v>
      </c>
      <c r="E269" s="888"/>
      <c r="I269" s="746"/>
      <c r="AF269" s="361">
        <f t="shared" si="22"/>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2"/>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t="s">
        <v>782</v>
      </c>
      <c r="E271" s="883"/>
      <c r="F271" s="191"/>
      <c r="H271" s="190">
        <f>AH271</f>
        <v>41820</v>
      </c>
      <c r="I271" s="746"/>
      <c r="AF271" s="361">
        <f t="shared" si="22"/>
        <v>1</v>
      </c>
      <c r="AG271" s="59"/>
      <c r="AH271" s="60">
        <f>S.Planning.AddConceptToPlanDate</f>
        <v>41820</v>
      </c>
      <c r="AI271" s="59"/>
      <c r="AJ271" s="43"/>
      <c r="AK271" s="346"/>
      <c r="AL271" s="76"/>
    </row>
    <row r="272" spans="1:38" s="23" customFormat="1" ht="15.75" customHeight="1" outlineLevel="1" x14ac:dyDescent="0.25">
      <c r="A272" s="145"/>
      <c r="B272" s="318" t="s">
        <v>649</v>
      </c>
      <c r="C272" s="196"/>
      <c r="D272" s="707"/>
      <c r="E272" s="707"/>
      <c r="F272" s="191"/>
      <c r="H272" s="193"/>
      <c r="I272" s="746"/>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x14ac:dyDescent="0.25">
      <c r="A273" s="145"/>
      <c r="B273" s="359" t="s">
        <v>556</v>
      </c>
      <c r="C273" s="184" t="s">
        <v>0</v>
      </c>
      <c r="D273" s="707"/>
      <c r="E273" s="707"/>
      <c r="F273"/>
      <c r="G273"/>
      <c r="H273"/>
      <c r="I273" s="746"/>
      <c r="AF273" s="361">
        <f t="shared" si="22"/>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555</v>
      </c>
      <c r="C275" s="196"/>
      <c r="D275" s="707"/>
      <c r="E275" s="707"/>
      <c r="F275" s="191"/>
      <c r="G275" s="192"/>
      <c r="H275" s="193"/>
      <c r="I275" s="746"/>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x14ac:dyDescent="0.25">
      <c r="A276" s="145"/>
      <c r="B276" s="475" t="s">
        <v>761</v>
      </c>
      <c r="C276" s="196"/>
      <c r="D276" s="707"/>
      <c r="E276" s="707"/>
      <c r="F276" s="191"/>
      <c r="G276" s="192"/>
      <c r="H276" s="193"/>
      <c r="I276" s="746"/>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x14ac:dyDescent="0.25">
      <c r="A277" s="145"/>
      <c r="B277" s="269" t="s">
        <v>557</v>
      </c>
      <c r="C277" s="184" t="s">
        <v>0</v>
      </c>
      <c r="D277" s="187" t="s">
        <v>782</v>
      </c>
      <c r="E277" s="888"/>
      <c r="F277" s="191"/>
      <c r="G277" s="192"/>
      <c r="H277" s="193"/>
      <c r="I277" s="746"/>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x14ac:dyDescent="0.25">
      <c r="A278" s="145"/>
      <c r="B278" s="343" t="s">
        <v>558</v>
      </c>
      <c r="C278" s="196"/>
      <c r="D278" s="707"/>
      <c r="E278" s="707"/>
      <c r="F278" s="191"/>
      <c r="G278" s="192"/>
      <c r="H278" s="193"/>
      <c r="I278" s="746"/>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t="s">
        <v>782</v>
      </c>
      <c r="E279" s="888"/>
      <c r="F279" s="191"/>
      <c r="G279"/>
      <c r="H279" s="190">
        <f>AH279</f>
        <v>41820</v>
      </c>
      <c r="I279" s="746"/>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2"/>
        <v>1</v>
      </c>
      <c r="AG280" s="58"/>
      <c r="AH280" s="58"/>
      <c r="AI280" s="59"/>
      <c r="AJ280" s="49"/>
      <c r="AK280" s="78" t="str">
        <f>S.Staff.AgencyRulesCoordinator&amp;":"</f>
        <v>Maggie:</v>
      </c>
      <c r="AL280" s="76"/>
    </row>
    <row r="281" spans="1:39" s="23" customFormat="1" ht="15.75" customHeight="1" outlineLevel="1" x14ac:dyDescent="0.25">
      <c r="A281" s="145"/>
      <c r="B281" s="269" t="s">
        <v>560</v>
      </c>
      <c r="C281" s="184" t="s">
        <v>0</v>
      </c>
      <c r="D281" s="187" t="s">
        <v>782</v>
      </c>
      <c r="E281" s="888"/>
      <c r="F281" s="191"/>
      <c r="G281"/>
      <c r="H281" s="190">
        <f>AH281</f>
        <v>41820</v>
      </c>
      <c r="I281" s="746"/>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559</v>
      </c>
      <c r="C282" s="184" t="s">
        <v>0</v>
      </c>
      <c r="D282" s="187" t="s">
        <v>782</v>
      </c>
      <c r="E282" s="888"/>
      <c r="F282"/>
      <c r="H282" s="190">
        <f>AH282</f>
        <v>41820</v>
      </c>
      <c r="I282" s="746"/>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t="s">
        <v>782</v>
      </c>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561</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25" t="str">
        <f>AK12</f>
        <v>Advisory Committee - not involved</v>
      </c>
      <c r="C287" s="1025"/>
      <c r="D287" s="1025"/>
      <c r="E287" s="1025"/>
      <c r="F287" s="1025"/>
      <c r="G287" s="1025"/>
      <c r="H287" s="1025"/>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696</v>
      </c>
      <c r="C293" s="544"/>
      <c r="D293" s="283"/>
      <c r="E293" s="751"/>
      <c r="F293"/>
      <c r="G293" s="280"/>
      <c r="H293" s="280"/>
      <c r="I293" s="746"/>
      <c r="AF293" s="362">
        <f t="shared" si="23"/>
        <v>0</v>
      </c>
      <c r="AG293" s="34"/>
      <c r="AH293" s="34" t="s">
        <v>0</v>
      </c>
      <c r="AI293" s="47"/>
      <c r="AJ293" s="43"/>
      <c r="AK293" s="346"/>
      <c r="AL293" s="76"/>
    </row>
    <row r="294" spans="1:39" s="23" customFormat="1" ht="14.1" hidden="1" customHeight="1" outlineLevel="1" x14ac:dyDescent="0.2">
      <c r="A294" s="145"/>
      <c r="B294" s="874" t="s">
        <v>697</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699</v>
      </c>
      <c r="C296" s="545"/>
      <c r="D296" s="283"/>
      <c r="E296" s="751"/>
      <c r="F296"/>
      <c r="G296" s="280"/>
      <c r="H296" s="280"/>
      <c r="I296" s="746"/>
      <c r="AF296" s="362">
        <f t="shared" si="23"/>
        <v>0</v>
      </c>
      <c r="AG296" s="34"/>
      <c r="AH296" s="34" t="s">
        <v>0</v>
      </c>
      <c r="AI296" s="47"/>
      <c r="AJ296" s="43"/>
      <c r="AK296" s="346"/>
      <c r="AL296" s="76"/>
    </row>
    <row r="297" spans="1:39" s="23" customFormat="1" ht="14.1" hidden="1" customHeight="1" outlineLevel="1" x14ac:dyDescent="0.2">
      <c r="A297" s="145"/>
      <c r="B297" s="875" t="s">
        <v>698</v>
      </c>
      <c r="C297" s="268" t="s">
        <v>0</v>
      </c>
      <c r="D297" s="283"/>
      <c r="E297" s="751"/>
      <c r="F297"/>
      <c r="G297" s="280"/>
      <c r="H297" s="280"/>
      <c r="I297" s="746"/>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x14ac:dyDescent="0.2">
      <c r="A298" s="145"/>
      <c r="B298" s="432" t="s">
        <v>690</v>
      </c>
      <c r="C298" s="544"/>
      <c r="D298" s="283"/>
      <c r="E298" s="751"/>
      <c r="F298"/>
      <c r="G298" s="280"/>
      <c r="H298" s="280"/>
      <c r="I298" s="746"/>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x14ac:dyDescent="0.25">
      <c r="A299" s="145"/>
      <c r="B299" s="874" t="s">
        <v>688</v>
      </c>
      <c r="C299" s="509" t="str">
        <f>HYPERLINK("http://www.doj.state.or.us/pdf/public_records_and_meetings_manual.pdf","i")</f>
        <v>i</v>
      </c>
      <c r="D299" s="283"/>
      <c r="E299" s="751"/>
      <c r="F299"/>
      <c r="G299" s="280"/>
      <c r="H299" s="280"/>
      <c r="I299" s="746"/>
      <c r="AF299" s="362">
        <f t="shared" si="23"/>
        <v>0</v>
      </c>
      <c r="AG299" s="34"/>
      <c r="AH299" s="34" t="s">
        <v>0</v>
      </c>
      <c r="AI299" s="47"/>
      <c r="AJ299" s="43"/>
      <c r="AK299" s="34" t="s">
        <v>213</v>
      </c>
      <c r="AL299" s="76"/>
      <c r="AM299"/>
    </row>
    <row r="300" spans="1:39" ht="14.1" hidden="1" customHeight="1" outlineLevel="1" thickBot="1" x14ac:dyDescent="0.25">
      <c r="A300" s="145"/>
      <c r="B300" s="874" t="s">
        <v>689</v>
      </c>
      <c r="C300" s="509" t="str">
        <f>HYPERLINK("http://www.oregonlaws.org/ors/192.630","i")</f>
        <v>i</v>
      </c>
      <c r="D300" s="283"/>
      <c r="E300" s="751"/>
      <c r="F300"/>
      <c r="G300" s="280"/>
      <c r="H300" s="280"/>
      <c r="I300" s="746"/>
      <c r="AF300" s="362">
        <f t="shared" si="23"/>
        <v>0</v>
      </c>
      <c r="AG300" s="34"/>
      <c r="AH300" s="34" t="s">
        <v>0</v>
      </c>
      <c r="AI300" s="47"/>
      <c r="AJ300" s="43"/>
      <c r="AK300" s="443" t="s">
        <v>207</v>
      </c>
      <c r="AL300" s="356" t="s">
        <v>48</v>
      </c>
      <c r="AM300"/>
    </row>
    <row r="301" spans="1:39" s="23" customFormat="1" ht="14.1" hidden="1" customHeight="1" outlineLevel="1" x14ac:dyDescent="0.2">
      <c r="A301" s="145"/>
      <c r="B301" s="874" t="s">
        <v>691</v>
      </c>
      <c r="C301" s="545"/>
      <c r="D301" s="283"/>
      <c r="E301" s="751"/>
      <c r="F301"/>
      <c r="G301" s="280"/>
      <c r="H301" s="280"/>
      <c r="I301" s="746"/>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x14ac:dyDescent="0.2">
      <c r="A302" s="145"/>
      <c r="B302" s="874" t="s">
        <v>692</v>
      </c>
      <c r="C302" s="545"/>
      <c r="D302" s="283"/>
      <c r="E302" s="751"/>
      <c r="F302"/>
      <c r="G302" s="280"/>
      <c r="H302" s="280"/>
      <c r="I302" s="746"/>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x14ac:dyDescent="0.2">
      <c r="A303" s="145"/>
      <c r="B303" s="432" t="s">
        <v>693</v>
      </c>
      <c r="C303" s="544"/>
      <c r="D303" s="283"/>
      <c r="E303" s="751"/>
      <c r="F303"/>
      <c r="G303" s="280"/>
      <c r="H303" s="280"/>
      <c r="I303" s="746"/>
      <c r="AF303" s="362">
        <f t="shared" si="23"/>
        <v>0</v>
      </c>
      <c r="AG303" s="34"/>
      <c r="AH303" s="34" t="s">
        <v>0</v>
      </c>
      <c r="AI303" s="47"/>
      <c r="AJ303" s="43"/>
      <c r="AK303" s="346"/>
      <c r="AL303" s="76"/>
    </row>
    <row r="304" spans="1:39" s="23" customFormat="1" ht="14.1" hidden="1" customHeight="1" outlineLevel="1" x14ac:dyDescent="0.2">
      <c r="A304" s="145"/>
      <c r="B304" s="874" t="s">
        <v>700</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701</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694</v>
      </c>
      <c r="C306" s="545"/>
      <c r="D306" s="283"/>
      <c r="E306" s="751"/>
      <c r="F306"/>
      <c r="G306" s="280"/>
      <c r="H306" s="280"/>
      <c r="I306" s="746"/>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x14ac:dyDescent="0.2">
      <c r="A307" s="145"/>
      <c r="B307" s="875" t="s">
        <v>695</v>
      </c>
      <c r="C307" s="268" t="s">
        <v>0</v>
      </c>
      <c r="D307" s="283"/>
      <c r="E307" s="751"/>
      <c r="F307"/>
      <c r="G307" s="280"/>
      <c r="H307" s="280"/>
      <c r="I307" s="746"/>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3"/>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3"/>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4">AG317</f>
        <v>41761</v>
      </c>
      <c r="H317" s="256">
        <f t="shared" si="24"/>
        <v>41761</v>
      </c>
      <c r="I317" s="746"/>
      <c r="AF317" s="362">
        <f t="shared" si="23"/>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4"/>
        <v>41761</v>
      </c>
      <c r="H318" s="259">
        <f t="shared" si="24"/>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4"/>
        <v>41761</v>
      </c>
      <c r="H319" s="259">
        <f t="shared" si="24"/>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5">AG321</f>
        <v>41761</v>
      </c>
      <c r="H321" s="256">
        <f t="shared" si="25"/>
        <v>41761</v>
      </c>
      <c r="I321" s="746"/>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5"/>
        <v>41761</v>
      </c>
      <c r="H322" s="256">
        <f t="shared" si="25"/>
        <v>41761</v>
      </c>
      <c r="I322" s="746"/>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5"/>
        <v>41761</v>
      </c>
      <c r="H323" s="256">
        <f t="shared" si="25"/>
        <v>41761</v>
      </c>
      <c r="I323" s="746"/>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6"/>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6"/>
        <v>0</v>
      </c>
      <c r="AG327" s="34"/>
      <c r="AH327" s="34" t="s">
        <v>0</v>
      </c>
      <c r="AI327" s="59"/>
      <c r="AJ327" s="59"/>
      <c r="AK327" s="78" t="str">
        <f>S.Staff.Subject.Expert.FirstName&amp;":"</f>
        <v>BrianF:</v>
      </c>
      <c r="AL327" s="76"/>
    </row>
    <row r="328" spans="1:39" s="23" customFormat="1" ht="14.1" hidden="1" customHeight="1" outlineLevel="1" x14ac:dyDescent="0.2">
      <c r="A328" s="145"/>
      <c r="B328" s="318" t="s">
        <v>702</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703</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759</v>
      </c>
      <c r="I332" s="746"/>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2"/>
      <c r="D333" s="283"/>
      <c r="E333" s="751"/>
      <c r="F333"/>
      <c r="G333" s="258"/>
      <c r="H333" s="300"/>
      <c r="I333" s="746"/>
      <c r="AF333" s="362">
        <f t="shared" si="27"/>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2"/>
      <c r="D334" s="283"/>
      <c r="E334" s="283"/>
      <c r="F334"/>
      <c r="G334" s="323">
        <f>AG334</f>
        <v>41761</v>
      </c>
      <c r="H334" s="256">
        <f>AH334</f>
        <v>41761</v>
      </c>
      <c r="I334" s="746"/>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3" t="str">
        <f>HYPERLINK("\\deq000\templates\General\Agenda Template.dotx","i")</f>
        <v>i</v>
      </c>
      <c r="D335" s="357"/>
      <c r="E335" s="751"/>
      <c r="F335"/>
      <c r="G335" s="258"/>
      <c r="H335" s="300"/>
      <c r="I335" s="746"/>
      <c r="AF335" s="362">
        <f t="shared" si="27"/>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4" t="s">
        <v>0</v>
      </c>
      <c r="D336" s="283"/>
      <c r="E336" s="751"/>
      <c r="F336"/>
      <c r="G336" s="258"/>
      <c r="H336" s="300"/>
      <c r="I336" s="746"/>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2"/>
      <c r="D337" s="283"/>
      <c r="E337" s="283"/>
      <c r="F337"/>
      <c r="G337" s="323">
        <f>AG337</f>
        <v>41761</v>
      </c>
      <c r="H337" s="256">
        <f>AH337</f>
        <v>41761</v>
      </c>
      <c r="I337" s="746"/>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2"/>
      <c r="D338" s="283"/>
      <c r="E338" s="283"/>
      <c r="F338"/>
      <c r="G338" s="323">
        <f>AG338</f>
        <v>41761</v>
      </c>
      <c r="H338" s="256">
        <f>AH338</f>
        <v>41761</v>
      </c>
      <c r="I338" s="746"/>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3" t="str">
        <f>HYPERLINK("http://deq05/intranet/contentmanagement/login.asp","i")</f>
        <v>i</v>
      </c>
      <c r="D339" s="710"/>
      <c r="E339" s="889"/>
      <c r="F339"/>
      <c r="G339" s="258"/>
      <c r="H339" s="300"/>
      <c r="I339" s="746"/>
      <c r="AF339" s="362">
        <f t="shared" si="27"/>
        <v>0</v>
      </c>
      <c r="AG339" s="34"/>
      <c r="AH339" s="34" t="s">
        <v>0</v>
      </c>
      <c r="AI339" s="47"/>
      <c r="AJ339" s="43"/>
      <c r="AK339" s="43"/>
      <c r="AL339" s="76"/>
      <c r="AM339"/>
    </row>
    <row r="340" spans="1:39" s="23" customFormat="1" ht="14.1" hidden="1" customHeight="1" outlineLevel="2" x14ac:dyDescent="0.2">
      <c r="A340" s="145"/>
      <c r="B340" s="565" t="s">
        <v>677</v>
      </c>
      <c r="C340" s="974" t="s">
        <v>0</v>
      </c>
      <c r="D340" s="710"/>
      <c r="E340" s="889"/>
      <c r="F340"/>
      <c r="G340" s="258"/>
      <c r="H340" s="300"/>
      <c r="I340" s="746"/>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x14ac:dyDescent="0.2">
      <c r="A341" s="145"/>
      <c r="B341" s="298" t="s">
        <v>183</v>
      </c>
      <c r="C341" s="974" t="s">
        <v>0</v>
      </c>
      <c r="D341" s="283"/>
      <c r="E341" s="751"/>
      <c r="F341"/>
      <c r="G341" s="258"/>
      <c r="H341" s="300"/>
      <c r="I341" s="746"/>
      <c r="AF341" s="362">
        <f t="shared" si="27"/>
        <v>0</v>
      </c>
      <c r="AG341" s="34"/>
      <c r="AH341" s="34" t="s">
        <v>0</v>
      </c>
      <c r="AI341" s="47"/>
      <c r="AJ341" s="43"/>
      <c r="AK341" s="43" t="s">
        <v>346</v>
      </c>
      <c r="AL341" s="76"/>
      <c r="AM341"/>
    </row>
    <row r="342" spans="1:39" ht="14.1" hidden="1" customHeight="1" outlineLevel="2" x14ac:dyDescent="0.2">
      <c r="A342" s="145"/>
      <c r="B342" s="418" t="s">
        <v>119</v>
      </c>
      <c r="C342" s="974" t="s">
        <v>0</v>
      </c>
      <c r="D342" s="283"/>
      <c r="E342" s="283"/>
      <c r="F342"/>
      <c r="G342" s="323">
        <f t="shared" ref="G342:H345" si="28">AG342</f>
        <v>41761</v>
      </c>
      <c r="H342" s="256">
        <f t="shared" si="28"/>
        <v>41761</v>
      </c>
      <c r="I342" s="746"/>
      <c r="AF342" s="362">
        <f t="shared" si="27"/>
        <v>0</v>
      </c>
      <c r="AG342" s="60">
        <f>S.AC.SendInvitation</f>
        <v>41761</v>
      </c>
      <c r="AH342" s="60">
        <f>G342</f>
        <v>41761</v>
      </c>
      <c r="AI342" s="47"/>
      <c r="AJ342" s="43"/>
      <c r="AK342" s="43"/>
      <c r="AL342" s="76"/>
      <c r="AM342"/>
    </row>
    <row r="343" spans="1:39" ht="14.1" hidden="1" customHeight="1" outlineLevel="2" x14ac:dyDescent="0.2">
      <c r="A343" s="145"/>
      <c r="B343" s="418" t="s">
        <v>119</v>
      </c>
      <c r="C343" s="974" t="s">
        <v>0</v>
      </c>
      <c r="D343" s="283"/>
      <c r="E343" s="283"/>
      <c r="F343"/>
      <c r="G343" s="323">
        <f t="shared" si="28"/>
        <v>41761</v>
      </c>
      <c r="H343" s="256">
        <f t="shared" si="28"/>
        <v>41761</v>
      </c>
      <c r="I343" s="746"/>
      <c r="AF343" s="362">
        <f t="shared" si="27"/>
        <v>0</v>
      </c>
      <c r="AG343" s="60">
        <f>S.AC.SendInvitation</f>
        <v>41761</v>
      </c>
      <c r="AH343" s="60">
        <f>G343</f>
        <v>41761</v>
      </c>
      <c r="AI343" s="47"/>
      <c r="AJ343" s="43"/>
      <c r="AK343" s="43"/>
      <c r="AL343" s="76"/>
      <c r="AM343"/>
    </row>
    <row r="344" spans="1:39" ht="14.1" hidden="1" customHeight="1" outlineLevel="2" x14ac:dyDescent="0.2">
      <c r="A344" s="145"/>
      <c r="B344" s="418" t="s">
        <v>119</v>
      </c>
      <c r="C344" s="974" t="s">
        <v>0</v>
      </c>
      <c r="D344" s="283"/>
      <c r="E344" s="283"/>
      <c r="F344"/>
      <c r="G344" s="323">
        <f t="shared" si="28"/>
        <v>41761</v>
      </c>
      <c r="H344" s="256">
        <f t="shared" si="28"/>
        <v>41761</v>
      </c>
      <c r="I344" s="746"/>
      <c r="AF344" s="362">
        <f t="shared" si="27"/>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4" t="s">
        <v>0</v>
      </c>
      <c r="D345" s="283"/>
      <c r="E345" s="283"/>
      <c r="F345"/>
      <c r="G345" s="323">
        <f t="shared" si="28"/>
        <v>41761</v>
      </c>
      <c r="H345" s="256">
        <f t="shared" si="28"/>
        <v>41761</v>
      </c>
      <c r="I345" s="746"/>
      <c r="AF345" s="362">
        <f t="shared" si="27"/>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4" t="s">
        <v>0</v>
      </c>
      <c r="D347" s="325"/>
      <c r="E347" s="325"/>
      <c r="F347"/>
      <c r="G347" s="321"/>
      <c r="H347" s="321"/>
      <c r="I347" s="746"/>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x14ac:dyDescent="0.2">
      <c r="A348" s="145"/>
      <c r="B348" s="446" t="str">
        <f>AK348</f>
        <v>* drafts optional AC.PRESENTATION.06.05.14</v>
      </c>
      <c r="C348" s="973" t="str">
        <f>HYPERLINK("http://deq05/intranet/communication/docs/DEQAgencyTemplate1.potx","i")</f>
        <v>i</v>
      </c>
      <c r="D348" s="357"/>
      <c r="E348" s="357"/>
      <c r="F348"/>
      <c r="G348" s="323">
        <f>AG348</f>
        <v>41761</v>
      </c>
      <c r="H348" s="256">
        <f>AH348</f>
        <v>41761</v>
      </c>
      <c r="I348" s="746"/>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4" t="s">
        <v>0</v>
      </c>
      <c r="D349" s="325"/>
      <c r="E349" s="325"/>
      <c r="F349"/>
      <c r="G349" s="324"/>
      <c r="H349" s="324"/>
      <c r="I349" s="746"/>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x14ac:dyDescent="0.2">
      <c r="A350" s="145"/>
      <c r="B350" s="447" t="s">
        <v>182</v>
      </c>
      <c r="C350" s="974" t="s">
        <v>0</v>
      </c>
      <c r="D350" s="283"/>
      <c r="E350" s="283"/>
      <c r="F350"/>
      <c r="G350" s="323">
        <f>AG350</f>
        <v>41761</v>
      </c>
      <c r="H350" s="256">
        <f>AH350</f>
        <v>41761</v>
      </c>
      <c r="I350" s="746"/>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x14ac:dyDescent="0.2">
      <c r="A351" s="145"/>
      <c r="B351" s="448" t="s">
        <v>215</v>
      </c>
      <c r="C351" s="974" t="s">
        <v>0</v>
      </c>
      <c r="D351" s="283"/>
      <c r="E351" s="283"/>
      <c r="F351"/>
      <c r="G351" s="323">
        <f>AG351</f>
        <v>41761</v>
      </c>
      <c r="H351" s="256">
        <f>AH351</f>
        <v>41761</v>
      </c>
      <c r="I351" s="746"/>
      <c r="AF351" s="362">
        <f t="shared" si="29"/>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5" t="str">
        <f>HYPERLINK("http://deq05/intranet/communication/WebRequests.htm","i")</f>
        <v>i</v>
      </c>
      <c r="D352" s="283"/>
      <c r="E352" s="751"/>
      <c r="F352"/>
      <c r="G352"/>
      <c r="H352"/>
      <c r="I352" s="746"/>
      <c r="AF352" s="362">
        <f t="shared" si="29"/>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4" t="s">
        <v>0</v>
      </c>
      <c r="D353" s="283"/>
      <c r="E353" s="751"/>
      <c r="F353"/>
      <c r="I353" s="746"/>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x14ac:dyDescent="0.2">
      <c r="A354" s="145"/>
      <c r="B354" s="419" t="s">
        <v>121</v>
      </c>
      <c r="C354" s="974"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3"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4"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760</v>
      </c>
      <c r="I357" s="746"/>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2"/>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2"/>
      <c r="D359" s="709"/>
      <c r="E359" s="709"/>
      <c r="F359" s="262"/>
      <c r="G359" s="258"/>
      <c r="H359" s="300"/>
      <c r="I359" s="746"/>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3" t="str">
        <f>HYPERLINK("\\deq000\templates\General\Agenda Template.dotx","i")</f>
        <v>i</v>
      </c>
      <c r="D360" s="357"/>
      <c r="E360" s="357"/>
      <c r="F360" s="255">
        <f t="shared" ref="F360:F367" si="31">NETWORKDAYS(G360,H360,S.DDL_DEQClosed)</f>
        <v>1</v>
      </c>
      <c r="G360" s="323">
        <f t="shared" ref="G360:H367" si="32">AG360</f>
        <v>41802</v>
      </c>
      <c r="H360" s="256">
        <f t="shared" si="32"/>
        <v>41802</v>
      </c>
      <c r="I360" s="746"/>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4" t="s">
        <v>0</v>
      </c>
      <c r="D361" s="283"/>
      <c r="E361" s="283"/>
      <c r="F361" s="255">
        <f t="shared" si="31"/>
        <v>1</v>
      </c>
      <c r="G361" s="323">
        <f t="shared" si="32"/>
        <v>41802</v>
      </c>
      <c r="H361" s="256">
        <f t="shared" si="32"/>
        <v>41802</v>
      </c>
      <c r="I361" s="746"/>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3" t="str">
        <f>HYPERLINK("http://deq05/intranet/contentmanagement/login.asp","i")</f>
        <v>i</v>
      </c>
      <c r="D362" s="710"/>
      <c r="E362" s="710"/>
      <c r="F362" s="255">
        <f t="shared" si="31"/>
        <v>1</v>
      </c>
      <c r="G362" s="323">
        <f t="shared" si="32"/>
        <v>41802</v>
      </c>
      <c r="H362" s="256">
        <f t="shared" si="32"/>
        <v>41802</v>
      </c>
      <c r="I362" s="746"/>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x14ac:dyDescent="0.2">
      <c r="A363" s="145"/>
      <c r="B363" s="298" t="s">
        <v>183</v>
      </c>
      <c r="C363" s="974" t="s">
        <v>0</v>
      </c>
      <c r="D363" s="283"/>
      <c r="E363" s="283"/>
      <c r="F363" s="255">
        <f t="shared" si="31"/>
        <v>1</v>
      </c>
      <c r="G363" s="323">
        <f t="shared" si="32"/>
        <v>41802</v>
      </c>
      <c r="H363" s="256">
        <f t="shared" si="32"/>
        <v>41802</v>
      </c>
      <c r="I363" s="746"/>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x14ac:dyDescent="0.2">
      <c r="A364" s="145"/>
      <c r="B364" s="418" t="s">
        <v>119</v>
      </c>
      <c r="C364" s="974" t="s">
        <v>0</v>
      </c>
      <c r="D364" s="283"/>
      <c r="E364" s="283"/>
      <c r="F364" s="255">
        <f t="shared" si="31"/>
        <v>1</v>
      </c>
      <c r="G364" s="323">
        <f t="shared" si="32"/>
        <v>41802</v>
      </c>
      <c r="H364" s="256">
        <f t="shared" si="32"/>
        <v>41802</v>
      </c>
      <c r="I364" s="746"/>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x14ac:dyDescent="0.2">
      <c r="A365" s="145"/>
      <c r="B365" s="418" t="s">
        <v>119</v>
      </c>
      <c r="C365" s="974" t="s">
        <v>0</v>
      </c>
      <c r="D365" s="283"/>
      <c r="E365" s="283"/>
      <c r="F365" s="255">
        <f t="shared" si="31"/>
        <v>1</v>
      </c>
      <c r="G365" s="323">
        <f t="shared" si="32"/>
        <v>41802</v>
      </c>
      <c r="H365" s="256">
        <f t="shared" si="32"/>
        <v>41802</v>
      </c>
      <c r="I365" s="746"/>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x14ac:dyDescent="0.2">
      <c r="A366" s="145"/>
      <c r="B366" s="418" t="s">
        <v>119</v>
      </c>
      <c r="C366" s="974" t="s">
        <v>0</v>
      </c>
      <c r="D366" s="283"/>
      <c r="E366" s="283"/>
      <c r="F366" s="255">
        <f t="shared" si="31"/>
        <v>1</v>
      </c>
      <c r="G366" s="323">
        <f t="shared" si="32"/>
        <v>41802</v>
      </c>
      <c r="H366" s="256">
        <f t="shared" si="32"/>
        <v>41802</v>
      </c>
      <c r="I366" s="746"/>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x14ac:dyDescent="0.25">
      <c r="A367" s="145"/>
      <c r="B367" s="418" t="s">
        <v>119</v>
      </c>
      <c r="C367" s="974" t="s">
        <v>0</v>
      </c>
      <c r="D367" s="283"/>
      <c r="E367" s="283"/>
      <c r="F367" s="255">
        <f t="shared" si="31"/>
        <v>1</v>
      </c>
      <c r="G367" s="323">
        <f t="shared" si="32"/>
        <v>41802</v>
      </c>
      <c r="H367" s="256">
        <f t="shared" si="32"/>
        <v>41802</v>
      </c>
      <c r="I367" s="746"/>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4" t="s">
        <v>0</v>
      </c>
      <c r="D369" s="325"/>
      <c r="E369" s="325"/>
      <c r="F369" s="321"/>
      <c r="G369" s="321"/>
      <c r="H369" s="321"/>
      <c r="I369" s="746"/>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x14ac:dyDescent="0.2">
      <c r="A370" s="145"/>
      <c r="B370" s="446" t="str">
        <f>AK370</f>
        <v>* drafts optional AC.PRESENTATION.06.05.14</v>
      </c>
      <c r="C370" s="973"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4" t="s">
        <v>0</v>
      </c>
      <c r="D371" s="325"/>
      <c r="E371" s="325"/>
      <c r="F371" s="324"/>
      <c r="G371" s="324"/>
      <c r="H371" s="324"/>
      <c r="I371" s="746"/>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x14ac:dyDescent="0.2">
      <c r="A372" s="145"/>
      <c r="B372" s="447" t="s">
        <v>182</v>
      </c>
      <c r="C372" s="974" t="s">
        <v>0</v>
      </c>
      <c r="D372" s="283"/>
      <c r="E372" s="283"/>
      <c r="F372" s="255">
        <f>NETWORKDAYS(G372,H372,S.DDL_DEQClosed)</f>
        <v>1</v>
      </c>
      <c r="G372" s="323">
        <f t="shared" ref="G372:H376" si="36">AG372</f>
        <v>41802</v>
      </c>
      <c r="H372" s="256">
        <f t="shared" si="36"/>
        <v>41802</v>
      </c>
      <c r="I372" s="746"/>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x14ac:dyDescent="0.2">
      <c r="A373" s="145"/>
      <c r="B373" s="448" t="s">
        <v>215</v>
      </c>
      <c r="C373" s="974" t="s">
        <v>0</v>
      </c>
      <c r="D373" s="283"/>
      <c r="E373" s="283"/>
      <c r="F373" s="255">
        <f>NETWORKDAYS(G373,H373,S.DDL_DEQClosed)</f>
        <v>1</v>
      </c>
      <c r="G373" s="323">
        <f t="shared" si="36"/>
        <v>41802</v>
      </c>
      <c r="H373" s="256">
        <f t="shared" si="36"/>
        <v>41802</v>
      </c>
      <c r="I373" s="746"/>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5" t="str">
        <f>HYPERLINK("http://deq05/intranet/communication/WebRequests.htm","i")</f>
        <v>i</v>
      </c>
      <c r="D374" s="283"/>
      <c r="E374" s="283"/>
      <c r="F374" s="255">
        <f>NETWORKDAYS(G374,H374,S.DDL_DEQClosed)</f>
        <v>1</v>
      </c>
      <c r="G374" s="323">
        <f t="shared" si="36"/>
        <v>41802</v>
      </c>
      <c r="H374" s="256">
        <f t="shared" si="36"/>
        <v>41802</v>
      </c>
      <c r="I374" s="746"/>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4" t="s">
        <v>0</v>
      </c>
      <c r="D375" s="283"/>
      <c r="E375" s="283"/>
      <c r="F375" s="255">
        <f>NETWORKDAYS(G375,H375,S.DDL_DEQClosed)</f>
        <v>1</v>
      </c>
      <c r="G375" s="323">
        <f t="shared" si="36"/>
        <v>41802</v>
      </c>
      <c r="H375" s="256">
        <f t="shared" si="36"/>
        <v>41802</v>
      </c>
      <c r="I375" s="746"/>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4" t="s">
        <v>0</v>
      </c>
      <c r="D376" s="283"/>
      <c r="E376" s="283"/>
      <c r="F376" s="255">
        <f>NETWORKDAYS(G376,H376,S.DDL_DEQClosed)</f>
        <v>1</v>
      </c>
      <c r="G376" s="323">
        <f t="shared" si="36"/>
        <v>41802</v>
      </c>
      <c r="H376" s="256">
        <f t="shared" si="36"/>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4" t="s">
        <v>0</v>
      </c>
      <c r="D377" s="991" t="s">
        <v>219</v>
      </c>
      <c r="E377" s="991"/>
      <c r="F377" s="991"/>
      <c r="G377" s="992"/>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3"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4"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760</v>
      </c>
      <c r="I380" s="746"/>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2"/>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2"/>
      <c r="D382" s="709"/>
      <c r="E382" s="709"/>
      <c r="F382" s="262"/>
      <c r="G382" s="258"/>
      <c r="H382" s="300"/>
      <c r="I382" s="746"/>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3" t="str">
        <f>HYPERLINK("\\deq000\templates\General\Agenda Template.dotx","i")</f>
        <v>i</v>
      </c>
      <c r="D383" s="357"/>
      <c r="E383" s="357"/>
      <c r="F383" s="255">
        <f t="shared" ref="F383:F390" si="38">NETWORKDAYS(G383,H383,S.DDL_DEQClosed)</f>
        <v>1</v>
      </c>
      <c r="G383" s="323">
        <f t="shared" ref="G383:H390" si="39">AG383</f>
        <v>41836</v>
      </c>
      <c r="H383" s="256">
        <f t="shared" si="39"/>
        <v>41836</v>
      </c>
      <c r="I383" s="746"/>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4" t="s">
        <v>0</v>
      </c>
      <c r="D384" s="283"/>
      <c r="E384" s="283"/>
      <c r="F384" s="255">
        <f t="shared" si="38"/>
        <v>1</v>
      </c>
      <c r="G384" s="323">
        <f t="shared" si="39"/>
        <v>41836</v>
      </c>
      <c r="H384" s="256">
        <f t="shared" si="39"/>
        <v>41836</v>
      </c>
      <c r="I384" s="746"/>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3" t="str">
        <f>HYPERLINK("http://deq05/intranet/contentmanagement/login.asp","i")</f>
        <v>i</v>
      </c>
      <c r="D385" s="710"/>
      <c r="E385" s="710"/>
      <c r="F385" s="255">
        <f t="shared" si="38"/>
        <v>1</v>
      </c>
      <c r="G385" s="323">
        <f t="shared" si="39"/>
        <v>41836</v>
      </c>
      <c r="H385" s="256">
        <f t="shared" si="39"/>
        <v>41836</v>
      </c>
      <c r="I385" s="746"/>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x14ac:dyDescent="0.2">
      <c r="A386" s="145"/>
      <c r="B386" s="298" t="s">
        <v>183</v>
      </c>
      <c r="C386" s="974" t="s">
        <v>0</v>
      </c>
      <c r="D386" s="283"/>
      <c r="E386" s="283"/>
      <c r="F386" s="255">
        <f t="shared" si="38"/>
        <v>1</v>
      </c>
      <c r="G386" s="323">
        <f t="shared" si="39"/>
        <v>41836</v>
      </c>
      <c r="H386" s="256">
        <f t="shared" si="39"/>
        <v>41836</v>
      </c>
      <c r="I386" s="746"/>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x14ac:dyDescent="0.2">
      <c r="A387" s="145"/>
      <c r="B387" s="418" t="s">
        <v>119</v>
      </c>
      <c r="C387" s="974" t="s">
        <v>0</v>
      </c>
      <c r="D387" s="283"/>
      <c r="E387" s="283"/>
      <c r="F387" s="255">
        <f t="shared" si="38"/>
        <v>1</v>
      </c>
      <c r="G387" s="323">
        <f t="shared" si="39"/>
        <v>41836</v>
      </c>
      <c r="H387" s="256">
        <f t="shared" si="39"/>
        <v>41836</v>
      </c>
      <c r="I387" s="746"/>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x14ac:dyDescent="0.2">
      <c r="A388" s="145"/>
      <c r="B388" s="418" t="s">
        <v>119</v>
      </c>
      <c r="C388" s="974" t="s">
        <v>0</v>
      </c>
      <c r="D388" s="283"/>
      <c r="E388" s="283"/>
      <c r="F388" s="255">
        <f t="shared" si="38"/>
        <v>1</v>
      </c>
      <c r="G388" s="323">
        <f t="shared" si="39"/>
        <v>41836</v>
      </c>
      <c r="H388" s="256">
        <f t="shared" si="39"/>
        <v>41836</v>
      </c>
      <c r="I388" s="746"/>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x14ac:dyDescent="0.2">
      <c r="A389" s="145"/>
      <c r="B389" s="418" t="s">
        <v>119</v>
      </c>
      <c r="C389" s="974" t="s">
        <v>0</v>
      </c>
      <c r="D389" s="283"/>
      <c r="E389" s="283"/>
      <c r="F389" s="255">
        <f t="shared" si="38"/>
        <v>1</v>
      </c>
      <c r="G389" s="323">
        <f t="shared" si="39"/>
        <v>41836</v>
      </c>
      <c r="H389" s="256">
        <f t="shared" si="39"/>
        <v>41836</v>
      </c>
      <c r="I389" s="746"/>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x14ac:dyDescent="0.25">
      <c r="A390" s="145"/>
      <c r="B390" s="418" t="s">
        <v>119</v>
      </c>
      <c r="C390" s="974" t="s">
        <v>0</v>
      </c>
      <c r="D390" s="283"/>
      <c r="E390" s="283"/>
      <c r="F390" s="255">
        <f t="shared" si="38"/>
        <v>1</v>
      </c>
      <c r="G390" s="323">
        <f t="shared" si="39"/>
        <v>41836</v>
      </c>
      <c r="H390" s="256">
        <f t="shared" si="39"/>
        <v>41836</v>
      </c>
      <c r="I390" s="746"/>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4" t="s">
        <v>0</v>
      </c>
      <c r="D392" s="325"/>
      <c r="E392" s="325"/>
      <c r="F392" s="321"/>
      <c r="G392" s="321"/>
      <c r="H392" s="321"/>
      <c r="I392" s="746"/>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x14ac:dyDescent="0.2">
      <c r="A393" s="145"/>
      <c r="B393" s="446" t="str">
        <f>AK393</f>
        <v>* drafts optional AC.PRESENTATION.06.05.14</v>
      </c>
      <c r="C393" s="973"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4" t="s">
        <v>0</v>
      </c>
      <c r="D394" s="325"/>
      <c r="E394" s="325"/>
      <c r="F394" s="324"/>
      <c r="G394" s="324"/>
      <c r="H394" s="324"/>
      <c r="I394" s="746"/>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x14ac:dyDescent="0.2">
      <c r="A395" s="145"/>
      <c r="B395" s="447" t="s">
        <v>182</v>
      </c>
      <c r="C395" s="974" t="s">
        <v>0</v>
      </c>
      <c r="D395" s="283"/>
      <c r="E395" s="283"/>
      <c r="F395" s="255">
        <f>NETWORKDAYS(G395,H395,S.DDL_DEQClosed)</f>
        <v>1</v>
      </c>
      <c r="G395" s="323">
        <f t="shared" ref="G395:H399" si="43">AG395</f>
        <v>41836</v>
      </c>
      <c r="H395" s="256">
        <f t="shared" si="43"/>
        <v>41836</v>
      </c>
      <c r="I395" s="746"/>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x14ac:dyDescent="0.2">
      <c r="A396" s="145"/>
      <c r="B396" s="448" t="s">
        <v>215</v>
      </c>
      <c r="C396" s="974" t="s">
        <v>0</v>
      </c>
      <c r="D396" s="283"/>
      <c r="E396" s="283"/>
      <c r="F396" s="255">
        <f>NETWORKDAYS(G396,H396,S.DDL_DEQClosed)</f>
        <v>1</v>
      </c>
      <c r="G396" s="323">
        <f t="shared" si="43"/>
        <v>41836</v>
      </c>
      <c r="H396" s="256">
        <f t="shared" si="43"/>
        <v>41836</v>
      </c>
      <c r="I396" s="746"/>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5" t="str">
        <f>HYPERLINK("http://deq05/intranet/communication/WebRequests.htm","i")</f>
        <v>i</v>
      </c>
      <c r="D397" s="283"/>
      <c r="E397" s="283"/>
      <c r="F397" s="255">
        <f>NETWORKDAYS(G397,H397,S.DDL_DEQClosed)</f>
        <v>1</v>
      </c>
      <c r="G397" s="323">
        <f t="shared" si="43"/>
        <v>41836</v>
      </c>
      <c r="H397" s="256">
        <f t="shared" si="43"/>
        <v>41836</v>
      </c>
      <c r="I397" s="746"/>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4" t="s">
        <v>0</v>
      </c>
      <c r="D398" s="283"/>
      <c r="E398" s="283"/>
      <c r="F398" s="255">
        <f>NETWORKDAYS(G398,H398,S.DDL_DEQClosed)</f>
        <v>1</v>
      </c>
      <c r="G398" s="323">
        <f t="shared" si="43"/>
        <v>41836</v>
      </c>
      <c r="H398" s="256">
        <f t="shared" si="43"/>
        <v>41836</v>
      </c>
      <c r="I398" s="746"/>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4" t="s">
        <v>0</v>
      </c>
      <c r="D399" s="283"/>
      <c r="E399" s="283"/>
      <c r="F399" s="255">
        <f>NETWORKDAYS(G399,H399,S.DDL_DEQClosed)</f>
        <v>1</v>
      </c>
      <c r="G399" s="323">
        <f t="shared" si="43"/>
        <v>41836</v>
      </c>
      <c r="H399" s="256">
        <f t="shared" si="43"/>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4" t="s">
        <v>0</v>
      </c>
      <c r="D400" s="991" t="s">
        <v>218</v>
      </c>
      <c r="E400" s="991"/>
      <c r="F400" s="991"/>
      <c r="G400" s="992"/>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3"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4"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6"/>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5"/>
        <v>1</v>
      </c>
      <c r="G407" s="323">
        <f t="shared" si="46"/>
        <v>41836</v>
      </c>
      <c r="H407" s="256">
        <f t="shared" si="46"/>
        <v>41836</v>
      </c>
      <c r="I407" s="746"/>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5"/>
        <v>1</v>
      </c>
      <c r="G408" s="323">
        <f t="shared" si="46"/>
        <v>41836</v>
      </c>
      <c r="H408" s="256">
        <f t="shared" si="46"/>
        <v>41836</v>
      </c>
      <c r="I408" s="746"/>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x14ac:dyDescent="0.2">
      <c r="A409" s="145"/>
      <c r="B409" s="298" t="s">
        <v>183</v>
      </c>
      <c r="C409" s="268" t="s">
        <v>0</v>
      </c>
      <c r="D409" s="283"/>
      <c r="E409" s="283"/>
      <c r="F409" s="255">
        <f t="shared" si="45"/>
        <v>1</v>
      </c>
      <c r="G409" s="323">
        <f t="shared" si="46"/>
        <v>41836</v>
      </c>
      <c r="H409" s="256">
        <f t="shared" si="46"/>
        <v>41836</v>
      </c>
      <c r="I409" s="746"/>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x14ac:dyDescent="0.2">
      <c r="A410" s="145"/>
      <c r="B410" s="418" t="s">
        <v>119</v>
      </c>
      <c r="C410" s="268" t="s">
        <v>0</v>
      </c>
      <c r="D410" s="283"/>
      <c r="E410" s="283"/>
      <c r="F410" s="255">
        <f t="shared" si="45"/>
        <v>1</v>
      </c>
      <c r="G410" s="323">
        <f t="shared" si="46"/>
        <v>41836</v>
      </c>
      <c r="H410" s="256">
        <f t="shared" si="46"/>
        <v>41836</v>
      </c>
      <c r="I410" s="746"/>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x14ac:dyDescent="0.2">
      <c r="A411" s="145"/>
      <c r="B411" s="418" t="s">
        <v>119</v>
      </c>
      <c r="C411" s="268" t="s">
        <v>0</v>
      </c>
      <c r="D411" s="283"/>
      <c r="E411" s="283"/>
      <c r="F411" s="255">
        <f t="shared" si="45"/>
        <v>1</v>
      </c>
      <c r="G411" s="323">
        <f t="shared" si="46"/>
        <v>41836</v>
      </c>
      <c r="H411" s="256">
        <f t="shared" si="46"/>
        <v>41836</v>
      </c>
      <c r="I411" s="746"/>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x14ac:dyDescent="0.2">
      <c r="A412" s="145"/>
      <c r="B412" s="418" t="s">
        <v>119</v>
      </c>
      <c r="C412" s="268" t="s">
        <v>0</v>
      </c>
      <c r="D412" s="283"/>
      <c r="E412" s="283"/>
      <c r="F412" s="255">
        <f t="shared" si="45"/>
        <v>1</v>
      </c>
      <c r="G412" s="323">
        <f t="shared" si="46"/>
        <v>41836</v>
      </c>
      <c r="H412" s="256">
        <f t="shared" si="46"/>
        <v>41836</v>
      </c>
      <c r="I412" s="746"/>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5"/>
        <v>1</v>
      </c>
      <c r="G413" s="323">
        <f t="shared" si="46"/>
        <v>41836</v>
      </c>
      <c r="H413" s="256">
        <f t="shared" si="46"/>
        <v>41836</v>
      </c>
      <c r="I413" s="746"/>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0">AG418</f>
        <v>41836</v>
      </c>
      <c r="H418" s="256">
        <f t="shared" si="50"/>
        <v>41836</v>
      </c>
      <c r="I418" s="746"/>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0"/>
        <v>41836</v>
      </c>
      <c r="H419" s="256">
        <f t="shared" si="50"/>
        <v>41836</v>
      </c>
      <c r="I419" s="746"/>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6"/>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0"/>
        <v>41836</v>
      </c>
      <c r="H421" s="256">
        <f t="shared" si="50"/>
        <v>41836</v>
      </c>
      <c r="I421" s="746"/>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0"/>
        <v>41836</v>
      </c>
      <c r="H422" s="256">
        <f t="shared" si="50"/>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991" t="s">
        <v>216</v>
      </c>
      <c r="E423" s="991"/>
      <c r="F423" s="991"/>
      <c r="G423" s="992"/>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6"/>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2"/>
        <v>1</v>
      </c>
      <c r="G430" s="323">
        <f t="shared" si="53"/>
        <v>41836</v>
      </c>
      <c r="H430" s="256">
        <f t="shared" si="53"/>
        <v>41836</v>
      </c>
      <c r="I430" s="746"/>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2"/>
        <v>1</v>
      </c>
      <c r="G431" s="323">
        <f t="shared" si="53"/>
        <v>41836</v>
      </c>
      <c r="H431" s="256">
        <f t="shared" si="53"/>
        <v>41836</v>
      </c>
      <c r="I431" s="746"/>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x14ac:dyDescent="0.2">
      <c r="A432" s="145"/>
      <c r="B432" s="298" t="s">
        <v>183</v>
      </c>
      <c r="C432" s="268" t="s">
        <v>0</v>
      </c>
      <c r="D432" s="283"/>
      <c r="E432" s="283"/>
      <c r="F432" s="255">
        <f t="shared" si="52"/>
        <v>1</v>
      </c>
      <c r="G432" s="323">
        <f t="shared" si="53"/>
        <v>41836</v>
      </c>
      <c r="H432" s="256">
        <f t="shared" si="53"/>
        <v>41836</v>
      </c>
      <c r="I432" s="746"/>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x14ac:dyDescent="0.2">
      <c r="A433" s="145"/>
      <c r="B433" s="418" t="s">
        <v>119</v>
      </c>
      <c r="C433" s="268" t="s">
        <v>0</v>
      </c>
      <c r="D433" s="283"/>
      <c r="E433" s="283"/>
      <c r="F433" s="255">
        <f t="shared" si="52"/>
        <v>1</v>
      </c>
      <c r="G433" s="323">
        <f t="shared" si="53"/>
        <v>41836</v>
      </c>
      <c r="H433" s="256">
        <f t="shared" si="53"/>
        <v>41836</v>
      </c>
      <c r="I433" s="746"/>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x14ac:dyDescent="0.2">
      <c r="A434" s="145"/>
      <c r="B434" s="418" t="s">
        <v>119</v>
      </c>
      <c r="C434" s="268" t="s">
        <v>0</v>
      </c>
      <c r="D434" s="283"/>
      <c r="E434" s="283"/>
      <c r="F434" s="255">
        <f t="shared" si="52"/>
        <v>1</v>
      </c>
      <c r="G434" s="323">
        <f t="shared" si="53"/>
        <v>41836</v>
      </c>
      <c r="H434" s="256">
        <f t="shared" si="53"/>
        <v>41836</v>
      </c>
      <c r="I434" s="746"/>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x14ac:dyDescent="0.2">
      <c r="A435" s="145"/>
      <c r="B435" s="418" t="s">
        <v>119</v>
      </c>
      <c r="C435" s="268" t="s">
        <v>0</v>
      </c>
      <c r="D435" s="283"/>
      <c r="E435" s="283"/>
      <c r="F435" s="255">
        <f t="shared" si="52"/>
        <v>1</v>
      </c>
      <c r="G435" s="323">
        <f t="shared" si="53"/>
        <v>41836</v>
      </c>
      <c r="H435" s="256">
        <f t="shared" si="53"/>
        <v>41836</v>
      </c>
      <c r="I435" s="746"/>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2"/>
        <v>1</v>
      </c>
      <c r="G436" s="323">
        <f t="shared" si="53"/>
        <v>41836</v>
      </c>
      <c r="H436" s="256">
        <f t="shared" si="53"/>
        <v>41836</v>
      </c>
      <c r="I436" s="746"/>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7">AG441</f>
        <v>41836</v>
      </c>
      <c r="H441" s="256">
        <f t="shared" si="57"/>
        <v>41836</v>
      </c>
      <c r="I441" s="746"/>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7"/>
        <v>41836</v>
      </c>
      <c r="H442" s="256">
        <f t="shared" si="57"/>
        <v>41836</v>
      </c>
      <c r="I442" s="746"/>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6"/>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7"/>
        <v>41836</v>
      </c>
      <c r="H444" s="256">
        <f t="shared" si="57"/>
        <v>41836</v>
      </c>
      <c r="I444" s="746"/>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7"/>
        <v>41836</v>
      </c>
      <c r="H445" s="256">
        <f t="shared" si="57"/>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991" t="s">
        <v>217</v>
      </c>
      <c r="E446" s="991"/>
      <c r="F446" s="991"/>
      <c r="G446" s="992"/>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19" t="str">
        <f>AK14</f>
        <v>Fees - not involved</v>
      </c>
      <c r="C452" s="1019"/>
      <c r="D452" s="1019"/>
      <c r="E452" s="1019"/>
      <c r="F452" s="1019"/>
      <c r="G452" s="1019"/>
      <c r="H452" s="1019"/>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59">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59"/>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59"/>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59"/>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59"/>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59"/>
        <v>AndreaG coordinates:</v>
      </c>
      <c r="C471" s="268"/>
      <c r="D471" s="268"/>
      <c r="E471" s="268"/>
      <c r="F471" s="262"/>
      <c r="G471" s="258"/>
      <c r="H471" s="258"/>
      <c r="I471" s="746"/>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1">AH475</f>
        <v>0</v>
      </c>
      <c r="I475" s="746"/>
      <c r="AF475" s="361">
        <f t="shared" si="60"/>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2">AK476</f>
        <v>DAS sends BrianF response</v>
      </c>
      <c r="C476" s="282" t="s">
        <v>0</v>
      </c>
      <c r="D476" s="283"/>
      <c r="E476" s="751"/>
      <c r="F476"/>
      <c r="G476"/>
      <c r="H476" s="265">
        <f t="shared" si="61"/>
        <v>0</v>
      </c>
      <c r="I476" s="746"/>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2"/>
        <v>If denied, BrianF coordinates addressing DAS response</v>
      </c>
      <c r="C477" s="282" t="s">
        <v>0</v>
      </c>
      <c r="D477" s="283"/>
      <c r="E477" s="283"/>
      <c r="F477" s="261">
        <f>NETWORKDAYS(G477,H477,S.DDL_DEQClosed)</f>
        <v>0</v>
      </c>
      <c r="G477" s="256">
        <f t="shared" ref="G477:G482" si="63">AG477</f>
        <v>0</v>
      </c>
      <c r="H477" s="263">
        <f t="shared" si="61"/>
        <v>0</v>
      </c>
      <c r="I477" s="746"/>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2"/>
        <v>1st loop of DavidC's approval of response to DAS denial</v>
      </c>
      <c r="C478" s="542" t="s">
        <v>0</v>
      </c>
      <c r="D478" s="283"/>
      <c r="E478" s="283"/>
      <c r="F478" s="261">
        <f>NETWORKDAYS(G478,H478,S.DDL_DEQClosed)</f>
        <v>0</v>
      </c>
      <c r="G478" s="256">
        <f t="shared" si="63"/>
        <v>0</v>
      </c>
      <c r="H478" s="256">
        <f t="shared" si="61"/>
        <v>0</v>
      </c>
      <c r="I478" s="746"/>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2"/>
        <v>2nd loop of DavidC's approval of response to DAS denial</v>
      </c>
      <c r="C479" s="481" t="s">
        <v>205</v>
      </c>
      <c r="D479" s="283"/>
      <c r="E479" s="283"/>
      <c r="F479" s="261">
        <f>NETWORKDAYS(G479,H479,S.DDL_DEQClosed)</f>
        <v>0</v>
      </c>
      <c r="G479" s="256">
        <f t="shared" si="63"/>
        <v>0</v>
      </c>
      <c r="H479" s="256">
        <f t="shared" si="61"/>
        <v>0</v>
      </c>
      <c r="I479" s="746"/>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2"/>
        <v>3rd loop of DavidC's approval of response to DAS denial</v>
      </c>
      <c r="C480" s="481" t="s">
        <v>205</v>
      </c>
      <c r="D480" s="283"/>
      <c r="E480" s="283"/>
      <c r="F480" s="261">
        <f>NETWORKDAYS(G480,H480,S.DDL_DEQClosed)</f>
        <v>0</v>
      </c>
      <c r="G480" s="256">
        <f t="shared" si="63"/>
        <v>0</v>
      </c>
      <c r="H480" s="256">
        <f t="shared" si="61"/>
        <v>0</v>
      </c>
      <c r="I480" s="746"/>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2"/>
        <v>4th loop of DavidC's approval of response to DAS denial</v>
      </c>
      <c r="C481" s="481" t="s">
        <v>205</v>
      </c>
      <c r="D481" s="283"/>
      <c r="E481" s="283"/>
      <c r="F481" s="261">
        <f>NETWORKDAYS(G481,H481,S.DDL_DEQClosed)</f>
        <v>0</v>
      </c>
      <c r="G481" s="256">
        <f t="shared" si="63"/>
        <v>0</v>
      </c>
      <c r="H481" s="256">
        <f t="shared" si="61"/>
        <v>0</v>
      </c>
      <c r="I481" s="746"/>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2"/>
        <v>If approved, BrianF scans and files DAS.PART1.pdf</v>
      </c>
      <c r="C482" s="282" t="s">
        <v>0</v>
      </c>
      <c r="D482" s="283"/>
      <c r="E482" s="751"/>
      <c r="F482"/>
      <c r="G482" s="559">
        <f t="shared" si="63"/>
        <v>0</v>
      </c>
      <c r="H482" s="265">
        <f t="shared" si="61"/>
        <v>0</v>
      </c>
      <c r="I482" s="746"/>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24" t="str">
        <f>AK22</f>
        <v>Public Notice</v>
      </c>
      <c r="C487" s="1024"/>
      <c r="D487" s="1024"/>
      <c r="E487" s="1024"/>
      <c r="F487" s="1024"/>
      <c r="G487" s="1024"/>
      <c r="H487" s="1024"/>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77"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14" t="s">
        <v>0</v>
      </c>
      <c r="C489" s="1014"/>
      <c r="D489" s="1014"/>
      <c r="E489" s="1014"/>
      <c r="F489" s="1014"/>
      <c r="G489" s="175">
        <f>AG489</f>
        <v>41820</v>
      </c>
      <c r="H489" s="126">
        <f>AH489</f>
        <v>42027</v>
      </c>
      <c r="I489" s="746"/>
      <c r="AF489" s="361">
        <f>IF(S.Notice.Involved="Y",1,0)</f>
        <v>1</v>
      </c>
      <c r="AG489" s="60">
        <f>S.Notice.BANNER.Begin</f>
        <v>41820</v>
      </c>
      <c r="AH489" s="60">
        <f>S.Notice.BANNER.End</f>
        <v>42027</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773</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567</v>
      </c>
      <c r="D492" s="706"/>
      <c r="E492" s="706"/>
      <c r="I492" s="746"/>
      <c r="AF492" s="361">
        <f t="shared" ref="AF492:AF510" si="65">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t="s">
        <v>782</v>
      </c>
      <c r="E493" s="890"/>
      <c r="F493" s="23"/>
      <c r="G493" s="943">
        <f t="shared" ref="G493" si="66">AG493</f>
        <v>41820</v>
      </c>
      <c r="H493" s="944">
        <f t="shared" ref="H493" si="67">AH493</f>
        <v>41946</v>
      </c>
      <c r="I493" s="746"/>
      <c r="AF493" s="361">
        <f t="shared" si="65"/>
        <v>1</v>
      </c>
      <c r="AG493" s="567">
        <f>IF(AF493=0,,S.Notice.BANNER.Begin)</f>
        <v>41820</v>
      </c>
      <c r="AH493" s="567">
        <f>IF(AF493=0,,WORKDAY(S.Notice.Submit.ToSponsoringMgr-1,-1,S.DDL_DEQClosed))</f>
        <v>41946</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568</v>
      </c>
      <c r="D494" s="706"/>
      <c r="E494" s="706"/>
      <c r="G494" s="945"/>
      <c r="H494" s="946"/>
      <c r="I494" s="746"/>
      <c r="AF494" s="361">
        <f t="shared" si="65"/>
        <v>1</v>
      </c>
      <c r="AG494" s="59"/>
      <c r="AH494" s="59"/>
      <c r="AI494" s="59"/>
      <c r="AJ494" s="62"/>
      <c r="AK494" s="346"/>
      <c r="AL494" s="76"/>
    </row>
    <row r="495" spans="1:39" s="23" customFormat="1" ht="14.1" hidden="1" customHeight="1" outlineLevel="1" x14ac:dyDescent="0.2">
      <c r="A495" s="145"/>
      <c r="B495" s="424" t="s">
        <v>586</v>
      </c>
      <c r="D495" s="706"/>
      <c r="E495" s="706"/>
      <c r="G495" s="945"/>
      <c r="H495" s="946"/>
      <c r="I495" s="746"/>
      <c r="AF495" s="361">
        <f t="shared" si="65"/>
        <v>1</v>
      </c>
      <c r="AG495" s="59"/>
      <c r="AH495" s="59"/>
      <c r="AI495" s="59"/>
      <c r="AJ495" s="62"/>
      <c r="AK495" s="346"/>
      <c r="AL495" s="76"/>
    </row>
    <row r="496" spans="1:39" s="23" customFormat="1" ht="14.1" hidden="1" customHeight="1" outlineLevel="1" x14ac:dyDescent="0.2">
      <c r="A496" s="145"/>
      <c r="B496" s="220" t="s">
        <v>574</v>
      </c>
      <c r="C496" s="546" t="s">
        <v>0</v>
      </c>
      <c r="D496"/>
      <c r="F496"/>
      <c r="G496" s="945"/>
      <c r="H496" s="946"/>
      <c r="I496" s="746"/>
      <c r="AF496" s="361">
        <f t="shared" si="65"/>
        <v>1</v>
      </c>
      <c r="AG496" s="58"/>
      <c r="AH496" s="58"/>
      <c r="AI496" s="59"/>
      <c r="AJ496" s="59"/>
      <c r="AK496" s="346"/>
      <c r="AL496" s="76"/>
    </row>
    <row r="497" spans="1:38" s="23" customFormat="1" ht="14.1" hidden="1" customHeight="1" outlineLevel="1" x14ac:dyDescent="0.2">
      <c r="A497" s="145"/>
      <c r="B497" s="302" t="s">
        <v>575</v>
      </c>
      <c r="C497" s="543"/>
      <c r="D497"/>
      <c r="F497"/>
      <c r="G497" s="945"/>
      <c r="H497" s="946"/>
      <c r="I497" s="746"/>
      <c r="AF497" s="361">
        <f t="shared" si="65"/>
        <v>1</v>
      </c>
      <c r="AG497" s="58"/>
      <c r="AH497" s="58"/>
      <c r="AI497" s="59"/>
      <c r="AJ497" s="59"/>
      <c r="AK497" s="44"/>
      <c r="AL497" s="76"/>
    </row>
    <row r="498" spans="1:38" s="23" customFormat="1" ht="14.1" hidden="1" customHeight="1" outlineLevel="1" x14ac:dyDescent="0.2">
      <c r="A498" s="145"/>
      <c r="B498" s="772" t="s">
        <v>611</v>
      </c>
      <c r="C498" s="282" t="s">
        <v>0</v>
      </c>
      <c r="D498"/>
      <c r="G498" s="945"/>
      <c r="H498" s="946"/>
      <c r="I498" s="746"/>
      <c r="AF498" s="361">
        <f t="shared" si="65"/>
        <v>1</v>
      </c>
      <c r="AG498" s="58"/>
      <c r="AH498" s="58"/>
      <c r="AI498" s="59"/>
      <c r="AJ498" s="59"/>
      <c r="AK498" s="44"/>
      <c r="AL498" s="76"/>
    </row>
    <row r="499" spans="1:38" s="23" customFormat="1" ht="14.1" hidden="1" customHeight="1" outlineLevel="1" x14ac:dyDescent="0.2">
      <c r="A499" s="145"/>
      <c r="B499" s="772" t="s">
        <v>612</v>
      </c>
      <c r="C499" s="282" t="s">
        <v>0</v>
      </c>
      <c r="D499"/>
      <c r="G499" s="945"/>
      <c r="H499" s="946"/>
      <c r="I499" s="746"/>
      <c r="AF499" s="361">
        <f t="shared" si="65"/>
        <v>1</v>
      </c>
      <c r="AG499" s="58"/>
      <c r="AH499" s="58"/>
      <c r="AI499" s="59"/>
      <c r="AJ499" s="59"/>
      <c r="AK499" s="44"/>
      <c r="AL499" s="76"/>
    </row>
    <row r="500" spans="1:38" s="23" customFormat="1" ht="14.1" hidden="1" customHeight="1" outlineLevel="1" x14ac:dyDescent="0.2">
      <c r="A500" s="145"/>
      <c r="B500" s="772" t="s">
        <v>613</v>
      </c>
      <c r="C500" s="282" t="s">
        <v>0</v>
      </c>
      <c r="D500"/>
      <c r="G500" s="945"/>
      <c r="H500" s="946"/>
      <c r="I500" s="746"/>
      <c r="AF500" s="361">
        <f t="shared" si="65"/>
        <v>1</v>
      </c>
      <c r="AG500" s="58"/>
      <c r="AH500" s="58"/>
      <c r="AI500" s="59"/>
      <c r="AJ500" s="59"/>
      <c r="AK500" s="44"/>
      <c r="AL500" s="76"/>
    </row>
    <row r="501" spans="1:38" s="23" customFormat="1" ht="14.1" hidden="1" customHeight="1" outlineLevel="1" x14ac:dyDescent="0.2">
      <c r="A501" s="145"/>
      <c r="B501" s="772" t="s">
        <v>614</v>
      </c>
      <c r="C501" s="282" t="s">
        <v>0</v>
      </c>
      <c r="G501" s="945"/>
      <c r="H501" s="946"/>
      <c r="I501" s="746"/>
      <c r="AF501" s="361">
        <f t="shared" si="65"/>
        <v>1</v>
      </c>
      <c r="AG501" s="58"/>
      <c r="AH501" s="58"/>
      <c r="AI501" s="59"/>
      <c r="AJ501" s="59"/>
      <c r="AK501" s="44"/>
      <c r="AL501" s="76"/>
    </row>
    <row r="502" spans="1:38" s="23" customFormat="1" ht="14.1" hidden="1" customHeight="1" outlineLevel="1" x14ac:dyDescent="0.2">
      <c r="A502" s="145"/>
      <c r="B502" s="772" t="s">
        <v>615</v>
      </c>
      <c r="C502" s="282" t="s">
        <v>0</v>
      </c>
      <c r="G502" s="945"/>
      <c r="H502" s="946"/>
      <c r="I502" s="746"/>
      <c r="AF502" s="361">
        <f t="shared" si="65"/>
        <v>1</v>
      </c>
      <c r="AG502" s="58"/>
      <c r="AH502" s="58"/>
      <c r="AI502" s="59"/>
      <c r="AJ502" s="59"/>
      <c r="AK502" s="44"/>
      <c r="AL502" s="76"/>
    </row>
    <row r="503" spans="1:38" s="23" customFormat="1" ht="14.1" hidden="1" customHeight="1" outlineLevel="1" x14ac:dyDescent="0.2">
      <c r="A503" s="145"/>
      <c r="B503" s="772" t="s">
        <v>616</v>
      </c>
      <c r="C503" s="282" t="s">
        <v>0</v>
      </c>
      <c r="D503"/>
      <c r="G503" s="945"/>
      <c r="H503" s="946"/>
      <c r="I503" s="746"/>
      <c r="AF503" s="361">
        <f t="shared" si="65"/>
        <v>1</v>
      </c>
      <c r="AG503" s="58"/>
      <c r="AH503" s="58"/>
      <c r="AI503" s="59"/>
      <c r="AJ503" s="59"/>
      <c r="AK503" s="44"/>
      <c r="AL503" s="76"/>
    </row>
    <row r="504" spans="1:38" s="23" customFormat="1" ht="14.1" hidden="1" customHeight="1" outlineLevel="1" x14ac:dyDescent="0.2">
      <c r="A504" s="145"/>
      <c r="B504" s="772" t="s">
        <v>617</v>
      </c>
      <c r="C504" s="282" t="s">
        <v>0</v>
      </c>
      <c r="D504"/>
      <c r="G504" s="945"/>
      <c r="H504" s="946"/>
      <c r="I504" s="746"/>
      <c r="AF504" s="361">
        <f t="shared" si="65"/>
        <v>1</v>
      </c>
      <c r="AG504" s="58"/>
      <c r="AH504" s="567">
        <f>S.Notice.Submit.ToRG</f>
        <v>41949</v>
      </c>
      <c r="AI504" s="59"/>
      <c r="AJ504" s="59"/>
      <c r="AK504" s="44"/>
      <c r="AL504" s="76"/>
    </row>
    <row r="505" spans="1:38" s="23" customFormat="1" ht="14.1" hidden="1" customHeight="1" outlineLevel="1" x14ac:dyDescent="0.2">
      <c r="A505" s="145"/>
      <c r="B505" s="773" t="s">
        <v>618</v>
      </c>
      <c r="C505" s="282" t="s">
        <v>0</v>
      </c>
      <c r="D505"/>
      <c r="G505" s="945"/>
      <c r="H505" s="946"/>
      <c r="I505" s="746"/>
      <c r="AF505" s="361">
        <f t="shared" si="65"/>
        <v>1</v>
      </c>
      <c r="AG505" s="58"/>
      <c r="AH505" s="58"/>
      <c r="AI505" s="59"/>
      <c r="AJ505" s="59"/>
      <c r="AK505" s="44"/>
      <c r="AL505" s="76"/>
    </row>
    <row r="506" spans="1:38" s="23" customFormat="1" ht="14.1" hidden="1" customHeight="1" outlineLevel="1" x14ac:dyDescent="0.2">
      <c r="A506" s="145"/>
      <c r="B506" s="220" t="s">
        <v>576</v>
      </c>
      <c r="C506" s="546" t="s">
        <v>0</v>
      </c>
      <c r="D506"/>
      <c r="F506"/>
      <c r="G506" s="945"/>
      <c r="H506" s="946"/>
      <c r="I506" s="746"/>
      <c r="AF506" s="361">
        <f t="shared" si="65"/>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t="s">
        <v>782</v>
      </c>
      <c r="E507" s="890"/>
      <c r="F507"/>
      <c r="G507" s="947">
        <f t="shared" ref="G507:G520" si="68">AG507</f>
        <v>41820</v>
      </c>
      <c r="H507" s="948">
        <f t="shared" ref="H507:H520" si="69">AH507</f>
        <v>41946</v>
      </c>
      <c r="I507" s="746"/>
      <c r="AF507" s="361">
        <f t="shared" si="65"/>
        <v>1</v>
      </c>
      <c r="AG507" s="567">
        <f>IF(AF507=0,,S.Notice.BANNER.Begin)</f>
        <v>41820</v>
      </c>
      <c r="AH507" s="567">
        <f>IF(AF507=0,,WORKDAY(S.Notice.Submit.ToSponsoringMgr-1,-1,S.DDL_DEQClosed))</f>
        <v>41946</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608</v>
      </c>
      <c r="C508" s="282" t="s">
        <v>0</v>
      </c>
      <c r="G508" s="949"/>
      <c r="H508" s="950"/>
      <c r="I508" s="746"/>
      <c r="AF508" s="361">
        <f t="shared" si="65"/>
        <v>1</v>
      </c>
      <c r="AG508" s="58"/>
      <c r="AH508" s="58"/>
      <c r="AI508" s="59"/>
      <c r="AJ508" s="59"/>
      <c r="AK508" s="44"/>
      <c r="AL508" s="76"/>
    </row>
    <row r="509" spans="1:38" s="23" customFormat="1" ht="14.1" customHeight="1" x14ac:dyDescent="0.2">
      <c r="A509" s="145"/>
      <c r="B509" s="743" t="str">
        <f>AK509</f>
        <v>* Advisory Commiitee not involved</v>
      </c>
      <c r="C509" s="282" t="s">
        <v>0</v>
      </c>
      <c r="D509" s="714" t="s">
        <v>782</v>
      </c>
      <c r="E509" s="891"/>
      <c r="F509"/>
      <c r="G509" s="951">
        <f t="shared" si="68"/>
        <v>41820</v>
      </c>
      <c r="H509" s="952">
        <f t="shared" si="69"/>
        <v>41946</v>
      </c>
      <c r="I509" s="746"/>
      <c r="J509"/>
      <c r="K509"/>
      <c r="L509"/>
      <c r="M509"/>
      <c r="N509"/>
      <c r="O509"/>
      <c r="P509"/>
      <c r="Q509"/>
      <c r="R509"/>
      <c r="S509"/>
      <c r="T509"/>
      <c r="U509"/>
      <c r="X509"/>
      <c r="AB509"/>
      <c r="AC509"/>
      <c r="AF509" s="361">
        <f t="shared" si="65"/>
        <v>1</v>
      </c>
      <c r="AG509" s="567">
        <f>$G$507</f>
        <v>41820</v>
      </c>
      <c r="AH509" s="567">
        <f>$H$507</f>
        <v>41946</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619</v>
      </c>
      <c r="C510" s="282" t="s">
        <v>0</v>
      </c>
      <c r="D510" s="714" t="s">
        <v>782</v>
      </c>
      <c r="E510" s="891"/>
      <c r="F510"/>
      <c r="G510" s="951">
        <f t="shared" si="68"/>
        <v>41820</v>
      </c>
      <c r="H510" s="952">
        <f t="shared" si="69"/>
        <v>41946</v>
      </c>
      <c r="I510" s="746"/>
      <c r="J510"/>
      <c r="K510"/>
      <c r="L510"/>
      <c r="M510"/>
      <c r="N510"/>
      <c r="O510"/>
      <c r="P510"/>
      <c r="Q510"/>
      <c r="R510"/>
      <c r="S510"/>
      <c r="T510"/>
      <c r="U510"/>
      <c r="X510"/>
      <c r="AB510"/>
      <c r="AC510"/>
      <c r="AF510" s="361">
        <f t="shared" si="65"/>
        <v>1</v>
      </c>
      <c r="AG510" s="567">
        <f t="shared" ref="AG510:AG512" si="70">$G$507</f>
        <v>41820</v>
      </c>
      <c r="AH510" s="567">
        <f t="shared" ref="AH510:AH512" si="71">$H$507</f>
        <v>41946</v>
      </c>
      <c r="AI510" s="59"/>
      <c r="AJ510" s="59"/>
      <c r="AK510" s="44"/>
      <c r="AL510" s="76"/>
    </row>
    <row r="511" spans="1:38" s="23" customFormat="1" ht="14.1" hidden="1" customHeight="1" x14ac:dyDescent="0.2">
      <c r="A511" s="145"/>
      <c r="B511" s="320" t="str">
        <f t="shared" ref="B511" si="72">AK511</f>
        <v>* AndreaG, for SIP consultation</v>
      </c>
      <c r="C511" s="546" t="s">
        <v>0</v>
      </c>
      <c r="D511" s="714"/>
      <c r="E511" s="891"/>
      <c r="F511"/>
      <c r="G511" s="951">
        <f t="shared" si="68"/>
        <v>41820</v>
      </c>
      <c r="H511" s="952">
        <f t="shared" si="69"/>
        <v>41946</v>
      </c>
      <c r="I511" s="746"/>
      <c r="J511"/>
      <c r="K511"/>
      <c r="L511"/>
      <c r="M511"/>
      <c r="N511"/>
      <c r="O511"/>
      <c r="P511"/>
      <c r="Q511"/>
      <c r="R511"/>
      <c r="S511"/>
      <c r="T511"/>
      <c r="U511"/>
      <c r="X511"/>
      <c r="AB511"/>
      <c r="AC511"/>
      <c r="AF511" s="361">
        <f>IF(AND(S.SIP.Involved="Y",S.Notice.Involved="Y"),1,0)</f>
        <v>1</v>
      </c>
      <c r="AG511" s="567">
        <f t="shared" si="70"/>
        <v>41820</v>
      </c>
      <c r="AH511" s="567">
        <f t="shared" si="71"/>
        <v>41946</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t="s">
        <v>782</v>
      </c>
      <c r="E512" s="890"/>
      <c r="F512"/>
      <c r="G512" s="951">
        <f t="shared" si="68"/>
        <v>41820</v>
      </c>
      <c r="H512" s="952">
        <f t="shared" si="69"/>
        <v>41946</v>
      </c>
      <c r="I512" s="746"/>
      <c r="AF512" s="361">
        <f t="shared" ref="AF512:AF538" si="73">IF(S.Notice.Involved="Y",1,0)</f>
        <v>1</v>
      </c>
      <c r="AG512" s="567">
        <f t="shared" si="70"/>
        <v>41820</v>
      </c>
      <c r="AH512" s="567">
        <f t="shared" si="71"/>
        <v>41946</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624</v>
      </c>
      <c r="C513" s="282" t="s">
        <v>0</v>
      </c>
      <c r="D513"/>
      <c r="F513"/>
      <c r="G513" s="949"/>
      <c r="H513" s="950"/>
      <c r="I513" s="746"/>
      <c r="AF513" s="361">
        <f t="shared" si="73"/>
        <v>1</v>
      </c>
      <c r="AG513" s="59"/>
      <c r="AH513" s="59"/>
      <c r="AI513" s="59"/>
      <c r="AJ513" s="59"/>
      <c r="AK513" s="44"/>
      <c r="AL513" s="76"/>
    </row>
    <row r="514" spans="1:38" s="23" customFormat="1" ht="14.1" customHeight="1" x14ac:dyDescent="0.2">
      <c r="A514" s="145"/>
      <c r="B514" s="427" t="s">
        <v>625</v>
      </c>
      <c r="C514" s="282" t="s">
        <v>0</v>
      </c>
      <c r="D514"/>
      <c r="F514"/>
      <c r="G514" s="949"/>
      <c r="H514" s="950"/>
      <c r="I514" s="746"/>
      <c r="AF514" s="361">
        <f t="shared" si="73"/>
        <v>1</v>
      </c>
      <c r="AG514" s="59"/>
      <c r="AH514" s="59"/>
      <c r="AI514" s="59"/>
      <c r="AJ514" s="59"/>
      <c r="AK514" s="44"/>
      <c r="AL514" s="76"/>
    </row>
    <row r="515" spans="1:38" s="23" customFormat="1" ht="14.1" customHeight="1" x14ac:dyDescent="0.2">
      <c r="A515" s="145"/>
      <c r="B515" s="269" t="str">
        <f t="shared" ref="B515" si="74">AK515</f>
        <v>* AndreaG for rulemaking best practices consultation</v>
      </c>
      <c r="C515" s="268"/>
      <c r="D515" s="715" t="s">
        <v>782</v>
      </c>
      <c r="E515" s="890"/>
      <c r="F515"/>
      <c r="G515" s="951">
        <f t="shared" si="68"/>
        <v>41820</v>
      </c>
      <c r="H515" s="952">
        <f t="shared" si="69"/>
        <v>41946</v>
      </c>
      <c r="I515" s="746"/>
      <c r="AF515" s="361">
        <f t="shared" si="73"/>
        <v>1</v>
      </c>
      <c r="AG515" s="567">
        <f t="shared" ref="AG515:AG530" si="75">$G$507</f>
        <v>41820</v>
      </c>
      <c r="AH515" s="567">
        <f t="shared" ref="AH515:AH530" si="76">$H$507</f>
        <v>41946</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7">AK516</f>
        <v>-blank-</v>
      </c>
      <c r="C516" s="268"/>
      <c r="D516" s="715"/>
      <c r="E516" s="890"/>
      <c r="F516"/>
      <c r="G516" s="951">
        <f t="shared" si="68"/>
        <v>41820</v>
      </c>
      <c r="H516" s="952">
        <f t="shared" si="69"/>
        <v>41946</v>
      </c>
      <c r="I516" s="746"/>
      <c r="AF516" s="361">
        <f t="shared" si="73"/>
        <v>1</v>
      </c>
      <c r="AG516" s="567">
        <f t="shared" si="75"/>
        <v>41820</v>
      </c>
      <c r="AH516" s="567">
        <f t="shared" si="76"/>
        <v>41946</v>
      </c>
      <c r="AI516" s="58"/>
      <c r="AJ516" s="44"/>
      <c r="AK516" s="182" t="str">
        <f>IF(S.PublicInformartionOfficer.Involved="Y","* "&amp;S.Staff.PublicAffairsOfficer&amp;" for updates to communication plan, message map, news release","-blank-")</f>
        <v>-blank-</v>
      </c>
      <c r="AL516" s="76"/>
    </row>
    <row r="517" spans="1:38" s="23" customFormat="1" ht="14.1" customHeight="1" x14ac:dyDescent="0.2">
      <c r="A517" s="145"/>
      <c r="B517" s="320" t="str">
        <f>AK517</f>
        <v>* PaulG, if needed for legal consultation</v>
      </c>
      <c r="C517" s="546" t="s">
        <v>0</v>
      </c>
      <c r="D517" s="714" t="s">
        <v>782</v>
      </c>
      <c r="E517" s="891"/>
      <c r="F517"/>
      <c r="G517" s="951">
        <f t="shared" si="68"/>
        <v>41820</v>
      </c>
      <c r="H517" s="952">
        <f t="shared" si="69"/>
        <v>41946</v>
      </c>
      <c r="I517" s="746"/>
      <c r="AF517" s="361">
        <f t="shared" si="73"/>
        <v>1</v>
      </c>
      <c r="AG517" s="567">
        <f t="shared" si="75"/>
        <v>41820</v>
      </c>
      <c r="AH517" s="567">
        <f t="shared" si="76"/>
        <v>41946</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569</v>
      </c>
      <c r="C518" s="546" t="s">
        <v>0</v>
      </c>
      <c r="D518" s="714"/>
      <c r="E518" s="891"/>
      <c r="F518"/>
      <c r="G518" s="951">
        <f t="shared" si="68"/>
        <v>41820</v>
      </c>
      <c r="H518" s="952">
        <f t="shared" si="69"/>
        <v>41946</v>
      </c>
      <c r="I518" s="746"/>
      <c r="J518"/>
      <c r="K518"/>
      <c r="L518"/>
      <c r="M518"/>
      <c r="N518"/>
      <c r="O518"/>
      <c r="P518"/>
      <c r="Q518"/>
      <c r="R518"/>
      <c r="S518"/>
      <c r="T518"/>
      <c r="U518"/>
      <c r="X518"/>
      <c r="AB518"/>
      <c r="AC518"/>
      <c r="AF518" s="361">
        <f t="shared" si="73"/>
        <v>1</v>
      </c>
      <c r="AG518" s="567">
        <f t="shared" si="75"/>
        <v>41820</v>
      </c>
      <c r="AH518" s="567">
        <f t="shared" si="76"/>
        <v>41946</v>
      </c>
      <c r="AI518" s="59"/>
      <c r="AJ518" s="59"/>
      <c r="AK518" s="44"/>
      <c r="AL518" s="76"/>
    </row>
    <row r="519" spans="1:38" s="23" customFormat="1" ht="14.1" hidden="1" customHeight="1" outlineLevel="1" x14ac:dyDescent="0.2">
      <c r="A519" s="145"/>
      <c r="B519" s="744" t="s">
        <v>569</v>
      </c>
      <c r="C519" s="546" t="s">
        <v>0</v>
      </c>
      <c r="D519" s="714"/>
      <c r="E519" s="891"/>
      <c r="F519"/>
      <c r="G519" s="951">
        <f t="shared" si="68"/>
        <v>41820</v>
      </c>
      <c r="H519" s="952">
        <f t="shared" si="69"/>
        <v>41946</v>
      </c>
      <c r="I519" s="746"/>
      <c r="J519"/>
      <c r="K519"/>
      <c r="L519"/>
      <c r="M519"/>
      <c r="N519"/>
      <c r="O519"/>
      <c r="P519"/>
      <c r="Q519"/>
      <c r="R519"/>
      <c r="S519"/>
      <c r="T519"/>
      <c r="U519"/>
      <c r="X519"/>
      <c r="AB519"/>
      <c r="AC519"/>
      <c r="AF519" s="361">
        <f t="shared" si="73"/>
        <v>1</v>
      </c>
      <c r="AG519" s="567">
        <f t="shared" si="75"/>
        <v>41820</v>
      </c>
      <c r="AH519" s="567">
        <f t="shared" si="76"/>
        <v>41946</v>
      </c>
      <c r="AI519" s="59"/>
      <c r="AJ519" s="59"/>
      <c r="AK519" s="44"/>
      <c r="AL519" s="76"/>
    </row>
    <row r="520" spans="1:38" s="23" customFormat="1" ht="14.1" hidden="1" customHeight="1" outlineLevel="1" x14ac:dyDescent="0.2">
      <c r="A520" s="145"/>
      <c r="B520" s="744" t="s">
        <v>569</v>
      </c>
      <c r="C520" s="546" t="s">
        <v>0</v>
      </c>
      <c r="D520" s="714"/>
      <c r="E520" s="891"/>
      <c r="F520"/>
      <c r="G520" s="951">
        <f t="shared" si="68"/>
        <v>41820</v>
      </c>
      <c r="H520" s="952">
        <f t="shared" si="69"/>
        <v>41946</v>
      </c>
      <c r="I520" s="746"/>
      <c r="J520"/>
      <c r="K520"/>
      <c r="L520"/>
      <c r="M520"/>
      <c r="N520"/>
      <c r="O520"/>
      <c r="P520"/>
      <c r="Q520"/>
      <c r="R520"/>
      <c r="S520"/>
      <c r="T520"/>
      <c r="U520"/>
      <c r="X520"/>
      <c r="AB520"/>
      <c r="AC520"/>
      <c r="AF520" s="361">
        <f t="shared" si="73"/>
        <v>1</v>
      </c>
      <c r="AG520" s="567">
        <f t="shared" si="75"/>
        <v>41820</v>
      </c>
      <c r="AH520" s="567">
        <f t="shared" si="76"/>
        <v>41946</v>
      </c>
      <c r="AI520" s="59"/>
      <c r="AJ520" s="59"/>
      <c r="AK520" s="44"/>
      <c r="AL520" s="76"/>
    </row>
    <row r="521" spans="1:38" s="23" customFormat="1" ht="14.1" customHeight="1" collapsed="1" thickBot="1" x14ac:dyDescent="0.25">
      <c r="A521" s="145"/>
      <c r="B521" s="267" t="str">
        <f t="shared" ref="B521" si="78">AK521</f>
        <v>BrianF continually refines draft Notice Packet to consider RESOURCES input</v>
      </c>
      <c r="C521" s="268"/>
      <c r="D521" s="715" t="s">
        <v>782</v>
      </c>
      <c r="E521" s="890"/>
      <c r="F521"/>
      <c r="G521" s="953">
        <f>AG521</f>
        <v>41820</v>
      </c>
      <c r="H521" s="954">
        <f t="shared" ref="H521" si="79">AH521</f>
        <v>41946</v>
      </c>
      <c r="I521" s="746"/>
      <c r="AF521" s="361">
        <f t="shared" ref="AF521:AF572" si="80">IF(S.Notice.Involved="Y",1,0)</f>
        <v>1</v>
      </c>
      <c r="AG521" s="567">
        <f t="shared" si="75"/>
        <v>41820</v>
      </c>
      <c r="AH521" s="567">
        <f t="shared" si="76"/>
        <v>41946</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642</v>
      </c>
      <c r="C522" s="282" t="s">
        <v>0</v>
      </c>
      <c r="D522" s="282" t="s">
        <v>0</v>
      </c>
      <c r="E522" s="282"/>
      <c r="I522" s="746"/>
      <c r="AF522" s="361">
        <f t="shared" si="80"/>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1">AK524</f>
        <v>* asks PaulG for legal sufficiency if warranted</v>
      </c>
      <c r="C524" s="268"/>
      <c r="D524" s="282" t="s">
        <v>0</v>
      </c>
      <c r="E524" s="282"/>
      <c r="F524"/>
      <c r="I524" s="746"/>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2">AK525</f>
        <v>* addresses PaulG concerns and discusses with DavidC as needed</v>
      </c>
      <c r="C525" s="268"/>
      <c r="D525" s="282" t="s">
        <v>0</v>
      </c>
      <c r="E525" s="282"/>
      <c r="F525"/>
      <c r="I525" s="746"/>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2"/>
        <v>* informs DavidC about the approach, issues and potential delays</v>
      </c>
      <c r="C526" s="546" t="s">
        <v>0</v>
      </c>
      <c r="I526" s="746"/>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644</v>
      </c>
      <c r="C527" s="220"/>
      <c r="D527" s="220"/>
      <c r="E527" s="220"/>
      <c r="F527" s="220"/>
      <c r="G527" s="40"/>
      <c r="I527" s="746"/>
      <c r="AF527" s="361">
        <f t="shared" si="80"/>
        <v>1</v>
      </c>
      <c r="AG527" s="59"/>
      <c r="AH527" s="59"/>
      <c r="AI527" s="47"/>
      <c r="AJ527" s="44"/>
      <c r="AK527" s="44"/>
      <c r="AL527" s="76"/>
    </row>
    <row r="528" spans="1:38" s="23" customFormat="1" ht="14.1" customHeight="1" outlineLevel="1" x14ac:dyDescent="0.2">
      <c r="A528" s="145"/>
      <c r="B528" s="220" t="s">
        <v>645</v>
      </c>
      <c r="C528" s="220"/>
      <c r="D528" s="220"/>
      <c r="E528" s="220"/>
      <c r="F528" s="220"/>
      <c r="G528" s="40"/>
      <c r="H528" s="40"/>
      <c r="I528" s="746"/>
      <c r="AF528" s="361">
        <f t="shared" si="80"/>
        <v>1</v>
      </c>
      <c r="AG528" s="59"/>
      <c r="AH528" s="59"/>
      <c r="AI528" s="47"/>
      <c r="AJ528" s="44"/>
      <c r="AK528" s="44"/>
      <c r="AL528" s="76"/>
    </row>
    <row r="529" spans="1:38" s="23" customFormat="1" ht="14.1" customHeight="1" outlineLevel="1" x14ac:dyDescent="0.2">
      <c r="A529" s="145"/>
      <c r="B529" s="269" t="str">
        <f t="shared" si="82"/>
        <v>* informs AndreaG about potential delays for and develop contingency, if needed</v>
      </c>
      <c r="C529" s="268"/>
      <c r="D529" s="282" t="s">
        <v>0</v>
      </c>
      <c r="E529" s="282"/>
      <c r="I529" s="746"/>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t="s">
        <v>782</v>
      </c>
      <c r="E530" s="890"/>
      <c r="G530" s="953">
        <f>AG530</f>
        <v>41820</v>
      </c>
      <c r="H530" s="954">
        <f t="shared" ref="H530" si="83">AH530</f>
        <v>41946</v>
      </c>
      <c r="I530" s="746"/>
      <c r="AF530" s="361">
        <f t="shared" si="80"/>
        <v>1</v>
      </c>
      <c r="AG530" s="567">
        <f t="shared" si="75"/>
        <v>41820</v>
      </c>
      <c r="AH530" s="567">
        <f t="shared" si="76"/>
        <v>41946</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756</v>
      </c>
      <c r="C531" s="220"/>
      <c r="D531" s="220"/>
      <c r="E531" s="220"/>
      <c r="F531" s="220"/>
      <c r="G531" s="40"/>
      <c r="I531" s="746"/>
      <c r="AF531" s="361">
        <f t="shared" si="80"/>
        <v>1</v>
      </c>
      <c r="AG531" s="47"/>
      <c r="AH531" s="47"/>
      <c r="AI531" s="47"/>
      <c r="AJ531" s="44"/>
      <c r="AK531" s="44"/>
      <c r="AL531" s="76"/>
    </row>
    <row r="532" spans="1:38" s="23" customFormat="1" ht="14.1" customHeight="1" x14ac:dyDescent="0.2">
      <c r="A532" s="145"/>
      <c r="B532" s="267" t="str">
        <f t="shared" ref="B532" si="84">AK532</f>
        <v>BrianF verifies draft rules to ensure:</v>
      </c>
      <c r="C532" s="268"/>
      <c r="D532"/>
      <c r="F532"/>
      <c r="G532"/>
      <c r="H532"/>
      <c r="I532" s="746"/>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587</v>
      </c>
      <c r="C533" s="510" t="str">
        <f>HYPERLINK("http://arcweb.sos.state.or.us/pages/rules/oars_300/oar_340/340_tofc.html","i")</f>
        <v>i</v>
      </c>
      <c r="D533" s="283" t="s">
        <v>782</v>
      </c>
      <c r="E533" s="751"/>
      <c r="F533"/>
      <c r="G533"/>
      <c r="H533"/>
      <c r="I533" s="746"/>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x14ac:dyDescent="0.2">
      <c r="A534" s="145"/>
      <c r="B534" s="302" t="s">
        <v>588</v>
      </c>
      <c r="C534" s="543"/>
      <c r="D534" s="283" t="s">
        <v>782</v>
      </c>
      <c r="E534" s="751"/>
      <c r="F534"/>
      <c r="I534" s="746"/>
      <c r="AF534" s="361">
        <f t="shared" si="73"/>
        <v>1</v>
      </c>
      <c r="AG534" s="58"/>
      <c r="AH534" s="58"/>
      <c r="AI534" s="59"/>
      <c r="AJ534" s="59"/>
      <c r="AK534" s="44"/>
      <c r="AL534" s="76"/>
    </row>
    <row r="535" spans="1:38" s="23" customFormat="1" ht="14.1" customHeight="1" outlineLevel="1" x14ac:dyDescent="0.2">
      <c r="A535" s="145"/>
      <c r="B535" s="302" t="s">
        <v>570</v>
      </c>
      <c r="C535" s="543"/>
      <c r="D535" s="283" t="s">
        <v>782</v>
      </c>
      <c r="E535" s="751"/>
      <c r="F535"/>
      <c r="G535"/>
      <c r="H535"/>
      <c r="I535" s="746"/>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x14ac:dyDescent="0.2">
      <c r="A536" s="145"/>
      <c r="B536" s="302" t="s">
        <v>571</v>
      </c>
      <c r="C536" s="543"/>
      <c r="D536" s="283" t="s">
        <v>782</v>
      </c>
      <c r="E536" s="751"/>
      <c r="F536"/>
      <c r="G536"/>
      <c r="H536"/>
      <c r="I536" s="746"/>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t="s">
        <v>782</v>
      </c>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573</v>
      </c>
      <c r="C538" s="282"/>
      <c r="I538" s="746"/>
      <c r="AF538" s="361">
        <f t="shared" si="73"/>
        <v>1</v>
      </c>
      <c r="AG538" s="58"/>
      <c r="AH538" s="58"/>
      <c r="AI538" s="59"/>
      <c r="AJ538" s="59"/>
      <c r="AK538" s="44"/>
      <c r="AL538" s="76"/>
    </row>
    <row r="539" spans="1:38" s="23" customFormat="1" ht="14.1" customHeight="1" x14ac:dyDescent="0.2">
      <c r="A539" s="145"/>
      <c r="B539" s="284" t="str">
        <f t="shared" ref="B539:B546" si="85">AK539</f>
        <v>BrianF asks Carol to schedule future time on Wendy's calendar for:</v>
      </c>
      <c r="C539" s="1033" t="s">
        <v>622</v>
      </c>
      <c r="D539" s="1033"/>
      <c r="E539" s="1033"/>
      <c r="F539" s="1033"/>
      <c r="G539" s="1034"/>
      <c r="H539" s="256">
        <f t="shared" ref="H539" si="86">AH539</f>
        <v>41908</v>
      </c>
      <c r="I539" s="746"/>
      <c r="J539"/>
      <c r="K539"/>
      <c r="L539"/>
      <c r="M539"/>
      <c r="N539"/>
      <c r="O539"/>
      <c r="P539"/>
      <c r="Q539"/>
      <c r="R539"/>
      <c r="S539"/>
      <c r="T539"/>
      <c r="U539"/>
      <c r="X539"/>
      <c r="AB539"/>
      <c r="AC539"/>
      <c r="AF539" s="361">
        <f t="shared" ref="AF539:AF546" si="87">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5"/>
        <v>* Wendy briefing meeting with BrianF, DavidC and AndreaG</v>
      </c>
      <c r="C540" s="1033" t="s">
        <v>621</v>
      </c>
      <c r="D540" s="1035"/>
      <c r="E540" s="1035"/>
      <c r="F540" s="1035"/>
      <c r="G540" s="1036"/>
      <c r="H540" s="263">
        <f>AH540</f>
        <v>41967</v>
      </c>
      <c r="I540" s="746"/>
      <c r="J540"/>
      <c r="K540"/>
      <c r="L540"/>
      <c r="M540"/>
      <c r="N540"/>
      <c r="O540"/>
      <c r="P540"/>
      <c r="Q540"/>
      <c r="R540"/>
      <c r="S540"/>
      <c r="T540"/>
      <c r="U540"/>
      <c r="X540"/>
      <c r="AB540"/>
      <c r="AC540"/>
      <c r="AF540" s="361">
        <f t="shared" si="87"/>
        <v>1</v>
      </c>
      <c r="AG540" s="58"/>
      <c r="AH540" s="60">
        <f>IF(AF540=0,,WORKDAY(S.Notice.Submit.ToADA,-1,S.DDL_DEQClosed))</f>
        <v>41967</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5"/>
        <v>* time on Wendy's calendar to review Notice Packet during preview week</v>
      </c>
      <c r="C541" s="1033" t="s">
        <v>620</v>
      </c>
      <c r="D541" s="1033"/>
      <c r="E541" s="1033"/>
      <c r="F541" s="1033"/>
      <c r="G541" s="1034"/>
      <c r="H541" s="263">
        <f>AH541</f>
        <v>41968</v>
      </c>
      <c r="I541" s="746"/>
      <c r="J541"/>
      <c r="K541"/>
      <c r="L541"/>
      <c r="M541"/>
      <c r="N541"/>
      <c r="O541"/>
      <c r="P541"/>
      <c r="Q541"/>
      <c r="R541"/>
      <c r="S541"/>
      <c r="T541"/>
      <c r="U541"/>
      <c r="X541"/>
      <c r="AB541"/>
      <c r="AC541"/>
      <c r="AF541" s="361">
        <f t="shared" si="87"/>
        <v>1</v>
      </c>
      <c r="AG541" s="58"/>
      <c r="AH541" s="60">
        <f>IF(AF541=0,,S.Notice.Submit.ToADA)</f>
        <v>41968</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5"/>
        <v>BrianF schedules time on DavidC calendar to review Notice Packet</v>
      </c>
      <c r="C542" s="546" t="s">
        <v>0</v>
      </c>
      <c r="D542"/>
      <c r="F542"/>
      <c r="I542" s="746"/>
      <c r="AF542" s="361">
        <f t="shared" si="87"/>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8">AK543</f>
        <v>BrianF keeps DavidC informed about progress</v>
      </c>
      <c r="C543" s="1033" t="s">
        <v>620</v>
      </c>
      <c r="D543" s="1033"/>
      <c r="E543" s="1033"/>
      <c r="F543" s="1033"/>
      <c r="G543" s="1034"/>
      <c r="H543" s="263">
        <f>AH543</f>
        <v>41948</v>
      </c>
      <c r="I543" s="746"/>
      <c r="AF543" s="361">
        <f t="shared" si="87"/>
        <v>1</v>
      </c>
      <c r="AG543" s="58"/>
      <c r="AH543" s="60">
        <f>IF(AF543=0,,S.Notice.Submit.ToSponsoringMgr)</f>
        <v>41948</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5"/>
        <v>DavidC keeps Wendy informed about progress</v>
      </c>
      <c r="C544" s="546" t="s">
        <v>0</v>
      </c>
      <c r="D544"/>
      <c r="F544"/>
      <c r="I544" s="746"/>
      <c r="AF544" s="361">
        <f t="shared" si="87"/>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89">AK545</f>
        <v>Wendy keeps Wendy informed about potential risks &amp; delays</v>
      </c>
      <c r="C545" s="546" t="s">
        <v>0</v>
      </c>
      <c r="F545"/>
      <c r="I545" s="746"/>
      <c r="AF545" s="361">
        <f t="shared" si="87"/>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5"/>
        <v>AndreaG keeps Lydia informed about risks &amp; progress</v>
      </c>
      <c r="C546" s="546" t="s">
        <v>0</v>
      </c>
      <c r="F546"/>
      <c r="I546" s="746"/>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589</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0">AG548</f>
        <v>0</v>
      </c>
      <c r="H548" s="291">
        <f t="shared" ref="H548:H559" si="91">AH548</f>
        <v>0</v>
      </c>
      <c r="I548" s="746"/>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0"/>
        <v>0</v>
      </c>
      <c r="H549" s="291">
        <f t="shared" si="91"/>
        <v>0</v>
      </c>
      <c r="I549" s="746"/>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x14ac:dyDescent="0.2">
      <c r="A550" s="145"/>
      <c r="B550" s="467" t="s">
        <v>241</v>
      </c>
      <c r="C550" s="546" t="s">
        <v>0</v>
      </c>
      <c r="D550" s="716"/>
      <c r="E550" s="892"/>
      <c r="F550"/>
      <c r="G550" s="291">
        <f t="shared" si="90"/>
        <v>0</v>
      </c>
      <c r="H550" s="291">
        <f t="shared" si="91"/>
        <v>0</v>
      </c>
      <c r="I550" s="746"/>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0"/>
        <v>0</v>
      </c>
      <c r="H551" s="291">
        <f t="shared" si="91"/>
        <v>0</v>
      </c>
      <c r="I551" s="746"/>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0"/>
        <v>0</v>
      </c>
      <c r="H552" s="291">
        <f t="shared" si="91"/>
        <v>0</v>
      </c>
      <c r="I552" s="746"/>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x14ac:dyDescent="0.2">
      <c r="A553" s="145"/>
      <c r="B553" s="469" t="s">
        <v>241</v>
      </c>
      <c r="C553" s="546" t="s">
        <v>0</v>
      </c>
      <c r="D553" s="716"/>
      <c r="E553" s="892"/>
      <c r="F553"/>
      <c r="G553" s="291">
        <f t="shared" si="90"/>
        <v>0</v>
      </c>
      <c r="H553" s="291">
        <f t="shared" si="91"/>
        <v>0</v>
      </c>
      <c r="I553" s="746"/>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x14ac:dyDescent="0.2">
      <c r="A554" s="145"/>
      <c r="B554" s="469" t="s">
        <v>241</v>
      </c>
      <c r="C554" s="546" t="s">
        <v>0</v>
      </c>
      <c r="D554" s="716"/>
      <c r="E554" s="892"/>
      <c r="F554"/>
      <c r="G554" s="291">
        <f t="shared" si="90"/>
        <v>0</v>
      </c>
      <c r="H554" s="291">
        <f t="shared" si="91"/>
        <v>0</v>
      </c>
      <c r="I554" s="746"/>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0"/>
        <v>0</v>
      </c>
      <c r="H555" s="291">
        <f t="shared" si="91"/>
        <v>0</v>
      </c>
      <c r="I555" s="746"/>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0"/>
        <v>0</v>
      </c>
      <c r="H556" s="291">
        <f t="shared" si="91"/>
        <v>0</v>
      </c>
      <c r="I556" s="746"/>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x14ac:dyDescent="0.2">
      <c r="A557" s="145"/>
      <c r="B557" s="471" t="s">
        <v>241</v>
      </c>
      <c r="C557" s="546" t="s">
        <v>0</v>
      </c>
      <c r="D557" s="716"/>
      <c r="E557" s="892"/>
      <c r="F557"/>
      <c r="G557" s="291">
        <f t="shared" si="90"/>
        <v>0</v>
      </c>
      <c r="H557" s="291">
        <f t="shared" si="91"/>
        <v>0</v>
      </c>
      <c r="I557" s="746"/>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x14ac:dyDescent="0.2">
      <c r="A558" s="145"/>
      <c r="B558" s="471" t="s">
        <v>241</v>
      </c>
      <c r="C558" s="546" t="s">
        <v>0</v>
      </c>
      <c r="D558" s="716"/>
      <c r="E558" s="892"/>
      <c r="F558"/>
      <c r="G558" s="291">
        <f t="shared" si="90"/>
        <v>0</v>
      </c>
      <c r="H558" s="291">
        <f t="shared" si="91"/>
        <v>0</v>
      </c>
      <c r="I558" s="746"/>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x14ac:dyDescent="0.2">
      <c r="A559" s="145"/>
      <c r="B559" s="471" t="s">
        <v>241</v>
      </c>
      <c r="C559" s="546" t="s">
        <v>0</v>
      </c>
      <c r="D559" s="716"/>
      <c r="E559" s="892"/>
      <c r="F559"/>
      <c r="G559" s="291">
        <f t="shared" si="90"/>
        <v>0</v>
      </c>
      <c r="H559" s="291">
        <f t="shared" si="91"/>
        <v>0</v>
      </c>
      <c r="I559" s="746"/>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757</v>
      </c>
      <c r="C561" s="282"/>
      <c r="D561" s="40"/>
      <c r="E561" s="40"/>
      <c r="F561" s="40"/>
      <c r="G561" s="40"/>
      <c r="H561" s="40"/>
      <c r="I561" s="746"/>
      <c r="AF561" s="361">
        <f t="shared" si="80"/>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26" t="s">
        <v>680</v>
      </c>
      <c r="H562" s="1027"/>
      <c r="I562" s="746"/>
      <c r="AE562" s="862"/>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750</v>
      </c>
      <c r="C563" s="282" t="s">
        <v>0</v>
      </c>
      <c r="D563" s="283" t="s">
        <v>782</v>
      </c>
      <c r="E563" s="751"/>
      <c r="F563" s="40"/>
      <c r="G563" s="937">
        <f>AG563</f>
        <v>41948</v>
      </c>
      <c r="H563" s="938">
        <f>AH563</f>
        <v>41950</v>
      </c>
      <c r="I563" s="746"/>
      <c r="AE563" s="862"/>
      <c r="AF563" s="361">
        <f t="shared" si="80"/>
        <v>1</v>
      </c>
      <c r="AG563" s="60">
        <f>S.Notice.Submit.ToSponsoringMgr</f>
        <v>41948</v>
      </c>
      <c r="AH563" s="60">
        <f>H23</f>
        <v>41950</v>
      </c>
      <c r="AI563" s="59"/>
      <c r="AJ563" s="59"/>
      <c r="AK563" s="44"/>
      <c r="AL563" s="76"/>
    </row>
    <row r="564" spans="1:38" s="23" customFormat="1" ht="14.1" customHeight="1" x14ac:dyDescent="0.2">
      <c r="A564" s="145"/>
      <c r="B564" s="269" t="s">
        <v>751</v>
      </c>
      <c r="C564" s="282" t="s">
        <v>0</v>
      </c>
      <c r="G564" s="939" t="s">
        <v>749</v>
      </c>
      <c r="H564" s="940" t="s">
        <v>748</v>
      </c>
      <c r="I564" s="746"/>
      <c r="AE564" s="862"/>
      <c r="AF564" s="361">
        <f t="shared" si="80"/>
        <v>1</v>
      </c>
      <c r="AG564" s="59"/>
      <c r="AH564" s="59"/>
      <c r="AI564" s="59"/>
      <c r="AJ564" s="59"/>
      <c r="AK564" s="44"/>
      <c r="AL564" s="76"/>
    </row>
    <row r="565" spans="1:38" s="23" customFormat="1" ht="14.1" customHeight="1" thickBot="1" x14ac:dyDescent="0.25">
      <c r="A565" s="145"/>
      <c r="B565" s="269" t="s">
        <v>744</v>
      </c>
      <c r="C565" s="282" t="s">
        <v>0</v>
      </c>
      <c r="D565"/>
      <c r="F565"/>
      <c r="G565" s="941" t="s">
        <v>0</v>
      </c>
      <c r="H565" s="942" t="s">
        <v>0</v>
      </c>
      <c r="I565" s="746"/>
      <c r="AE565" s="862"/>
      <c r="AF565" s="361">
        <f t="shared" si="80"/>
        <v>1</v>
      </c>
      <c r="AG565" s="59"/>
      <c r="AH565" s="59"/>
      <c r="AI565" s="59"/>
      <c r="AJ565" s="59"/>
      <c r="AK565" s="44"/>
      <c r="AL565" s="76"/>
    </row>
    <row r="566" spans="1:38" s="23" customFormat="1" ht="14.1" customHeight="1" thickTop="1" x14ac:dyDescent="0.2">
      <c r="A566" s="145"/>
      <c r="B566" s="267" t="str">
        <f>AK566</f>
        <v>DavidC:</v>
      </c>
      <c r="C566" s="282" t="s">
        <v>0</v>
      </c>
      <c r="H566" s="957"/>
      <c r="I566" s="746"/>
      <c r="AF566" s="361">
        <f t="shared" si="80"/>
        <v>1</v>
      </c>
      <c r="AG566" s="59"/>
      <c r="AH566" s="59"/>
      <c r="AI566" s="59"/>
      <c r="AJ566" s="59"/>
      <c r="AK566" s="182" t="str">
        <f>S.Staff.Program.Mgr.FirstName&amp;":"</f>
        <v>DavidC:</v>
      </c>
      <c r="AL566" s="76"/>
    </row>
    <row r="567" spans="1:38" s="23" customFormat="1" ht="14.1" customHeight="1" x14ac:dyDescent="0.2">
      <c r="A567" s="145"/>
      <c r="B567" s="269" t="s">
        <v>758</v>
      </c>
      <c r="C567" s="282" t="s">
        <v>0</v>
      </c>
      <c r="G567" s="40"/>
      <c r="H567" s="40"/>
      <c r="I567" s="746"/>
      <c r="AE567" s="40"/>
      <c r="AF567" s="361">
        <f t="shared" si="80"/>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0"/>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t="s">
        <v>782</v>
      </c>
      <c r="E569" s="751"/>
      <c r="G569" s="256">
        <f>AG569</f>
        <v>41953</v>
      </c>
      <c r="H569" s="958">
        <f>AH569</f>
        <v>41948</v>
      </c>
      <c r="I569" s="746"/>
      <c r="AF569" s="361">
        <f t="shared" si="80"/>
        <v>1</v>
      </c>
      <c r="AG569" s="60">
        <f>WORKDAY(H563,1,S.DDL_DEQClosed)</f>
        <v>41953</v>
      </c>
      <c r="AH569" s="60">
        <f>IF(AF569=0,,WORKDAY(S.Notice.Submit.ToRG,-1,S.DDL_DEQClosed))</f>
        <v>41948</v>
      </c>
      <c r="AI569" s="59"/>
      <c r="AJ569" s="59"/>
      <c r="AK569" s="182" t="str">
        <f>S.Staff.Subject.Expert.FirstName&amp;":"</f>
        <v>BrianF:</v>
      </c>
      <c r="AL569" s="76"/>
    </row>
    <row r="570" spans="1:38" s="23" customFormat="1" ht="14.1" customHeight="1" x14ac:dyDescent="0.2">
      <c r="A570" s="145"/>
      <c r="B570" s="983" t="str">
        <f>AK570</f>
        <v>* addresses DavidC's technical concerns</v>
      </c>
      <c r="C570" s="282" t="s">
        <v>0</v>
      </c>
      <c r="G570" s="40"/>
      <c r="H570" s="40"/>
      <c r="I570" s="746"/>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22" t="s">
        <v>606</v>
      </c>
      <c r="H572" s="1023"/>
      <c r="I572" s="746"/>
      <c r="AF572" s="361">
        <f t="shared" si="80"/>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676</v>
      </c>
      <c r="C573" s="268"/>
      <c r="D573" s="715"/>
      <c r="E573" s="890"/>
      <c r="F573"/>
      <c r="G573" s="955">
        <f>AG573</f>
        <v>41949</v>
      </c>
      <c r="H573" s="938">
        <f>AH573</f>
        <v>41957</v>
      </c>
      <c r="I573" s="746"/>
      <c r="AF573" s="361">
        <f t="shared" ref="AF573:AF580" si="94">IF(S.Notice.Involved="Y",1,0)</f>
        <v>1</v>
      </c>
      <c r="AG573" s="567">
        <f>S.Notice.Submit.ToRG</f>
        <v>41949</v>
      </c>
      <c r="AH573" s="567">
        <f>H24</f>
        <v>41957</v>
      </c>
      <c r="AI573" s="58"/>
      <c r="AJ573" s="44"/>
      <c r="AK573" s="44"/>
      <c r="AL573" s="76"/>
    </row>
    <row r="574" spans="1:38" s="23" customFormat="1" ht="14.1" customHeight="1" thickBot="1" x14ac:dyDescent="0.25">
      <c r="A574" s="145"/>
      <c r="B574" s="269" t="s">
        <v>603</v>
      </c>
      <c r="C574" s="268"/>
      <c r="D574"/>
      <c r="F574"/>
      <c r="G574" s="961" t="s">
        <v>749</v>
      </c>
      <c r="H574" s="962" t="s">
        <v>748</v>
      </c>
      <c r="I574" s="746"/>
      <c r="AF574" s="361">
        <f t="shared" si="94"/>
        <v>1</v>
      </c>
      <c r="AG574" s="58"/>
      <c r="AH574" s="58"/>
      <c r="AI574" s="58"/>
      <c r="AJ574" s="44"/>
      <c r="AK574" s="44"/>
      <c r="AL574" s="76"/>
    </row>
    <row r="575" spans="1:38" s="23" customFormat="1" ht="14.1" customHeight="1" thickTop="1" thickBot="1" x14ac:dyDescent="0.25">
      <c r="A575" s="145"/>
      <c r="B575" s="289" t="s">
        <v>753</v>
      </c>
      <c r="C575" s="358" t="str">
        <f>HYPERLINK("\\deqhq1\Rule_Resources\i\Final Review Checklist.docx","i")</f>
        <v>i</v>
      </c>
      <c r="D575" s="325"/>
      <c r="E575" s="325"/>
      <c r="F575" s="262"/>
      <c r="G575" s="258"/>
      <c r="H575" s="258"/>
      <c r="I575" s="746"/>
      <c r="AF575" s="361">
        <f t="shared" si="94"/>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663</v>
      </c>
      <c r="C577" s="282"/>
      <c r="G577" s="40"/>
      <c r="H577" s="40"/>
      <c r="I577" s="746"/>
      <c r="AF577" s="361">
        <f t="shared" si="94"/>
        <v>1</v>
      </c>
      <c r="AG577" s="59"/>
      <c r="AH577" s="59"/>
      <c r="AI577" s="59"/>
      <c r="AJ577" s="59"/>
      <c r="AK577" s="44"/>
      <c r="AL577" s="76"/>
    </row>
    <row r="578" spans="1:39" s="23" customFormat="1" ht="14.1" customHeight="1" x14ac:dyDescent="0.2">
      <c r="A578" s="145"/>
      <c r="B578" s="320" t="s">
        <v>643</v>
      </c>
      <c r="C578" s="282"/>
      <c r="F578"/>
      <c r="G578" s="40"/>
      <c r="H578" s="40"/>
      <c r="I578" s="746"/>
      <c r="AF578" s="361">
        <f t="shared" si="94"/>
        <v>1</v>
      </c>
      <c r="AG578" s="59"/>
      <c r="AH578" s="59"/>
      <c r="AI578" s="59"/>
      <c r="AJ578" s="59"/>
      <c r="AK578" s="44"/>
      <c r="AL578" s="76"/>
    </row>
    <row r="579" spans="1:39" s="632" customFormat="1" ht="14.1" customHeight="1" x14ac:dyDescent="0.2">
      <c r="A579" s="601"/>
      <c r="B579" s="774" t="str">
        <f t="shared" ref="B579:B580" si="95">AK579</f>
        <v>BrianF &amp; AndreaG prepare drafts for preview</v>
      </c>
      <c r="C579" s="268" t="s">
        <v>0</v>
      </c>
      <c r="D579" s="775"/>
      <c r="E579" s="893"/>
      <c r="F579"/>
      <c r="G579" s="256">
        <f t="shared" ref="G579" si="96">AG579</f>
        <v>41960</v>
      </c>
      <c r="H579" s="256">
        <f t="shared" ref="H579:H584" si="97">AH579</f>
        <v>41963</v>
      </c>
      <c r="I579" s="935"/>
      <c r="AF579" s="361">
        <f t="shared" si="94"/>
        <v>1</v>
      </c>
      <c r="AG579" s="776">
        <f>WORKDAY(H573,1,S.DDL_DEQClosed)</f>
        <v>41960</v>
      </c>
      <c r="AH579" s="776">
        <f>WORKDAY(G579,3,S.DDL_DEQClosed)</f>
        <v>41963</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5"/>
        <v>DavidC approves moving forward with Notice and Proposed Rules</v>
      </c>
      <c r="C580" s="268" t="s">
        <v>0</v>
      </c>
      <c r="D580" s="283"/>
      <c r="E580" s="751"/>
      <c r="G580" s="256">
        <f>AG580</f>
        <v>41964</v>
      </c>
      <c r="H580" s="256">
        <f t="shared" si="97"/>
        <v>41967</v>
      </c>
      <c r="I580" s="746"/>
      <c r="AF580" s="361">
        <f t="shared" si="94"/>
        <v>1</v>
      </c>
      <c r="AG580" s="60">
        <f>IF(AF580=0,,WORKDAY(H579,1,S.DDL_DEQClosed))</f>
        <v>41964</v>
      </c>
      <c r="AH580" s="60">
        <f>IF(AF580=0,,WORKDAY(G580,1,S.DDL_DEQClosed))</f>
        <v>41967</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8">AK581</f>
        <v>2nd loop of DavidC's Notice Packet review and approval</v>
      </c>
      <c r="C581" s="481" t="s">
        <v>205</v>
      </c>
      <c r="D581" s="283"/>
      <c r="E581" s="751"/>
      <c r="F581"/>
      <c r="G581" s="256">
        <f>AG581</f>
        <v>0</v>
      </c>
      <c r="H581" s="256">
        <f t="shared" si="97"/>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8"/>
        <v>3rd loop of DavidC's Notice Packet review and approval</v>
      </c>
      <c r="C582" s="481" t="s">
        <v>205</v>
      </c>
      <c r="D582" s="283"/>
      <c r="E582" s="751"/>
      <c r="F582"/>
      <c r="G582" s="256">
        <f t="shared" ref="G582:G583" si="99">AG582</f>
        <v>0</v>
      </c>
      <c r="H582" s="256">
        <f t="shared" si="97"/>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8"/>
        <v>4th loop of DavidC's Notice Packet review and approval</v>
      </c>
      <c r="C583" s="481" t="s">
        <v>205</v>
      </c>
      <c r="D583" s="283"/>
      <c r="E583" s="751"/>
      <c r="F583"/>
      <c r="G583" s="256">
        <f t="shared" si="99"/>
        <v>0</v>
      </c>
      <c r="H583" s="256">
        <f t="shared" si="97"/>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8"/>
        <v>BrianF &amp; AndreaG address any concerns that may block DavidC's approval</v>
      </c>
      <c r="C584" s="282" t="s">
        <v>0</v>
      </c>
      <c r="D584" s="283"/>
      <c r="E584" s="751"/>
      <c r="F584"/>
      <c r="G584" s="256">
        <f>AG584</f>
        <v>41968</v>
      </c>
      <c r="H584" s="256">
        <f t="shared" si="97"/>
        <v>41969</v>
      </c>
      <c r="I584" s="746"/>
      <c r="AF584" s="361">
        <f t="shared" ref="AF584:AF592" si="100">IF(S.Notice.Involved="Y",1,0)</f>
        <v>1</v>
      </c>
      <c r="AG584" s="60">
        <f>WORKDAY(MAX(H562:H583),1,S.DDL_DEQClosed)</f>
        <v>41968</v>
      </c>
      <c r="AH584" s="60">
        <f>IF(AF584=0,,WORKDAY(G584,1,S.DDL_DEQClosed))</f>
        <v>41969</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762</v>
      </c>
      <c r="C585" s="542"/>
      <c r="D585" s="706"/>
      <c r="E585" s="706"/>
      <c r="F585"/>
      <c r="I585" s="746"/>
      <c r="AF585" s="361">
        <f t="shared" si="100"/>
        <v>1</v>
      </c>
      <c r="AG585" s="59"/>
      <c r="AH585" s="59"/>
      <c r="AI585" s="59"/>
      <c r="AJ585" s="59"/>
      <c r="AK585" s="44"/>
      <c r="AL585" s="76"/>
    </row>
    <row r="586" spans="1:39" s="23" customFormat="1" ht="14.1" customHeight="1" x14ac:dyDescent="0.2">
      <c r="A586" s="145"/>
      <c r="B586" s="267" t="str">
        <f t="shared" ref="B586:B590" si="101">AK586</f>
        <v>AndreaG drafts EMAIL.PREVIEW - instructions in template:</v>
      </c>
      <c r="C586" s="509" t="str">
        <f>HYPERLINK("\\deqhq1\Rule_Resources\i\EMAIL.Preview.docx","i")</f>
        <v>i</v>
      </c>
      <c r="D586" s="283"/>
      <c r="E586" s="751"/>
      <c r="F586"/>
      <c r="H586" s="265">
        <f>AH586</f>
        <v>41969</v>
      </c>
      <c r="I586" s="746"/>
      <c r="AF586" s="361">
        <f t="shared" si="100"/>
        <v>1</v>
      </c>
      <c r="AG586" s="59"/>
      <c r="AH586" s="60">
        <f>IF(AF586=0,,H584)</f>
        <v>41969</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1"/>
        <v>* sends draft to Wendy before briefing, copies BrianF &amp; DavidC</v>
      </c>
      <c r="C587" s="542" t="s">
        <v>0</v>
      </c>
      <c r="D587" s="706"/>
      <c r="E587" s="706"/>
      <c r="F587"/>
      <c r="I587" s="746"/>
      <c r="AF587" s="361">
        <f t="shared" si="100"/>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1"/>
        <v>BrianF, DavidC &amp; AndreaG:</v>
      </c>
      <c r="C588" s="542" t="s">
        <v>0</v>
      </c>
      <c r="D588" s="706"/>
      <c r="E588" s="706"/>
      <c r="F588"/>
      <c r="G588"/>
      <c r="H588"/>
      <c r="I588" s="746"/>
      <c r="AF588" s="361">
        <f t="shared" si="100"/>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1"/>
        <v>* brief Wendy</v>
      </c>
      <c r="C589" s="478" t="s">
        <v>0</v>
      </c>
      <c r="D589" s="283"/>
      <c r="E589" s="751"/>
      <c r="F589"/>
      <c r="G589" s="922" t="s">
        <v>747</v>
      </c>
      <c r="H589" s="256">
        <f>AH589</f>
        <v>41967</v>
      </c>
      <c r="I589" s="746"/>
      <c r="J589"/>
      <c r="K589"/>
      <c r="L589"/>
      <c r="M589"/>
      <c r="N589"/>
      <c r="O589"/>
      <c r="P589"/>
      <c r="Q589"/>
      <c r="R589"/>
      <c r="S589"/>
      <c r="T589"/>
      <c r="U589"/>
      <c r="X589"/>
      <c r="AB589"/>
      <c r="AC589"/>
      <c r="AF589" s="361">
        <f t="shared" si="100"/>
        <v>1</v>
      </c>
      <c r="AG589" s="59"/>
      <c r="AH589" s="60">
        <f>IF(AF540=0,,WORKDAY(S.Notice.Submit.ToADA,-1,S.DDL_DEQClosed))</f>
        <v>41967</v>
      </c>
      <c r="AI589" s="59" t="s">
        <v>0</v>
      </c>
      <c r="AJ589" s="59"/>
      <c r="AK589" s="182" t="str">
        <f>"* brief "&amp;S.Staff.Assistant.DA.ShortName</f>
        <v>* brief Wendy</v>
      </c>
      <c r="AL589" s="76"/>
    </row>
    <row r="590" spans="1:39" s="23" customFormat="1" ht="14.1" customHeight="1" thickBot="1" x14ac:dyDescent="0.25">
      <c r="A590" s="145"/>
      <c r="B590" s="320" t="str">
        <f t="shared" si="101"/>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4" t="str">
        <f>AK591</f>
        <v xml:space="preserve">Wendy personalizes and sends EMAIL.PREVIEW </v>
      </c>
      <c r="C591" s="542"/>
      <c r="D591" s="702"/>
      <c r="E591" s="702"/>
      <c r="F591" s="782"/>
      <c r="G591" s="1037" t="s">
        <v>627</v>
      </c>
      <c r="H591" s="1038"/>
      <c r="I591" s="746"/>
      <c r="AE591" s="781"/>
      <c r="AF591" s="361">
        <f t="shared" si="100"/>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59" t="s">
        <v>56</v>
      </c>
      <c r="H592" s="960" t="s">
        <v>171</v>
      </c>
      <c r="I592" s="746"/>
      <c r="AE592" s="781"/>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763</v>
      </c>
      <c r="C593" s="542" t="s">
        <v>0</v>
      </c>
      <c r="D593" s="265"/>
      <c r="E593" s="894"/>
      <c r="F593" s="782"/>
      <c r="G593" s="986">
        <v>41967</v>
      </c>
      <c r="H593" s="987">
        <v>41976</v>
      </c>
      <c r="I593" s="746"/>
      <c r="J593"/>
      <c r="K593"/>
      <c r="L593"/>
      <c r="M593"/>
      <c r="N593"/>
      <c r="O593"/>
      <c r="P593"/>
      <c r="Q593"/>
      <c r="R593"/>
      <c r="S593"/>
      <c r="T593"/>
      <c r="U593"/>
      <c r="X593"/>
      <c r="AB593"/>
      <c r="AC593"/>
      <c r="AE593" s="781"/>
      <c r="AF593" s="361">
        <f t="shared" ref="AF593:AF602" si="102">IF(S.Notice.Involved="Y",1,0)</f>
        <v>1</v>
      </c>
      <c r="AG593" s="60">
        <f>IF(AF593=0,,WORKDAY(S.Notice.Submit.ToADA,1,S.DDL_DEQClosed))</f>
        <v>41969</v>
      </c>
      <c r="AH593" s="60">
        <f>IF(AF593=0,,AH25)</f>
        <v>41974</v>
      </c>
      <c r="AI593" s="59"/>
      <c r="AJ593" s="59"/>
      <c r="AK593" s="44"/>
      <c r="AL593" s="76"/>
    </row>
    <row r="594" spans="1:39" s="23" customFormat="1" ht="14.1" customHeight="1" thickBot="1" x14ac:dyDescent="0.25">
      <c r="A594" s="145"/>
      <c r="C594" s="546" t="s">
        <v>0</v>
      </c>
      <c r="D594" s="584"/>
      <c r="E594" s="40"/>
      <c r="F594" s="782"/>
      <c r="G594" s="1039" t="s">
        <v>628</v>
      </c>
      <c r="H594" s="1040"/>
      <c r="I594" s="746"/>
      <c r="J594"/>
      <c r="K594"/>
      <c r="L594"/>
      <c r="M594"/>
      <c r="N594"/>
      <c r="O594"/>
      <c r="P594"/>
      <c r="Q594"/>
      <c r="R594"/>
      <c r="S594"/>
      <c r="T594"/>
      <c r="U594"/>
      <c r="X594"/>
      <c r="AB594"/>
      <c r="AC594"/>
      <c r="AE594" s="781"/>
      <c r="AF594" s="361">
        <f t="shared" si="102"/>
        <v>1</v>
      </c>
      <c r="AG594" s="59"/>
      <c r="AH594" s="58"/>
      <c r="AI594" s="59"/>
      <c r="AJ594" s="59"/>
      <c r="AK594" s="44"/>
      <c r="AL594" s="76"/>
    </row>
    <row r="595" spans="1:39" ht="6" customHeight="1" thickTop="1" x14ac:dyDescent="0.2">
      <c r="A595" s="145"/>
      <c r="C595" s="306"/>
      <c r="D595" s="40"/>
      <c r="E595" s="40"/>
      <c r="F595" s="40"/>
      <c r="G595"/>
      <c r="H595"/>
      <c r="I595" s="746"/>
      <c r="AF595" s="361">
        <f t="shared" si="102"/>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41967</v>
      </c>
      <c r="H596" s="265">
        <f>AH596</f>
        <v>41978</v>
      </c>
      <c r="I596" s="746"/>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c r="E597" s="751"/>
      <c r="I597" s="746"/>
      <c r="J597"/>
      <c r="K597"/>
      <c r="L597"/>
      <c r="M597"/>
      <c r="N597"/>
      <c r="O597"/>
      <c r="P597"/>
      <c r="Q597"/>
      <c r="R597"/>
      <c r="S597"/>
      <c r="T597"/>
      <c r="U597"/>
      <c r="X597"/>
      <c r="AB597"/>
      <c r="AC597"/>
      <c r="AF597" s="361">
        <f t="shared" si="102"/>
        <v>1</v>
      </c>
      <c r="AG597" s="58"/>
      <c r="AH597" s="58"/>
      <c r="AI597" s="58"/>
      <c r="AJ597" s="59"/>
      <c r="AK597" s="44"/>
      <c r="AL597" s="76"/>
    </row>
    <row r="598" spans="1:39" ht="14.1" customHeight="1" x14ac:dyDescent="0.2">
      <c r="A598" s="145"/>
      <c r="B598" s="289" t="str">
        <f t="shared" ref="B598" si="103">AK598</f>
        <v>* talks with DavidC, decides how to address any feedback from preview</v>
      </c>
      <c r="C598" s="546" t="s">
        <v>0</v>
      </c>
      <c r="D598" s="283"/>
      <c r="E598" s="751"/>
      <c r="F598"/>
      <c r="G598"/>
      <c r="H598"/>
      <c r="I598" s="746"/>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c r="E599" s="751"/>
      <c r="F599"/>
      <c r="I599" s="746"/>
      <c r="J599"/>
      <c r="K599"/>
      <c r="L599"/>
      <c r="M599"/>
      <c r="N599"/>
      <c r="O599"/>
      <c r="P599"/>
      <c r="Q599"/>
      <c r="R599"/>
      <c r="S599"/>
      <c r="T599"/>
      <c r="U599"/>
      <c r="X599"/>
      <c r="AB599"/>
      <c r="AC599"/>
      <c r="AF599" s="361">
        <f t="shared" si="102"/>
        <v>1</v>
      </c>
      <c r="AG599" s="58"/>
      <c r="AH599" s="58"/>
      <c r="AI599" s="59"/>
      <c r="AJ599" s="59"/>
      <c r="AK599" s="44"/>
      <c r="AL599" s="76"/>
    </row>
    <row r="600" spans="1:39" ht="14.1" customHeight="1" x14ac:dyDescent="0.2">
      <c r="A600" s="145"/>
      <c r="B600" s="220" t="s">
        <v>629</v>
      </c>
      <c r="C600" s="546" t="s">
        <v>0</v>
      </c>
      <c r="D600" s="283"/>
      <c r="E600" s="751"/>
      <c r="F600"/>
      <c r="G600" s="23"/>
      <c r="H600" s="23"/>
      <c r="I600" s="746"/>
      <c r="AF600" s="361">
        <f t="shared" si="102"/>
        <v>1</v>
      </c>
      <c r="AG600" s="58"/>
      <c r="AH600" s="58"/>
      <c r="AI600" s="59"/>
      <c r="AJ600" s="59"/>
      <c r="AK600" s="44"/>
      <c r="AL600" s="76"/>
      <c r="AM600"/>
    </row>
    <row r="601" spans="1:39" ht="14.1" customHeight="1" x14ac:dyDescent="0.2">
      <c r="A601" s="145"/>
      <c r="B601" s="298" t="str">
        <f>AK601</f>
        <v>* finalizes Notice Packet with DavidC</v>
      </c>
      <c r="C601" s="542" t="s">
        <v>0</v>
      </c>
      <c r="D601" s="283"/>
      <c r="E601" s="751"/>
      <c r="F601"/>
      <c r="G601" s="40"/>
      <c r="H601" s="23"/>
      <c r="I601" s="746"/>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4">AK602</f>
        <v>DavidC:</v>
      </c>
      <c r="F602"/>
      <c r="I602" s="746"/>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205</v>
      </c>
      <c r="D603" s="283"/>
      <c r="E603" s="751"/>
      <c r="F603"/>
      <c r="G603" s="265">
        <f>AG603</f>
        <v>0</v>
      </c>
      <c r="H603" s="265">
        <f>AH603</f>
        <v>41978</v>
      </c>
      <c r="I603" s="746"/>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49" t="s">
        <v>0</v>
      </c>
      <c r="D605" s="1049"/>
      <c r="E605" s="1049"/>
      <c r="F605" s="1049"/>
      <c r="G605" s="1049"/>
      <c r="H605" s="812">
        <f t="shared" ref="H605" si="105">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14.1" customHeight="1" x14ac:dyDescent="0.2">
      <c r="A606" s="145" t="s">
        <v>0</v>
      </c>
      <c r="B606" s="285" t="str">
        <f t="shared" ref="B606" si="106">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customHeight="1" x14ac:dyDescent="0.2">
      <c r="A607" s="145" t="s">
        <v>0</v>
      </c>
      <c r="B607" s="289" t="s">
        <v>681</v>
      </c>
      <c r="C607" s="321"/>
      <c r="D607" s="717"/>
      <c r="E607" s="717"/>
      <c r="F607" s="287"/>
      <c r="G607" s="288"/>
      <c r="H607" s="288"/>
      <c r="I607" s="746"/>
      <c r="AF607" s="361">
        <f t="shared" si="107"/>
        <v>1</v>
      </c>
      <c r="AG607" s="58"/>
      <c r="AH607" s="58"/>
      <c r="AI607" s="59"/>
      <c r="AJ607" s="59"/>
      <c r="AK607" s="159" t="s">
        <v>0</v>
      </c>
      <c r="AL607" s="76"/>
    </row>
    <row r="608" spans="1:39" s="23" customFormat="1" ht="14.1" customHeight="1" x14ac:dyDescent="0.2">
      <c r="A608" s="145"/>
      <c r="B608" s="985" t="s">
        <v>685</v>
      </c>
      <c r="C608" s="321"/>
      <c r="D608" s="717"/>
      <c r="E608" s="717"/>
      <c r="F608" s="287"/>
      <c r="G608" s="288"/>
      <c r="H608" s="288"/>
      <c r="I608" s="746"/>
      <c r="AF608" s="361">
        <f t="shared" si="107"/>
        <v>1</v>
      </c>
      <c r="AG608" s="58"/>
      <c r="AH608" s="58"/>
      <c r="AI608" s="59"/>
      <c r="AJ608" s="59"/>
      <c r="AK608" s="159" t="s">
        <v>0</v>
      </c>
      <c r="AL608" s="76"/>
    </row>
    <row r="609" spans="1:38" s="23" customFormat="1" ht="14.1" customHeight="1" x14ac:dyDescent="0.2">
      <c r="A609" s="145"/>
      <c r="B609" s="985" t="str">
        <f>AK609</f>
        <v>* verifies/clarifies additional edits with BrianF &amp; DavidC as warranted</v>
      </c>
      <c r="C609" s="321"/>
      <c r="D609" s="1041"/>
      <c r="E609" s="1041"/>
      <c r="F609" s="1041"/>
      <c r="G609" s="1041"/>
      <c r="I609" s="746"/>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8">AK610</f>
        <v>DavidC emails BrianF &amp; AndreaG approval to publish notice</v>
      </c>
      <c r="C610" s="1047" t="s">
        <v>683</v>
      </c>
      <c r="D610" s="1047"/>
      <c r="E610" s="1047"/>
      <c r="F610" s="1047"/>
      <c r="G610" s="1048"/>
      <c r="H610" s="256">
        <f>AH610</f>
        <v>41983</v>
      </c>
      <c r="I610" s="746"/>
      <c r="AF610" s="361">
        <f t="shared" si="107"/>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607</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684</v>
      </c>
      <c r="C615" s="546" t="s">
        <v>0</v>
      </c>
      <c r="D615" s="283"/>
      <c r="E615" s="751"/>
      <c r="H615" s="256">
        <f t="shared" ref="H615" si="109">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0">AK616</f>
        <v>AndreaG works with Rule Publication to:</v>
      </c>
      <c r="C616" s="321"/>
      <c r="D616" s="478" t="s">
        <v>0</v>
      </c>
      <c r="E616" s="478"/>
      <c r="F616" s="478"/>
      <c r="G616" s="256">
        <f>AG616</f>
        <v>41981</v>
      </c>
      <c r="I616" s="746"/>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1">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647</v>
      </c>
      <c r="C618" s="358" t="s">
        <v>48</v>
      </c>
      <c r="D618" s="325"/>
      <c r="E618" s="325"/>
      <c r="F618" s="262"/>
      <c r="G618" s="258"/>
      <c r="H618" s="258"/>
      <c r="I618" s="746"/>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x14ac:dyDescent="0.25">
      <c r="A619" s="145"/>
      <c r="B619" s="289" t="s">
        <v>648</v>
      </c>
      <c r="C619" s="543"/>
      <c r="D619" s="325"/>
      <c r="E619" s="325"/>
      <c r="F619" s="262"/>
      <c r="G619" s="258"/>
      <c r="H619" s="258"/>
      <c r="I619" s="746"/>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x14ac:dyDescent="0.25">
      <c r="A620" s="145"/>
      <c r="B620" s="289" t="s">
        <v>752</v>
      </c>
      <c r="C620" s="358" t="str">
        <f>HYPERLINK("\\deqhq1\Rule_Resources\i\Final Review Checklist.docx","i")</f>
        <v>i</v>
      </c>
      <c r="D620" s="325"/>
      <c r="E620" s="325"/>
      <c r="F620" s="262"/>
      <c r="G620" s="258"/>
      <c r="H620" s="258"/>
      <c r="I620" s="746"/>
      <c r="AF620" s="361">
        <f t="shared" si="107"/>
        <v>1</v>
      </c>
      <c r="AG620" s="58"/>
      <c r="AH620" s="58"/>
      <c r="AI620" s="59"/>
      <c r="AJ620" s="59"/>
      <c r="AK620" s="74"/>
      <c r="AL620" s="76"/>
    </row>
    <row r="621" spans="1:38" s="23" customFormat="1" ht="14.1" customHeight="1" thickBot="1" x14ac:dyDescent="0.25">
      <c r="A621" s="145"/>
      <c r="B621" s="289" t="s">
        <v>652</v>
      </c>
      <c r="C621" s="543"/>
      <c r="D621" s="325"/>
      <c r="E621" s="325"/>
      <c r="F621" s="262"/>
      <c r="G621" s="258"/>
      <c r="H621" s="258"/>
      <c r="I621" s="746"/>
      <c r="AF621" s="361">
        <f t="shared" si="107"/>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hidden="1" customHeight="1" thickBot="1" x14ac:dyDescent="0.25">
      <c r="A623" s="145" t="s">
        <v>0</v>
      </c>
      <c r="B623" s="289" t="s">
        <v>650</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651</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678</v>
      </c>
      <c r="C626" s="546" t="s">
        <v>0</v>
      </c>
      <c r="D626" s="1029" t="s">
        <v>646</v>
      </c>
      <c r="E626" s="1029"/>
      <c r="F626" s="1029"/>
      <c r="G626" s="1030"/>
      <c r="H626" s="976">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653</v>
      </c>
      <c r="C627" s="358" t="s">
        <v>48</v>
      </c>
      <c r="D627" s="283"/>
      <c r="E627" s="751"/>
      <c r="F627" s="262"/>
      <c r="G627" s="258"/>
      <c r="H627"/>
      <c r="I627" s="746"/>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x14ac:dyDescent="0.25">
      <c r="A628" s="145"/>
      <c r="B628" s="298" t="s">
        <v>655</v>
      </c>
      <c r="C628" s="500" t="s">
        <v>48</v>
      </c>
      <c r="D628" s="283"/>
      <c r="E628" s="751"/>
      <c r="F628"/>
      <c r="G628"/>
      <c r="H628"/>
      <c r="I628" s="746"/>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x14ac:dyDescent="0.2">
      <c r="A629" s="145"/>
      <c r="B629" s="289" t="s">
        <v>654</v>
      </c>
      <c r="C629" s="543"/>
      <c r="D629" s="283"/>
      <c r="E629" s="751"/>
      <c r="F629" s="262"/>
      <c r="G629" s="258"/>
      <c r="H629" s="258"/>
      <c r="I629" s="746"/>
      <c r="AF629" s="361">
        <f t="shared" si="112"/>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682</v>
      </c>
      <c r="C630" s="546" t="s">
        <v>0</v>
      </c>
      <c r="D630" s="1028" t="s">
        <v>0</v>
      </c>
      <c r="E630" s="1029"/>
      <c r="F630" s="1029"/>
      <c r="G630" s="1030"/>
      <c r="H630" s="263">
        <f>AH630</f>
        <v>41989</v>
      </c>
      <c r="I630" s="746"/>
      <c r="AF630" s="361">
        <f t="shared" si="112"/>
        <v>1</v>
      </c>
      <c r="AG630" s="59"/>
      <c r="AH630" s="60">
        <f t="shared" ref="AH630" si="113">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x14ac:dyDescent="0.2">
      <c r="A634" s="145"/>
      <c r="B634" s="289" t="s">
        <v>659</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660</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656</v>
      </c>
      <c r="C636" s="358" t="str">
        <f>HYPERLINK("http://oarnoticefilings.sos.state.or.us","i")</f>
        <v>i</v>
      </c>
      <c r="D636" s="718"/>
      <c r="E636" s="718"/>
      <c r="I636" s="746"/>
      <c r="AF636" s="361">
        <f t="shared" ref="AF636:AF647" si="114">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4"/>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4"/>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4"/>
        <v>1</v>
      </c>
      <c r="AG639" s="58"/>
      <c r="AH639" s="58"/>
      <c r="AI639" s="59"/>
      <c r="AJ639" s="59"/>
      <c r="AK639" s="182" t="str">
        <f>S.Staff.LegislativeLiason&amp;":"</f>
        <v>MargaretO:</v>
      </c>
      <c r="AL639" s="76"/>
    </row>
    <row r="640" spans="1:39" s="23" customFormat="1" ht="14.1" customHeight="1" x14ac:dyDescent="0.25">
      <c r="A640" s="145"/>
      <c r="B640" s="269" t="s">
        <v>661</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4"/>
        <v>1</v>
      </c>
      <c r="AG640" s="59"/>
      <c r="AH640" s="59"/>
      <c r="AI640" s="59"/>
      <c r="AJ640" s="59"/>
      <c r="AK640" s="159" t="s">
        <v>0</v>
      </c>
      <c r="AL640" s="76"/>
    </row>
    <row r="641" spans="1:39" s="23" customFormat="1" ht="14.1" customHeight="1" x14ac:dyDescent="0.2">
      <c r="A641" s="145"/>
      <c r="B641" s="269" t="s">
        <v>662</v>
      </c>
      <c r="C641" s="543"/>
      <c r="D641" s="283"/>
      <c r="E641" s="751"/>
      <c r="I641" s="746"/>
      <c r="AF641" s="361">
        <f t="shared" si="114"/>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4"/>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4"/>
        <v>1</v>
      </c>
      <c r="AG643" s="58"/>
      <c r="AH643" s="58"/>
      <c r="AI643" s="59"/>
      <c r="AJ643" s="59"/>
      <c r="AK643" s="182" t="str">
        <f>"* copies "&amp;S.Staff.Subject.Expert.FirstName</f>
        <v>* copies BrianF</v>
      </c>
      <c r="AL643" s="76"/>
    </row>
    <row r="644" spans="1:39" s="23" customFormat="1" ht="14.1" customHeight="1" x14ac:dyDescent="0.2">
      <c r="A644" s="145"/>
      <c r="B644" s="220" t="s">
        <v>657</v>
      </c>
      <c r="C644" s="258"/>
      <c r="D644" s="283"/>
      <c r="E644" s="751"/>
      <c r="F644" s="262"/>
      <c r="G644" s="258"/>
      <c r="H644" s="258"/>
      <c r="I644" s="746"/>
      <c r="J644"/>
      <c r="K644"/>
      <c r="L644"/>
      <c r="M644"/>
      <c r="N644"/>
      <c r="O644"/>
      <c r="P644"/>
      <c r="Q644"/>
      <c r="R644"/>
      <c r="S644"/>
      <c r="T644"/>
      <c r="U644"/>
      <c r="X644"/>
      <c r="AB644"/>
      <c r="AC644"/>
      <c r="AF644" s="361">
        <f t="shared" si="114"/>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5">AG645</f>
        <v>41989</v>
      </c>
      <c r="H645" s="263">
        <f t="shared" ref="H645" si="116">AH645</f>
        <v>42027</v>
      </c>
      <c r="I645" s="746"/>
      <c r="J645"/>
      <c r="K645"/>
      <c r="L645"/>
      <c r="M645"/>
      <c r="N645"/>
      <c r="O645"/>
      <c r="P645"/>
      <c r="Q645"/>
      <c r="R645"/>
      <c r="S645"/>
      <c r="T645"/>
      <c r="U645"/>
      <c r="X645"/>
      <c r="AB645"/>
      <c r="AC645"/>
      <c r="AF645" s="361">
        <f t="shared" si="114"/>
        <v>1</v>
      </c>
      <c r="AG645" s="60">
        <f>IF(AF645=0,,S.Notice.OpenComment)</f>
        <v>41989</v>
      </c>
      <c r="AH645" s="60">
        <f>IF(AF645=0,,S.Notice.BANNER.End)</f>
        <v>42027</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42027</v>
      </c>
      <c r="I646" s="746"/>
      <c r="J646"/>
      <c r="K646"/>
      <c r="L646"/>
      <c r="M646"/>
      <c r="N646"/>
      <c r="O646"/>
      <c r="P646"/>
      <c r="Q646"/>
      <c r="R646"/>
      <c r="S646"/>
      <c r="T646"/>
      <c r="U646"/>
      <c r="X646"/>
      <c r="AB646"/>
      <c r="AC646"/>
      <c r="AF646" s="361">
        <f t="shared" si="114"/>
        <v>1</v>
      </c>
      <c r="AG646" s="60">
        <f>IF(AF646=0,,S.Notice.BANNER.Begin)</f>
        <v>41820</v>
      </c>
      <c r="AH646" s="60">
        <f>IF(AF646=0,,S.Notice.BANNER.End)</f>
        <v>42027</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658</v>
      </c>
      <c r="C647" s="258"/>
      <c r="D647" s="283"/>
      <c r="E647" s="751"/>
      <c r="F647" s="262"/>
      <c r="G647" s="258"/>
      <c r="H647" s="258"/>
      <c r="I647" s="746"/>
      <c r="AF647" s="361">
        <f t="shared" si="114"/>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21" t="str">
        <f>AK29</f>
        <v>Public Comment and Testimony</v>
      </c>
      <c r="C649" s="1021"/>
      <c r="D649" s="1021"/>
      <c r="E649" s="1021"/>
      <c r="F649" s="1021"/>
      <c r="G649" s="1021"/>
      <c r="H649" s="1021"/>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x14ac:dyDescent="0.25">
      <c r="A654" s="145"/>
      <c r="B654" s="298" t="str">
        <f>AK654</f>
        <v>BrianF verifies venues and equipment, gathers supplies</v>
      </c>
      <c r="C654" s="414" t="s">
        <v>48</v>
      </c>
      <c r="D654" s="357"/>
      <c r="E654" s="751"/>
      <c r="F654" s="23"/>
      <c r="G654" s="299">
        <f>AG654</f>
        <v>41988</v>
      </c>
      <c r="H654" s="299">
        <f>AH654</f>
        <v>42024</v>
      </c>
      <c r="I654" s="746"/>
      <c r="AF654" s="361">
        <f>IF(AND(S.Notice.Involved="Y",S.Hearing.1stInvolve="Y"),1,0)</f>
        <v>1</v>
      </c>
      <c r="AG654" s="60">
        <f>IF(AF654=0,,S.Hearing.BANNER.Begin)</f>
        <v>41988</v>
      </c>
      <c r="AH654" s="60">
        <f>S.Hearing.1stDate</f>
        <v>42024</v>
      </c>
      <c r="AI654" s="59"/>
      <c r="AJ654" s="59"/>
      <c r="AK654" s="67" t="str">
        <f>S.Staff.Support&amp;" verifies venues and equipment, gathers supplies"</f>
        <v>BrianF verifies venues and equipment, gathers supplies</v>
      </c>
      <c r="AL654" s="76"/>
      <c r="AM654"/>
    </row>
    <row r="655" spans="1:39" s="23" customFormat="1" ht="14.1" customHeight="1" outlineLevel="2" x14ac:dyDescent="0.2">
      <c r="A655" s="145"/>
      <c r="B655" s="517" t="str">
        <f>AK655</f>
        <v>Team does not plan to hold information meeting</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customHeight="1" outlineLevel="2" x14ac:dyDescent="0.2">
      <c r="A656" s="145"/>
      <c r="B656" s="448" t="str">
        <f>AK656</f>
        <v>BrianF:</v>
      </c>
      <c r="C656" s="258"/>
      <c r="D656" s="283"/>
      <c r="E656" s="751"/>
      <c r="G656" s="299">
        <f t="shared" ref="G656" si="117">AG656</f>
        <v>41988</v>
      </c>
      <c r="H656" s="299">
        <f t="shared" ref="H656" si="118">AH656</f>
        <v>41988</v>
      </c>
      <c r="I656" s="746"/>
      <c r="J656"/>
      <c r="K656"/>
      <c r="L656"/>
      <c r="M656"/>
      <c r="N656"/>
      <c r="O656"/>
      <c r="P656"/>
      <c r="Q656"/>
      <c r="R656"/>
      <c r="S656"/>
      <c r="T656"/>
      <c r="U656"/>
      <c r="X656"/>
      <c r="AB656"/>
      <c r="AC656"/>
      <c r="AF656" s="361">
        <f>IF(AND(S.Notice.Involved="Y",S.Notice.AD.Involved="Y"),1,0)</f>
        <v>1</v>
      </c>
      <c r="AG656" s="60">
        <f t="shared" ref="AG656:AG661" si="119">IF(AF656=0,,S.Hearing.BANNER.Begin)</f>
        <v>41988</v>
      </c>
      <c r="AH656" s="60">
        <f>G656</f>
        <v>41988</v>
      </c>
      <c r="AI656" s="59"/>
      <c r="AJ656" s="59"/>
      <c r="AK656" s="67" t="str">
        <f>S.Staff.Subject.Expert.FirstName&amp;":"</f>
        <v>BrianF:</v>
      </c>
      <c r="AL656" s="76"/>
    </row>
    <row r="657" spans="1:39" s="23" customFormat="1" ht="14.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0</v>
      </c>
      <c r="AG657" s="60">
        <f t="shared" si="119"/>
        <v>0</v>
      </c>
      <c r="AH657" s="60">
        <f>G657</f>
        <v>0</v>
      </c>
      <c r="AI657" s="59"/>
      <c r="AJ657" s="59"/>
      <c r="AK657" s="381"/>
      <c r="AL657" s="76"/>
    </row>
    <row r="658" spans="1:39" s="23" customFormat="1" ht="14.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0">IF(AND(S.Notice.Involved="Y",S.Hearing.1stInvolve="Y",S.Notice.InformationMeeting="Y",S.Planning.MessageMap="Y"),1,0)</f>
        <v>0</v>
      </c>
      <c r="AG658" s="60">
        <f t="shared" si="119"/>
        <v>0</v>
      </c>
      <c r="AH658" s="60">
        <f t="shared" ref="AH658:AH661" si="121">G658</f>
        <v>0</v>
      </c>
      <c r="AI658" s="59"/>
      <c r="AJ658" s="59"/>
      <c r="AK658" s="381"/>
      <c r="AL658" s="76"/>
    </row>
    <row r="659" spans="1:39" s="459" customFormat="1" ht="14.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0"/>
        <v>0</v>
      </c>
      <c r="AG659" s="60">
        <f t="shared" si="119"/>
        <v>0</v>
      </c>
      <c r="AH659" s="60">
        <f t="shared" si="121"/>
        <v>0</v>
      </c>
      <c r="AI659" s="461"/>
      <c r="AJ659" s="461"/>
      <c r="AK659" s="381"/>
      <c r="AL659" s="460"/>
    </row>
    <row r="660" spans="1:39" s="23" customFormat="1" ht="14.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0"/>
        <v>0</v>
      </c>
      <c r="AG660" s="60">
        <f t="shared" si="119"/>
        <v>0</v>
      </c>
      <c r="AH660" s="60">
        <f t="shared" si="121"/>
        <v>0</v>
      </c>
      <c r="AI660" s="59"/>
      <c r="AJ660" s="59"/>
      <c r="AK660" s="381"/>
      <c r="AL660" s="76"/>
    </row>
    <row r="661" spans="1:39" ht="14.1" customHeight="1" outlineLevel="2" x14ac:dyDescent="0.2">
      <c r="A661" s="145"/>
      <c r="B661" s="448" t="s">
        <v>224</v>
      </c>
      <c r="C661" s="542" t="s">
        <v>0</v>
      </c>
      <c r="D661" s="283"/>
      <c r="E661" s="751"/>
      <c r="F661" s="23"/>
      <c r="G661"/>
      <c r="H661"/>
      <c r="I661" s="746"/>
      <c r="AF661" s="361">
        <f t="shared" si="120"/>
        <v>0</v>
      </c>
      <c r="AG661" s="60">
        <f t="shared" si="119"/>
        <v>0</v>
      </c>
      <c r="AH661" s="60">
        <f t="shared" si="121"/>
        <v>0</v>
      </c>
      <c r="AI661" s="59"/>
      <c r="AJ661" s="59"/>
      <c r="AK661" s="381"/>
      <c r="AL661" s="76"/>
      <c r="AM661"/>
    </row>
    <row r="662" spans="1:39" s="23" customFormat="1" ht="14.1" customHeight="1" outlineLevel="2" x14ac:dyDescent="0.2">
      <c r="A662" s="145"/>
      <c r="B662" s="448" t="str">
        <f>AK662</f>
        <v>* initiates DavidC's review/approval, addresses suggestions</v>
      </c>
      <c r="C662" s="546" t="s">
        <v>0</v>
      </c>
      <c r="D662" s="283"/>
      <c r="E662" s="751"/>
      <c r="G662" s="299">
        <f t="shared" ref="G662" si="122">AG662</f>
        <v>41988</v>
      </c>
      <c r="H662" s="299">
        <f t="shared" ref="H662" si="123">AH662</f>
        <v>41988</v>
      </c>
      <c r="I662" s="746"/>
      <c r="J662"/>
      <c r="K662"/>
      <c r="L662"/>
      <c r="M662"/>
      <c r="N662"/>
      <c r="O662"/>
      <c r="P662"/>
      <c r="Q662"/>
      <c r="R662"/>
      <c r="S662"/>
      <c r="T662"/>
      <c r="U662"/>
      <c r="X662"/>
      <c r="AB662"/>
      <c r="AC662"/>
      <c r="AF662" s="361">
        <f t="shared" si="120"/>
        <v>0</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customHeight="1" outlineLevel="2" thickBot="1" x14ac:dyDescent="0.25">
      <c r="A663" s="145"/>
      <c r="B663" s="560" t="str">
        <f t="shared" ref="B663:B666" si="124">AK663</f>
        <v>1st loop DavidC reviews/approves optional presentation</v>
      </c>
      <c r="C663" s="543"/>
      <c r="D663" s="283"/>
      <c r="E663" s="751"/>
      <c r="F663" s="23"/>
      <c r="G663" s="299">
        <f t="shared" ref="G663:H666" si="125">AG663</f>
        <v>41988</v>
      </c>
      <c r="H663" s="299">
        <f t="shared" si="125"/>
        <v>41988</v>
      </c>
      <c r="I663" s="746"/>
      <c r="AF663" s="361">
        <f t="shared" si="120"/>
        <v>0</v>
      </c>
      <c r="AG663" s="60">
        <f>G656</f>
        <v>41988</v>
      </c>
      <c r="AH663" s="60">
        <f t="shared" ref="AH663:AH666" si="126">AG663</f>
        <v>41988</v>
      </c>
      <c r="AI663" s="59" t="s">
        <v>0</v>
      </c>
      <c r="AJ663" s="59"/>
      <c r="AK663" s="182" t="str">
        <f>"1st loop "&amp;S.Staff.Program.Mgr.FirstName&amp;" reviews/approves optional presentation"</f>
        <v>1st loop DavidC reviews/approves optional presentation</v>
      </c>
      <c r="AL663" s="76"/>
      <c r="AM663"/>
    </row>
    <row r="664" spans="1:39" ht="14.1" customHeight="1" outlineLevel="2" thickBot="1" x14ac:dyDescent="0.25">
      <c r="A664" s="145"/>
      <c r="B664" s="561" t="str">
        <f t="shared" si="124"/>
        <v>2nd loop DavidC reviews/approves optional presentation</v>
      </c>
      <c r="C664" s="481" t="s">
        <v>205</v>
      </c>
      <c r="D664" s="283"/>
      <c r="E664" s="751"/>
      <c r="F664" s="23"/>
      <c r="G664" s="299">
        <f t="shared" si="125"/>
        <v>0</v>
      </c>
      <c r="H664" s="299">
        <f t="shared" si="125"/>
        <v>0</v>
      </c>
      <c r="I664" s="746"/>
      <c r="AF664" s="361">
        <f>IF(S.EQC.ApprovePresentationLoop2="N",,IF(AND(S.Notice.Involved="Y",S.Hearing.1stInvolve="Y",S.Notice.InformationMeeting="Y",S.Planning.MessageMap="Y"),1,0))</f>
        <v>0</v>
      </c>
      <c r="AG664" s="60">
        <f>IF(AF664=0,,MAX(AH657:AH661))</f>
        <v>0</v>
      </c>
      <c r="AH664" s="60">
        <f t="shared" si="126"/>
        <v>0</v>
      </c>
      <c r="AI664" s="59" t="s">
        <v>0</v>
      </c>
      <c r="AJ664" s="59"/>
      <c r="AK664" s="182" t="str">
        <f>"2nd loop "&amp;S.Staff.Program.Mgr.FirstName&amp;" reviews/approves optional presentation"</f>
        <v>2nd loop DavidC reviews/approves optional presentation</v>
      </c>
      <c r="AL664" s="76"/>
      <c r="AM664"/>
    </row>
    <row r="665" spans="1:39" ht="14.1" customHeight="1" outlineLevel="2" thickBot="1" x14ac:dyDescent="0.25">
      <c r="A665" s="145"/>
      <c r="B665" s="562" t="str">
        <f t="shared" si="124"/>
        <v>3rd loop DavidC reviews/approves optional presentation</v>
      </c>
      <c r="C665" s="481" t="s">
        <v>205</v>
      </c>
      <c r="D665" s="283"/>
      <c r="E665" s="751"/>
      <c r="F665" s="23"/>
      <c r="G665" s="299">
        <f t="shared" si="125"/>
        <v>0</v>
      </c>
      <c r="H665" s="299">
        <f t="shared" si="125"/>
        <v>0</v>
      </c>
      <c r="I665" s="746"/>
      <c r="AF665" s="361">
        <f>IF(S.EQC.ApprovePresentationLoop3="N",,IF(AND(S.Notice.Involved="Y",S.Hearing.1stInvolve="Y",S.Notice.InformationMeeting="Y",S.Planning.MessageMap="Y"),1,0))</f>
        <v>0</v>
      </c>
      <c r="AG665" s="60">
        <f>IF(AF665=0,,MAX(AH657:AH661))</f>
        <v>0</v>
      </c>
      <c r="AH665" s="60">
        <f t="shared" si="126"/>
        <v>0</v>
      </c>
      <c r="AI665" s="59"/>
      <c r="AJ665" s="59"/>
      <c r="AK665" s="182" t="str">
        <f>"3rd loop "&amp;S.Staff.Program.Mgr.FirstName&amp;" reviews/approves optional presentation"</f>
        <v>3rd loop DavidC reviews/approves optional presentation</v>
      </c>
      <c r="AL665" s="76"/>
      <c r="AM665"/>
    </row>
    <row r="666" spans="1:39" ht="14.1" customHeight="1" outlineLevel="2" thickBot="1" x14ac:dyDescent="0.25">
      <c r="A666" s="145"/>
      <c r="B666" s="563" t="str">
        <f t="shared" si="124"/>
        <v>4th loop DavidC reviews/approves optional presentation</v>
      </c>
      <c r="C666" s="481" t="s">
        <v>205</v>
      </c>
      <c r="D666" s="283"/>
      <c r="E666" s="751"/>
      <c r="F666" s="23"/>
      <c r="G666" s="299">
        <f t="shared" si="125"/>
        <v>0</v>
      </c>
      <c r="H666" s="299">
        <f t="shared" si="125"/>
        <v>0</v>
      </c>
      <c r="I666" s="746"/>
      <c r="AF666" s="361">
        <f>IF(S.EQC.ApprovePresentationLoop4="N",,IF(AND(S.Notice.Involved="Y",S.Hearing.1stInvolve="Y",S.Notice.InformationMeeting="Y",S.Planning.MessageMap="Y"),1,0))</f>
        <v>0</v>
      </c>
      <c r="AG666" s="60">
        <f>IF(AF666=0,,MAX(AH657:AH661))</f>
        <v>0</v>
      </c>
      <c r="AH666" s="60">
        <f t="shared" si="126"/>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x14ac:dyDescent="0.2">
      <c r="A667" s="145"/>
      <c r="B667" s="290" t="s">
        <v>704</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x14ac:dyDescent="0.25">
      <c r="A668" s="145"/>
      <c r="B668" s="425" t="s">
        <v>200</v>
      </c>
      <c r="C668" s="546" t="s">
        <v>0</v>
      </c>
      <c r="D668" s="283"/>
      <c r="E668" s="751"/>
      <c r="G668" s="299">
        <f t="shared" ref="G668:G669" si="127">AG668</f>
        <v>41988</v>
      </c>
      <c r="H668" s="299">
        <f>AH668</f>
        <v>42024</v>
      </c>
      <c r="I668" s="746"/>
      <c r="J668"/>
      <c r="K668"/>
      <c r="L668"/>
      <c r="M668"/>
      <c r="N668"/>
      <c r="O668"/>
      <c r="P668"/>
      <c r="Q668"/>
      <c r="R668"/>
      <c r="S668"/>
      <c r="T668"/>
      <c r="U668"/>
      <c r="X668"/>
      <c r="AB668"/>
      <c r="AC668"/>
      <c r="AF668" s="361">
        <f>IF(S.Notice.Involved="Y",1,0)</f>
        <v>1</v>
      </c>
      <c r="AG668" s="60">
        <f>IF(AF668=0,,S.Hearing.BANNER.Begin)</f>
        <v>41988</v>
      </c>
      <c r="AH668" s="60">
        <f>S.Hearing.1stDate</f>
        <v>42024</v>
      </c>
      <c r="AI668" s="59"/>
      <c r="AJ668" s="61"/>
      <c r="AK668" s="62"/>
      <c r="AL668" s="76"/>
    </row>
    <row r="669" spans="1:39" s="23" customFormat="1" ht="14.1" customHeight="1" outlineLevel="1" thickBot="1" x14ac:dyDescent="0.25">
      <c r="A669" s="145"/>
      <c r="B669" s="425" t="s">
        <v>204</v>
      </c>
      <c r="C669" s="414" t="s">
        <v>48</v>
      </c>
      <c r="D669" s="283"/>
      <c r="E669" s="751"/>
      <c r="G669" s="299">
        <f t="shared" si="127"/>
        <v>41988</v>
      </c>
      <c r="H669" s="299">
        <f>AH669</f>
        <v>42024</v>
      </c>
      <c r="I669" s="746"/>
      <c r="J669"/>
      <c r="K669"/>
      <c r="L669"/>
      <c r="M669"/>
      <c r="N669"/>
      <c r="O669"/>
      <c r="P669"/>
      <c r="Q669"/>
      <c r="R669"/>
      <c r="S669"/>
      <c r="T669"/>
      <c r="U669"/>
      <c r="X669"/>
      <c r="AB669"/>
      <c r="AC669"/>
      <c r="AF669" s="361">
        <f>IF(S.Notice.Involved="Y",1,0)</f>
        <v>1</v>
      </c>
      <c r="AG669" s="60">
        <f>IF(AF669=0,,S.Hearing.BANNER.Begin)</f>
        <v>41988</v>
      </c>
      <c r="AH669" s="60">
        <f>S.Hearing.1stDate</f>
        <v>42024</v>
      </c>
      <c r="AI669" s="59"/>
      <c r="AJ669" s="61"/>
      <c r="AK669" s="62"/>
      <c r="AL669" s="76"/>
    </row>
    <row r="670" spans="1:39" s="23" customFormat="1" ht="14.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x14ac:dyDescent="0.2">
      <c r="A671" s="145"/>
      <c r="B671" s="275" t="str">
        <f>AK671</f>
        <v>1. Grants Pass hearing</v>
      </c>
      <c r="C671" s="546" t="s">
        <v>0</v>
      </c>
      <c r="D671" s="706"/>
      <c r="E671" s="706"/>
      <c r="F671"/>
      <c r="G671"/>
      <c r="H671" s="309">
        <f>AH671</f>
        <v>42024</v>
      </c>
      <c r="I671" s="746"/>
      <c r="AF671" s="361">
        <f>IF(AND(S.Notice.Involved="Y",S.Hearing.1stInvolve="Y",S.Hearing.2ndInvolve),1,0)</f>
        <v>1</v>
      </c>
      <c r="AG671" s="59"/>
      <c r="AH671" s="60">
        <f>S.Hearing.1stDate</f>
        <v>42024</v>
      </c>
      <c r="AI671" s="59"/>
      <c r="AJ671" s="59"/>
      <c r="AK671" s="67" t="str">
        <f>"1. "&amp;S.Hearing.1stCity&amp;" hearing"</f>
        <v>1. Grants Pass hearing</v>
      </c>
      <c r="AL671" s="76"/>
      <c r="AM671"/>
    </row>
    <row r="672" spans="1:39" s="23" customFormat="1" ht="14.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8">AK673</f>
        <v>2. Enter city name hearing</v>
      </c>
      <c r="C673" s="546" t="s">
        <v>0</v>
      </c>
      <c r="D673" s="706"/>
      <c r="E673" s="706"/>
      <c r="F673"/>
      <c r="G673"/>
      <c r="H673" s="309">
        <f t="shared" ref="H673:H685" si="129">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8"/>
        <v>3. Enter city name hearing</v>
      </c>
      <c r="C675" s="546" t="s">
        <v>0</v>
      </c>
      <c r="D675" s="706"/>
      <c r="E675" s="706"/>
      <c r="F675"/>
      <c r="G675"/>
      <c r="H675" s="309">
        <f t="shared" si="129"/>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8"/>
        <v>4. Enter city name hearing</v>
      </c>
      <c r="C677" s="546" t="s">
        <v>0</v>
      </c>
      <c r="D677" s="706"/>
      <c r="E677" s="706"/>
      <c r="F677"/>
      <c r="G677"/>
      <c r="H677" s="309">
        <f t="shared" si="129"/>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8"/>
        <v>5. Enter city name hearing</v>
      </c>
      <c r="C679" s="546" t="s">
        <v>0</v>
      </c>
      <c r="D679" s="706"/>
      <c r="E679" s="706"/>
      <c r="F679"/>
      <c r="G679"/>
      <c r="H679" s="309">
        <f t="shared" si="129"/>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8"/>
        <v>6. Enter city name hearing</v>
      </c>
      <c r="C681" s="546" t="s">
        <v>0</v>
      </c>
      <c r="D681" s="706"/>
      <c r="E681" s="706"/>
      <c r="F681"/>
      <c r="G681"/>
      <c r="H681" s="309">
        <f t="shared" si="129"/>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8"/>
        <v>7. Enter city name hearing</v>
      </c>
      <c r="C683" s="546" t="s">
        <v>0</v>
      </c>
      <c r="D683" s="706"/>
      <c r="E683" s="706"/>
      <c r="F683"/>
      <c r="G683"/>
      <c r="H683" s="309">
        <f t="shared" si="129"/>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8"/>
        <v>8. Enter city name hearing</v>
      </c>
      <c r="C685" s="546" t="s">
        <v>0</v>
      </c>
      <c r="D685" s="706"/>
      <c r="E685" s="706"/>
      <c r="F685"/>
      <c r="G685"/>
      <c r="H685" s="309">
        <f t="shared" si="129"/>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x14ac:dyDescent="0.2">
      <c r="A687" s="145"/>
      <c r="B687" s="208" t="str">
        <f>AK687</f>
        <v>BrianF, for comments not received through online form:</v>
      </c>
      <c r="C687" s="306"/>
      <c r="D687" s="283"/>
      <c r="E687" s="283"/>
      <c r="F687" s="255">
        <f t="shared" ref="F687" si="130">NETWORKDAYS(G687,H687,S.DDL_DEQClosed)</f>
        <v>10</v>
      </c>
      <c r="G687" s="299">
        <f t="shared" ref="G687" si="131">AG687</f>
        <v>42024</v>
      </c>
      <c r="H687" s="299">
        <f t="shared" ref="H687" si="132">AH687</f>
        <v>42037</v>
      </c>
      <c r="I687" s="746"/>
      <c r="J687"/>
      <c r="K687"/>
      <c r="L687"/>
      <c r="M687"/>
      <c r="N687"/>
      <c r="O687"/>
      <c r="P687"/>
      <c r="Q687"/>
      <c r="R687"/>
      <c r="S687"/>
      <c r="T687"/>
      <c r="U687"/>
      <c r="X687"/>
      <c r="AB687"/>
      <c r="AC687"/>
      <c r="AF687" s="361">
        <f>IF(S.Notice.Involved="Y",1,0)</f>
        <v>1</v>
      </c>
      <c r="AG687" s="60">
        <f>IF(AF687=0,,S.Notice.LastHearingDate)</f>
        <v>42024</v>
      </c>
      <c r="AH687" s="60">
        <f>S.Hearing.BANNER.End</f>
        <v>42037</v>
      </c>
      <c r="AI687" s="59"/>
      <c r="AJ687" s="59"/>
      <c r="AK687" s="67" t="str">
        <f>S.Staff.Support&amp;", for comments not received through online form:"</f>
        <v>BrianF, for comments not received through online form:</v>
      </c>
      <c r="AL687" s="76"/>
    </row>
    <row r="688" spans="1:39" s="23" customFormat="1" ht="14.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customHeight="1" outlineLevel="1" x14ac:dyDescent="0.2">
      <c r="A691" s="145"/>
      <c r="B691" s="876" t="s">
        <v>0</v>
      </c>
      <c r="C691" s="876"/>
      <c r="D691" s="1043" t="s">
        <v>705</v>
      </c>
      <c r="E691" s="1043"/>
      <c r="F691" s="1043"/>
      <c r="G691" s="1044"/>
      <c r="H691" s="388">
        <f>AH691</f>
        <v>42027</v>
      </c>
      <c r="I691" s="746"/>
      <c r="AF691" s="361">
        <f>IF(S.Notice.Involved="Y",1,0)</f>
        <v>1</v>
      </c>
      <c r="AG691" s="59"/>
      <c r="AH691" s="60">
        <f>S.Notice.CloseComment</f>
        <v>42027</v>
      </c>
      <c r="AI691" s="59"/>
      <c r="AJ691" s="61"/>
      <c r="AK691" s="44"/>
      <c r="AL691" s="76"/>
      <c r="AM691"/>
    </row>
    <row r="692" spans="1:39" s="23" customFormat="1" ht="14.1" customHeight="1" outlineLevel="1" x14ac:dyDescent="0.2">
      <c r="A692" s="145"/>
      <c r="B692" s="290" t="str">
        <f>AK692</f>
        <v>BrianF:</v>
      </c>
      <c r="C692" s="258"/>
      <c r="D692" s="283"/>
      <c r="E692"/>
      <c r="F692" s="255">
        <f>NETWORKDAYS(G692,H692,S.DDL_DEQClosed)</f>
        <v>4</v>
      </c>
      <c r="G692" s="299">
        <f>AG692</f>
        <v>42024</v>
      </c>
      <c r="H692" s="299">
        <f>AH692</f>
        <v>42027</v>
      </c>
      <c r="I692" s="746"/>
      <c r="J692"/>
      <c r="K692"/>
      <c r="L692"/>
      <c r="M692"/>
      <c r="N692"/>
      <c r="O692"/>
      <c r="P692"/>
      <c r="Q692"/>
      <c r="R692"/>
      <c r="S692"/>
      <c r="T692"/>
      <c r="U692"/>
      <c r="X692"/>
      <c r="AB692"/>
      <c r="AC692"/>
      <c r="AF692" s="361">
        <f>IF(S.Notice.Involved="Y",1,0)</f>
        <v>1</v>
      </c>
      <c r="AG692" s="60">
        <f>IF(AF692=0,,S.Notice.LastHearingDate)</f>
        <v>42024</v>
      </c>
      <c r="AH692" s="60">
        <f>S.Notice.CloseComment</f>
        <v>42027</v>
      </c>
      <c r="AI692" s="59"/>
      <c r="AJ692" s="59"/>
      <c r="AK692" s="67" t="str">
        <f>S.Staff.Subject.Expert.FirstName&amp;":"</f>
        <v>BrianF:</v>
      </c>
      <c r="AL692" s="76"/>
    </row>
    <row r="693" spans="1:39" ht="14.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customHeight="1" outlineLevel="1" x14ac:dyDescent="0.2">
      <c r="A699" s="145"/>
      <c r="B699" s="877" t="s">
        <v>776</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customHeight="1" outlineLevel="1" x14ac:dyDescent="0.2">
      <c r="A700" s="145"/>
      <c r="B700" s="530" t="str">
        <f>AK700</f>
        <v>BrianF asks Maggie for Rule Publication work</v>
      </c>
      <c r="C700" s="981" t="s">
        <v>48</v>
      </c>
      <c r="D700" s="283"/>
      <c r="E700" s="895"/>
      <c r="F700" s="878" t="s">
        <v>0</v>
      </c>
      <c r="G700" s="879"/>
      <c r="H700" s="299">
        <f t="shared" ref="H700" si="133">AH700</f>
        <v>42030</v>
      </c>
      <c r="I700" s="746"/>
      <c r="J700"/>
      <c r="K700"/>
      <c r="L700"/>
      <c r="M700"/>
      <c r="N700"/>
      <c r="O700"/>
      <c r="P700"/>
      <c r="Q700"/>
      <c r="R700"/>
      <c r="S700"/>
      <c r="T700"/>
      <c r="U700"/>
      <c r="X700"/>
      <c r="AB700"/>
      <c r="AC700"/>
      <c r="AF700" s="361">
        <f t="shared" ref="AF700:AF708" si="134">IF(S.Notice.Involved="Y",1,0)</f>
        <v>1</v>
      </c>
      <c r="AG700" s="58"/>
      <c r="AH700" s="60">
        <f>WORKDAY(H692,1,S.DDL_DEQClosed)</f>
        <v>42030</v>
      </c>
      <c r="AI700" s="59"/>
      <c r="AJ700" s="59"/>
      <c r="AK700" s="67" t="str">
        <f>S.Staff.Subject.Expert.FirstName&amp;" asks "&amp;S.Staff.AgencyRulesCoordinator&amp;" for Rule Publication work"</f>
        <v>BrianF asks Maggie for Rule Publication work</v>
      </c>
      <c r="AL700" s="76"/>
    </row>
    <row r="701" spans="1:39" s="23" customFormat="1" ht="14.1" customHeight="1" outlineLevel="1" x14ac:dyDescent="0.2">
      <c r="A701" s="145" t="s">
        <v>0</v>
      </c>
      <c r="B701" s="530" t="str">
        <f>AK701</f>
        <v>Maggie coordinates Rule Publication work:</v>
      </c>
      <c r="C701" s="321"/>
      <c r="D701" s="283"/>
      <c r="E701" s="751"/>
      <c r="F701"/>
      <c r="G701" s="489">
        <f t="shared" ref="G701" si="135">AG701</f>
        <v>42030</v>
      </c>
      <c r="H701" s="489">
        <f t="shared" ref="H701" si="136">AH701</f>
        <v>42030</v>
      </c>
      <c r="I701" s="746"/>
      <c r="J701"/>
      <c r="K701"/>
      <c r="L701"/>
      <c r="M701"/>
      <c r="N701"/>
      <c r="O701"/>
      <c r="P701"/>
      <c r="Q701"/>
      <c r="R701"/>
      <c r="S701"/>
      <c r="T701"/>
      <c r="U701"/>
      <c r="X701"/>
      <c r="AB701"/>
      <c r="AC701"/>
      <c r="AF701" s="361">
        <f t="shared" si="134"/>
        <v>1</v>
      </c>
      <c r="AG701" s="60">
        <f>IF(AF701=0,,H700)</f>
        <v>42030</v>
      </c>
      <c r="AH701" s="60">
        <f>G701</f>
        <v>42030</v>
      </c>
      <c r="AI701" s="59"/>
      <c r="AJ701" s="59"/>
      <c r="AK701" s="67" t="str">
        <f>S.Staff.AgencyRulesCoordinator&amp;" coordinates Rule Publication work:"</f>
        <v>Maggie coordinates Rule Publication work:</v>
      </c>
      <c r="AL701" s="76"/>
    </row>
    <row r="702" spans="1:39" s="23" customFormat="1" ht="14.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4"/>
        <v>1</v>
      </c>
      <c r="AG702" s="59"/>
      <c r="AH702" s="59"/>
      <c r="AI702" s="59"/>
      <c r="AJ702" s="59"/>
      <c r="AK702" s="74"/>
      <c r="AL702" s="76"/>
    </row>
    <row r="703" spans="1:39" s="23" customFormat="1" ht="14.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4"/>
        <v>1</v>
      </c>
      <c r="AG703" s="59"/>
      <c r="AH703" s="59"/>
      <c r="AI703" s="59"/>
      <c r="AJ703" s="59"/>
      <c r="AK703" s="74"/>
      <c r="AL703" s="76"/>
    </row>
    <row r="704" spans="1:39" s="23" customFormat="1" ht="14.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4"/>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4"/>
        <v>1</v>
      </c>
      <c r="AG705" s="59"/>
      <c r="AH705" s="59"/>
      <c r="AI705" s="59"/>
      <c r="AJ705" s="59"/>
      <c r="AK705" s="182" t="str">
        <f>"* notifies "&amp;S.Staff.Subject.Expert.FirstName&amp;" when complete"</f>
        <v>* notifies BrianF when complete</v>
      </c>
      <c r="AL705" s="76"/>
    </row>
    <row r="706" spans="1:39" s="23" customFormat="1" ht="14.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4"/>
        <v>1</v>
      </c>
      <c r="AG706" s="58"/>
      <c r="AH706" s="58"/>
      <c r="AI706" s="58"/>
      <c r="AJ706" s="44"/>
      <c r="AK706" s="182" t="str">
        <f>S.Staff.Subject.Expert.FirstName&amp;":"</f>
        <v>BrianF:</v>
      </c>
      <c r="AL706" s="76"/>
    </row>
    <row r="707" spans="1:39" s="23" customFormat="1" ht="14.1" customHeight="1" outlineLevel="1" x14ac:dyDescent="0.2">
      <c r="A707" s="145"/>
      <c r="B707" s="269" t="str">
        <f>AK707</f>
        <v>* shares comments/responses to comments with DavidC &amp; Wendy</v>
      </c>
      <c r="C707" s="268"/>
      <c r="D707" s="283"/>
      <c r="E707" s="751"/>
      <c r="F707"/>
      <c r="G707" s="258"/>
      <c r="H707" s="299">
        <f t="shared" ref="H707:H711" si="137">AH707</f>
        <v>42030</v>
      </c>
      <c r="I707" s="746"/>
      <c r="J707"/>
      <c r="K707"/>
      <c r="L707"/>
      <c r="M707"/>
      <c r="N707"/>
      <c r="O707"/>
      <c r="P707"/>
      <c r="Q707"/>
      <c r="R707"/>
      <c r="S707"/>
      <c r="T707"/>
      <c r="U707"/>
      <c r="X707"/>
      <c r="AB707"/>
      <c r="AC707"/>
      <c r="AF707" s="361">
        <f t="shared" si="134"/>
        <v>1</v>
      </c>
      <c r="AG707" s="58"/>
      <c r="AH707" s="60">
        <f>H701</f>
        <v>42030</v>
      </c>
      <c r="AI707" s="58"/>
      <c r="AJ707" s="44"/>
      <c r="AK707" s="182" t="str">
        <f>"* shares comments/responses to comments with "&amp;S.Staff.Program.Mgr.FirstName&amp;" &amp; "&amp;S.Staff.Assistant.DA.ShortName</f>
        <v>* shares comments/responses to comments with DavidC &amp; Wendy</v>
      </c>
      <c r="AL707" s="76"/>
    </row>
    <row r="708" spans="1:39" ht="14.1" customHeight="1" outlineLevel="1" thickBot="1" x14ac:dyDescent="0.25">
      <c r="A708" s="145"/>
      <c r="B708" s="488" t="s">
        <v>270</v>
      </c>
      <c r="C708" s="543"/>
      <c r="D708" s="283"/>
      <c r="E708" s="751"/>
      <c r="F708"/>
      <c r="G708" s="299">
        <f t="shared" ref="G708:G711" si="138">AG708</f>
        <v>42030</v>
      </c>
      <c r="H708" s="299">
        <f t="shared" si="137"/>
        <v>42030</v>
      </c>
      <c r="I708" s="746"/>
      <c r="AF708" s="361">
        <f t="shared" si="134"/>
        <v>1</v>
      </c>
      <c r="AG708" s="60">
        <f>IF(AF708=0,,H707)</f>
        <v>42030</v>
      </c>
      <c r="AH708" s="60">
        <f t="shared" ref="AH708:AH711" si="139">G708</f>
        <v>42030</v>
      </c>
      <c r="AI708" s="59"/>
      <c r="AJ708" s="44"/>
      <c r="AK708" s="44"/>
      <c r="AL708" s="76"/>
      <c r="AM708"/>
    </row>
    <row r="709" spans="1:39" ht="14.1" customHeight="1" outlineLevel="1" thickBot="1" x14ac:dyDescent="0.25">
      <c r="A709" s="145"/>
      <c r="B709" s="485" t="s">
        <v>271</v>
      </c>
      <c r="C709" s="481" t="s">
        <v>205</v>
      </c>
      <c r="D709" s="283"/>
      <c r="E709" s="751"/>
      <c r="F709"/>
      <c r="G709" s="299">
        <f t="shared" si="138"/>
        <v>0</v>
      </c>
      <c r="H709" s="299">
        <f t="shared" si="137"/>
        <v>0</v>
      </c>
      <c r="I709" s="746"/>
      <c r="AF709" s="361">
        <f>IF(AND(S.Comment.ApproveResponseLoop2="Y",S.Notice.Involved="Y"),1,)</f>
        <v>0</v>
      </c>
      <c r="AG709" s="60">
        <f>IF(AF709=0,,H708)</f>
        <v>0</v>
      </c>
      <c r="AH709" s="60">
        <f t="shared" si="139"/>
        <v>0</v>
      </c>
      <c r="AI709" s="59"/>
      <c r="AJ709" s="44"/>
      <c r="AK709" s="44"/>
      <c r="AL709" s="76"/>
      <c r="AM709"/>
    </row>
    <row r="710" spans="1:39" ht="14.1" customHeight="1" outlineLevel="1" thickBot="1" x14ac:dyDescent="0.25">
      <c r="A710" s="145"/>
      <c r="B710" s="486" t="s">
        <v>272</v>
      </c>
      <c r="C710" s="481" t="s">
        <v>205</v>
      </c>
      <c r="D710" s="283"/>
      <c r="E710" s="751"/>
      <c r="F710"/>
      <c r="G710" s="299">
        <f t="shared" si="138"/>
        <v>0</v>
      </c>
      <c r="H710" s="299">
        <f t="shared" si="137"/>
        <v>0</v>
      </c>
      <c r="I710" s="746"/>
      <c r="AF710" s="361">
        <f>IF(AND(S.Comment.ApproveResponseLoop3="Y",S.Notice.Involved="Y"),1,)</f>
        <v>0</v>
      </c>
      <c r="AG710" s="60">
        <f>IF(AF710=0,,H709)</f>
        <v>0</v>
      </c>
      <c r="AH710" s="60">
        <f t="shared" si="139"/>
        <v>0</v>
      </c>
      <c r="AI710" s="59"/>
      <c r="AJ710" s="44"/>
      <c r="AK710" s="44"/>
      <c r="AL710" s="76"/>
      <c r="AM710"/>
    </row>
    <row r="711" spans="1:39" ht="14.1" customHeight="1" outlineLevel="1" thickBot="1" x14ac:dyDescent="0.25">
      <c r="A711" s="145"/>
      <c r="B711" s="487" t="s">
        <v>273</v>
      </c>
      <c r="C711" s="481" t="s">
        <v>205</v>
      </c>
      <c r="D711" s="283"/>
      <c r="E711" s="751"/>
      <c r="F711"/>
      <c r="G711" s="299">
        <f t="shared" si="138"/>
        <v>0</v>
      </c>
      <c r="H711" s="299">
        <f t="shared" si="137"/>
        <v>0</v>
      </c>
      <c r="I711" s="746"/>
      <c r="AF711" s="361">
        <f>IF(AND(S.Comment.ApproveResponseLoop4="Y",S.Notice.Involved="Y"),1,)</f>
        <v>0</v>
      </c>
      <c r="AG711" s="60">
        <f>IF(AF711=0,,H710)</f>
        <v>0</v>
      </c>
      <c r="AH711" s="60">
        <f t="shared" si="139"/>
        <v>0</v>
      </c>
      <c r="AI711" s="59"/>
      <c r="AJ711" s="44"/>
      <c r="AK711" s="44"/>
      <c r="AL711" s="76"/>
      <c r="AM711"/>
    </row>
    <row r="712" spans="1:39" s="23" customFormat="1" ht="14.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customHeight="1" outlineLevel="1" x14ac:dyDescent="0.2">
      <c r="A713" s="389"/>
      <c r="B713" s="269" t="s">
        <v>274</v>
      </c>
      <c r="C713" s="509" t="str">
        <f>HYPERLINK("\\deqhq1\Rule_Development\Currrent Plan","i")</f>
        <v>i</v>
      </c>
      <c r="D713" s="292"/>
      <c r="E713" s="751"/>
      <c r="F713"/>
      <c r="G713" s="258"/>
      <c r="H713" s="436">
        <f>AH713</f>
        <v>42030</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42030</v>
      </c>
      <c r="AI713" s="391"/>
      <c r="AJ713" s="391"/>
      <c r="AK713" s="58" t="s">
        <v>0</v>
      </c>
      <c r="AL713" s="76"/>
    </row>
    <row r="714" spans="1:39" s="23" customFormat="1" ht="14.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x14ac:dyDescent="0.2">
      <c r="A722" s="145" t="s">
        <v>0</v>
      </c>
      <c r="B722" s="289" t="str">
        <f>AK722</f>
        <v>* no Director's Report</v>
      </c>
      <c r="C722" s="551" t="s">
        <v>0</v>
      </c>
      <c r="D722" s="552"/>
      <c r="E722" s="552"/>
      <c r="F722"/>
      <c r="G722" s="291">
        <f t="shared" ref="G722:G723" si="140">AG722</f>
        <v>0</v>
      </c>
      <c r="H722" s="291">
        <f t="shared" ref="H722:H723" si="141">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0"/>
        <v>0</v>
      </c>
      <c r="H723" s="291">
        <f t="shared" si="141"/>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x14ac:dyDescent="0.2">
      <c r="A724" s="145"/>
      <c r="B724" s="289" t="str">
        <f>AK724</f>
        <v>* blank row</v>
      </c>
      <c r="C724" s="551" t="s">
        <v>0</v>
      </c>
      <c r="D724" s="552"/>
      <c r="E724" s="552"/>
      <c r="F724"/>
      <c r="G724" s="291">
        <f t="shared" ref="G724" si="142">AG724</f>
        <v>0</v>
      </c>
      <c r="H724" s="291">
        <f t="shared" ref="H724" si="143">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BrianF develops STAFF.RPT.Permanent preloaded in folder 6 by:</v>
      </c>
      <c r="C725" s="551" t="s">
        <v>0</v>
      </c>
      <c r="D725" s="552"/>
      <c r="E725" s="552"/>
      <c r="F725"/>
      <c r="G725" s="291">
        <f t="shared" ref="G725:H725" si="144">AG725</f>
        <v>41988</v>
      </c>
      <c r="H725" s="291">
        <f t="shared" si="144"/>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5">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x14ac:dyDescent="0.2">
      <c r="A728" s="145"/>
      <c r="B728" s="503" t="s">
        <v>329</v>
      </c>
      <c r="C728" s="535"/>
      <c r="D728" s="535"/>
      <c r="E728" s="535"/>
      <c r="F728"/>
      <c r="G728" s="535"/>
      <c r="H728" s="535"/>
      <c r="I728" s="746"/>
      <c r="AF728" s="361">
        <f t="shared" si="145"/>
        <v>1</v>
      </c>
      <c r="AG728" s="80"/>
      <c r="AH728" s="80"/>
      <c r="AI728" s="59"/>
      <c r="AJ728" s="44"/>
      <c r="AK728" s="44"/>
      <c r="AL728" s="76"/>
      <c r="AM728"/>
    </row>
    <row r="729" spans="1:39" ht="14.1" customHeight="1" outlineLevel="2" x14ac:dyDescent="0.2">
      <c r="A729" s="145"/>
      <c r="B729" s="504" t="s">
        <v>275</v>
      </c>
      <c r="C729" s="535"/>
      <c r="D729" s="535"/>
      <c r="E729" s="535"/>
      <c r="F729"/>
      <c r="G729" s="535"/>
      <c r="H729" s="535"/>
      <c r="I729" s="746"/>
      <c r="AF729" s="361">
        <f t="shared" si="145"/>
        <v>1</v>
      </c>
      <c r="AG729" s="80"/>
      <c r="AH729" s="80"/>
      <c r="AI729" s="59"/>
      <c r="AJ729" s="44"/>
      <c r="AK729" s="44"/>
      <c r="AL729" s="76"/>
      <c r="AM729"/>
    </row>
    <row r="730" spans="1:39" ht="14.1" customHeight="1" outlineLevel="2" x14ac:dyDescent="0.2">
      <c r="A730" s="145"/>
      <c r="B730" s="504" t="s">
        <v>276</v>
      </c>
      <c r="C730" s="535"/>
      <c r="D730" s="535"/>
      <c r="E730" s="535"/>
      <c r="F730"/>
      <c r="G730" s="535"/>
      <c r="H730" s="535"/>
      <c r="I730" s="746"/>
      <c r="AF730" s="361">
        <f t="shared" si="145"/>
        <v>1</v>
      </c>
      <c r="AG730" s="80"/>
      <c r="AH730" s="80"/>
      <c r="AI730" s="59"/>
      <c r="AJ730" s="44"/>
      <c r="AK730" s="44"/>
      <c r="AL730" s="76"/>
      <c r="AM730"/>
    </row>
    <row r="731" spans="1:39" ht="14.1" customHeight="1" outlineLevel="2" x14ac:dyDescent="0.2">
      <c r="A731" s="145"/>
      <c r="B731" s="504" t="s">
        <v>277</v>
      </c>
      <c r="C731" s="535"/>
      <c r="D731" s="535"/>
      <c r="E731" s="535"/>
      <c r="F731"/>
      <c r="G731" s="535"/>
      <c r="H731" s="535"/>
      <c r="I731" s="746"/>
      <c r="AF731" s="361">
        <f t="shared" si="145"/>
        <v>1</v>
      </c>
      <c r="AG731" s="80"/>
      <c r="AH731" s="80"/>
      <c r="AI731" s="59"/>
      <c r="AJ731" s="44"/>
      <c r="AK731" s="44"/>
      <c r="AL731" s="76"/>
      <c r="AM731"/>
    </row>
    <row r="732" spans="1:39" ht="14.1" customHeight="1" outlineLevel="2" x14ac:dyDescent="0.2">
      <c r="A732" s="145"/>
      <c r="B732" s="504" t="s">
        <v>202</v>
      </c>
      <c r="C732" s="535"/>
      <c r="D732" s="535"/>
      <c r="E732" s="535"/>
      <c r="F732"/>
      <c r="G732" s="535"/>
      <c r="H732" s="535"/>
      <c r="I732" s="746"/>
      <c r="AF732" s="361">
        <f t="shared" si="145"/>
        <v>1</v>
      </c>
      <c r="AG732" s="80"/>
      <c r="AH732" s="80"/>
      <c r="AI732" s="59"/>
      <c r="AJ732" s="44"/>
      <c r="AK732" s="44"/>
      <c r="AL732" s="76"/>
      <c r="AM732"/>
    </row>
    <row r="733" spans="1:39" ht="14.1" customHeight="1" outlineLevel="2" x14ac:dyDescent="0.2">
      <c r="A733" s="145"/>
      <c r="B733" s="474" t="s">
        <v>203</v>
      </c>
      <c r="C733" s="535"/>
      <c r="D733" s="535"/>
      <c r="E733" s="535"/>
      <c r="F733"/>
      <c r="G733" s="535"/>
      <c r="H733" s="535"/>
      <c r="I733" s="746"/>
      <c r="AF733" s="361">
        <f t="shared" si="145"/>
        <v>1</v>
      </c>
      <c r="AG733" s="80"/>
      <c r="AH733" s="80"/>
      <c r="AI733" s="59"/>
      <c r="AJ733" s="44"/>
      <c r="AK733" s="44"/>
      <c r="AL733" s="76"/>
      <c r="AM733"/>
    </row>
    <row r="734" spans="1:39" s="23" customFormat="1" ht="14.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5"/>
        <v>1</v>
      </c>
      <c r="AG734" s="80"/>
      <c r="AH734" s="80"/>
      <c r="AI734" s="59"/>
      <c r="AJ734" s="44"/>
      <c r="AK734" s="44"/>
      <c r="AL734" s="76"/>
    </row>
    <row r="735" spans="1:39" s="23" customFormat="1" ht="14.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5"/>
        <v>1</v>
      </c>
      <c r="AG735" s="80"/>
      <c r="AH735" s="80"/>
      <c r="AI735" s="59"/>
      <c r="AJ735" s="44"/>
      <c r="AK735" s="44"/>
      <c r="AL735" s="76"/>
    </row>
    <row r="736" spans="1:39" s="23" customFormat="1" ht="14.1" customHeight="1" outlineLevel="2" x14ac:dyDescent="0.2">
      <c r="A736" s="145"/>
      <c r="B736" s="289" t="s">
        <v>291</v>
      </c>
      <c r="C736" s="510" t="str">
        <f>HYPERLINK("http://arcweb.sos.state.or.us/pages/rules/oars_300/oar_340/340_tofc.html","i")</f>
        <v>i</v>
      </c>
      <c r="D736" s="553"/>
      <c r="E736" s="553"/>
      <c r="F736"/>
      <c r="G736" s="291">
        <f t="shared" ref="G736" si="146">AG736</f>
        <v>41988</v>
      </c>
      <c r="H736" s="291">
        <f t="shared" ref="H736" si="147">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x14ac:dyDescent="0.2">
      <c r="A739" s="145"/>
      <c r="B739" s="463" t="s">
        <v>707</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x14ac:dyDescent="0.2">
      <c r="A740" s="145"/>
      <c r="B740" s="491" t="s">
        <v>706</v>
      </c>
      <c r="C740" s="546" t="s">
        <v>0</v>
      </c>
      <c r="D740" s="308" t="s">
        <v>0</v>
      </c>
      <c r="E740" s="308"/>
      <c r="G740"/>
      <c r="H740"/>
      <c r="I740" s="746"/>
      <c r="AF740" s="361">
        <v>1</v>
      </c>
      <c r="AG740" s="59"/>
      <c r="AH740" s="59"/>
      <c r="AI740" s="59"/>
      <c r="AJ740" s="44"/>
      <c r="AK740" s="346"/>
      <c r="AL740" s="76"/>
    </row>
    <row r="741" spans="1:39" ht="14.1" customHeight="1" outlineLevel="2" x14ac:dyDescent="0.2">
      <c r="A741" s="145"/>
      <c r="B741" s="491" t="s">
        <v>708</v>
      </c>
      <c r="C741" s="546" t="s">
        <v>0</v>
      </c>
      <c r="D741" s="308" t="s">
        <v>0</v>
      </c>
      <c r="E741" s="308"/>
      <c r="F741"/>
      <c r="G741"/>
      <c r="H741"/>
      <c r="I741" s="746"/>
      <c r="AF741" s="361">
        <v>1</v>
      </c>
      <c r="AG741" s="59"/>
      <c r="AH741" s="59"/>
      <c r="AI741" s="59"/>
      <c r="AJ741" s="44"/>
      <c r="AK741" s="346"/>
      <c r="AL741" s="76"/>
      <c r="AM741"/>
    </row>
    <row r="742" spans="1:39" s="23" customFormat="1" ht="14.1" customHeight="1" outlineLevel="2" x14ac:dyDescent="0.2">
      <c r="A742" s="145" t="s">
        <v>0</v>
      </c>
      <c r="B742" s="491" t="s">
        <v>709</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x14ac:dyDescent="0.2">
      <c r="A743" s="145" t="s">
        <v>0</v>
      </c>
      <c r="B743" s="913" t="s">
        <v>723</v>
      </c>
      <c r="C743" s="546" t="s">
        <v>0</v>
      </c>
      <c r="D743" s="308" t="s">
        <v>0</v>
      </c>
      <c r="E743" s="308"/>
      <c r="G743"/>
      <c r="H743"/>
      <c r="I743" s="746"/>
      <c r="AF743" s="361">
        <v>1</v>
      </c>
      <c r="AG743" s="59"/>
      <c r="AH743" s="59"/>
      <c r="AI743" s="59"/>
      <c r="AJ743" s="44"/>
      <c r="AK743" s="346"/>
      <c r="AL743" s="76"/>
    </row>
    <row r="744" spans="1:39" s="23" customFormat="1" ht="14.1" customHeight="1" outlineLevel="2" x14ac:dyDescent="0.2">
      <c r="A744" s="145" t="s">
        <v>0</v>
      </c>
      <c r="B744" s="491" t="s">
        <v>710</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x14ac:dyDescent="0.2">
      <c r="A745" s="145" t="s">
        <v>0</v>
      </c>
      <c r="B745" s="423" t="s">
        <v>711</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x14ac:dyDescent="0.2">
      <c r="A746" s="145" t="s">
        <v>0</v>
      </c>
      <c r="B746" s="423" t="s">
        <v>712</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80" t="str">
        <f>AK754</f>
        <v>AndreaG leads initial Rule Publication work that includes:</v>
      </c>
      <c r="C754" s="268"/>
      <c r="D754" s="40"/>
      <c r="E754" s="40"/>
      <c r="G754" s="1045" t="s">
        <v>606</v>
      </c>
      <c r="H754" s="1046"/>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713</v>
      </c>
      <c r="C755" s="268"/>
      <c r="D755" s="715"/>
      <c r="E755" s="890"/>
      <c r="G755" s="861">
        <f>AG755</f>
        <v>41949</v>
      </c>
      <c r="H755" s="767">
        <f>AH755</f>
        <v>41961</v>
      </c>
      <c r="I755" s="746"/>
      <c r="AF755" s="361">
        <v>1</v>
      </c>
      <c r="AG755" s="567">
        <f>S.Notice.Submit.ToRG</f>
        <v>41949</v>
      </c>
      <c r="AH755" s="567">
        <f>WORKDAY(G755,7,S.DDL_DEQClosed)</f>
        <v>41961</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15" t="s">
        <v>663</v>
      </c>
      <c r="C757" s="546" t="s">
        <v>0</v>
      </c>
      <c r="D757" s="706"/>
      <c r="E757" s="706"/>
      <c r="I757" s="746"/>
      <c r="AF757" s="361">
        <v>1</v>
      </c>
      <c r="AG757" s="59"/>
      <c r="AH757" s="59"/>
      <c r="AI757" s="59"/>
      <c r="AJ757" s="59"/>
      <c r="AK757" s="44"/>
      <c r="AL757" s="76"/>
    </row>
    <row r="758" spans="1:39" s="23" customFormat="1" ht="14.1" customHeight="1" outlineLevel="1" x14ac:dyDescent="0.2">
      <c r="A758" s="145"/>
      <c r="B758" s="320" t="s">
        <v>643</v>
      </c>
      <c r="C758" s="282"/>
      <c r="G758" s="40"/>
      <c r="H758" s="40"/>
      <c r="I758" s="746"/>
      <c r="AF758" s="361">
        <v>1</v>
      </c>
      <c r="AG758" s="59"/>
      <c r="AH758" s="59"/>
      <c r="AI758" s="59"/>
      <c r="AJ758" s="59"/>
      <c r="AK758" s="44"/>
      <c r="AL758" s="76"/>
    </row>
    <row r="759" spans="1:39" s="23" customFormat="1" ht="14.1" customHeight="1" outlineLevel="1" x14ac:dyDescent="0.2">
      <c r="A759" s="145" t="s">
        <v>0</v>
      </c>
      <c r="B759" s="289" t="str">
        <f t="shared" ref="B759" si="148">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customHeight="1" outlineLevel="1" x14ac:dyDescent="0.2">
      <c r="A760" s="145"/>
      <c r="B760" s="284" t="str">
        <f>AK760</f>
        <v>AndreaG lets BrianF know when work is complete</v>
      </c>
      <c r="C760" s="282"/>
      <c r="I760" s="746"/>
      <c r="AF760" s="361">
        <v>1</v>
      </c>
      <c r="AG760" s="59"/>
      <c r="AH760" s="567">
        <f>WORKDAY(H755,1,S.DDL_DEQClosed)</f>
        <v>41962</v>
      </c>
      <c r="AI760" s="59"/>
      <c r="AJ760" s="59"/>
      <c r="AK760" s="777" t="str">
        <f>S.Staff.RG.Lead.FirstName&amp;" lets "&amp;S.Staff.Subject.Expert.FirstName&amp;" know when work is complete"</f>
        <v>AndreaG lets BrianF know when work is complete</v>
      </c>
      <c r="AL760" s="76"/>
    </row>
    <row r="761" spans="1:39" s="632" customFormat="1" ht="14.1" customHeight="1" outlineLevel="1" x14ac:dyDescent="0.2">
      <c r="A761" s="601"/>
      <c r="B761" s="774" t="str">
        <f t="shared" ref="B761" si="149">AK761</f>
        <v>BrianF prepares EQC Staff Report and initiates reviews</v>
      </c>
      <c r="C761" s="268" t="s">
        <v>0</v>
      </c>
      <c r="D761" s="775"/>
      <c r="E761" s="893"/>
      <c r="F761" s="23"/>
      <c r="G761" s="256">
        <f t="shared" ref="G761" si="150">AG761</f>
        <v>41963</v>
      </c>
      <c r="H761" s="256">
        <f t="shared" ref="H761" si="151">AH761</f>
        <v>41967</v>
      </c>
      <c r="I761" s="935"/>
      <c r="AF761" s="361">
        <v>1</v>
      </c>
      <c r="AG761" s="776">
        <f>WORKDAY(H755,2,S.DDL_DEQClosed)</f>
        <v>41963</v>
      </c>
      <c r="AH761" s="776">
        <f>WORKDAY(G761+2,1,S.DDL_DEQClosed)</f>
        <v>41967</v>
      </c>
      <c r="AI761" s="59"/>
      <c r="AJ761" s="59"/>
      <c r="AK761" s="777" t="str">
        <f>S.Staff.Subject.Expert.FirstName&amp;" prepares EQC Staff Report and initiates reviews"</f>
        <v>BrianF prepares EQC Staff Report and initiates reviews</v>
      </c>
      <c r="AL761" s="76"/>
    </row>
    <row r="762" spans="1:39" s="23" customFormat="1" ht="14.1" customHeight="1" outlineLevel="2" x14ac:dyDescent="0.2">
      <c r="A762" s="145"/>
      <c r="B762" s="464" t="str">
        <f>AK762</f>
        <v>- PaulG, if needed</v>
      </c>
      <c r="C762" s="546" t="s">
        <v>0</v>
      </c>
      <c r="D762" s="721"/>
      <c r="E762" s="721"/>
      <c r="F762"/>
      <c r="G762" s="291">
        <f t="shared" ref="G762" si="152">AG762</f>
        <v>41988</v>
      </c>
      <c r="H762" s="291">
        <f t="shared" ref="H762" si="153">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customHeight="1" outlineLevel="2" x14ac:dyDescent="0.2">
      <c r="A763" s="145"/>
      <c r="B763" s="466" t="s">
        <v>240</v>
      </c>
      <c r="C763" s="546" t="s">
        <v>0</v>
      </c>
      <c r="D763" s="716"/>
      <c r="E763" s="716"/>
      <c r="F763"/>
      <c r="G763" s="291">
        <f t="shared" ref="G763" si="154">AG763</f>
        <v>41988</v>
      </c>
      <c r="H763" s="291">
        <f t="shared" ref="H763" si="155">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customHeight="1" outlineLevel="2" x14ac:dyDescent="0.2">
      <c r="A764" s="145"/>
      <c r="B764" s="466" t="s">
        <v>240</v>
      </c>
      <c r="C764" s="546" t="s">
        <v>0</v>
      </c>
      <c r="D764" s="716"/>
      <c r="E764" s="716"/>
      <c r="F764"/>
      <c r="G764" s="291">
        <f t="shared" ref="G764" si="156">AG764</f>
        <v>41988</v>
      </c>
      <c r="H764" s="291">
        <f t="shared" ref="H764" si="157">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customHeight="1" outlineLevel="2" thickBot="1" x14ac:dyDescent="0.25">
      <c r="A765" s="145"/>
      <c r="B765" s="466" t="s">
        <v>239</v>
      </c>
      <c r="C765" s="546" t="s">
        <v>0</v>
      </c>
      <c r="D765" s="716"/>
      <c r="E765" s="716"/>
      <c r="F765"/>
      <c r="G765" s="291">
        <f t="shared" ref="G765" si="158">AG765</f>
        <v>41988</v>
      </c>
      <c r="H765" s="291">
        <f t="shared" ref="H765" si="159">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customHeight="1" outlineLevel="3" thickBot="1" x14ac:dyDescent="0.25">
      <c r="A766" s="145"/>
      <c r="B766" s="465" t="s">
        <v>242</v>
      </c>
      <c r="C766" s="481" t="s">
        <v>16</v>
      </c>
      <c r="D766" s="283"/>
      <c r="E766" s="283"/>
      <c r="F766"/>
      <c r="G766" s="291">
        <f t="shared" ref="G766:H779" si="160">AG766</f>
        <v>42037</v>
      </c>
      <c r="H766" s="291">
        <f t="shared" si="160"/>
        <v>42037</v>
      </c>
      <c r="I766" s="746"/>
      <c r="AF766" s="361">
        <f>IF(S.EQC.ApprovePacketLoop1="Y",1,0)</f>
        <v>1</v>
      </c>
      <c r="AG766" s="60">
        <f>IF(AF766=0,,H749)</f>
        <v>42037</v>
      </c>
      <c r="AH766" s="60">
        <f t="shared" ref="AH766:AH777" si="161">IF(AF766=0,,S.EQC.PacketBeginReview)</f>
        <v>42037</v>
      </c>
      <c r="AI766" s="59"/>
      <c r="AJ766" s="44"/>
      <c r="AK766" s="44"/>
      <c r="AL766" s="76"/>
      <c r="AM766"/>
    </row>
    <row r="767" spans="1:39" s="23" customFormat="1" ht="14.1" customHeight="1" outlineLevel="3" x14ac:dyDescent="0.2">
      <c r="A767" s="145"/>
      <c r="B767" s="467" t="s">
        <v>241</v>
      </c>
      <c r="C767" s="546" t="s">
        <v>0</v>
      </c>
      <c r="D767" s="716"/>
      <c r="E767" s="716"/>
      <c r="F767"/>
      <c r="G767" s="291">
        <f t="shared" si="160"/>
        <v>42037</v>
      </c>
      <c r="H767" s="291">
        <f t="shared" si="160"/>
        <v>42037</v>
      </c>
      <c r="I767" s="746"/>
      <c r="J767"/>
      <c r="K767"/>
      <c r="L767"/>
      <c r="M767"/>
      <c r="N767"/>
      <c r="O767"/>
      <c r="P767"/>
      <c r="Q767"/>
      <c r="R767"/>
      <c r="S767"/>
      <c r="T767"/>
      <c r="U767"/>
      <c r="X767"/>
      <c r="AB767"/>
      <c r="AC767"/>
      <c r="AF767" s="361">
        <f>IF(S.EQC.ApprovePacketLoop1="Y",1,0)</f>
        <v>1</v>
      </c>
      <c r="AG767" s="60">
        <f>IF(AF767=0,,S.EQC.PacketBeginReview)</f>
        <v>42037</v>
      </c>
      <c r="AH767" s="60">
        <f t="shared" si="161"/>
        <v>42037</v>
      </c>
      <c r="AI767" s="59"/>
      <c r="AJ767" s="159"/>
      <c r="AK767" s="44"/>
      <c r="AL767" s="76"/>
    </row>
    <row r="768" spans="1:39" s="23" customFormat="1" ht="14.1" customHeight="1" outlineLevel="3" x14ac:dyDescent="0.2">
      <c r="A768" s="145"/>
      <c r="B768" s="467" t="s">
        <v>241</v>
      </c>
      <c r="C768" s="546" t="s">
        <v>0</v>
      </c>
      <c r="D768" s="716"/>
      <c r="E768" s="716"/>
      <c r="F768"/>
      <c r="G768" s="291">
        <f t="shared" ref="G768" si="162">AG768</f>
        <v>42037</v>
      </c>
      <c r="H768" s="291">
        <f t="shared" ref="H768" si="163">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1"/>
        <v>42037</v>
      </c>
      <c r="AI768" s="59"/>
      <c r="AJ768" s="159"/>
      <c r="AK768" s="44"/>
      <c r="AL768" s="76"/>
    </row>
    <row r="769" spans="1:39" s="23" customFormat="1" ht="14.1" customHeight="1" outlineLevel="3" thickBot="1" x14ac:dyDescent="0.25">
      <c r="A769" s="145"/>
      <c r="B769" s="467" t="s">
        <v>241</v>
      </c>
      <c r="C769" s="546" t="s">
        <v>0</v>
      </c>
      <c r="D769" s="716"/>
      <c r="E769" s="716"/>
      <c r="F769"/>
      <c r="G769" s="291">
        <f t="shared" ref="G769" si="164">AG769</f>
        <v>42037</v>
      </c>
      <c r="H769" s="291">
        <f t="shared" ref="H769" si="165">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1"/>
        <v>42037</v>
      </c>
      <c r="AI769" s="59"/>
      <c r="AJ769" s="159"/>
      <c r="AK769" s="44"/>
      <c r="AL769" s="76"/>
    </row>
    <row r="770" spans="1:39" ht="14.1" customHeight="1" outlineLevel="3" thickBot="1" x14ac:dyDescent="0.25">
      <c r="A770" s="145"/>
      <c r="B770" s="468" t="s">
        <v>243</v>
      </c>
      <c r="C770" s="481" t="s">
        <v>16</v>
      </c>
      <c r="D770" s="283"/>
      <c r="E770" s="283"/>
      <c r="F770"/>
      <c r="G770" s="291">
        <f t="shared" si="160"/>
        <v>42037</v>
      </c>
      <c r="H770" s="291">
        <f t="shared" si="160"/>
        <v>42037</v>
      </c>
      <c r="I770" s="746"/>
      <c r="AF770" s="361">
        <f>IF(S.EQC.ApprovePacketLoop2="Y",1,0)</f>
        <v>1</v>
      </c>
      <c r="AG770" s="60">
        <f>IF(AF770=0,,H766)</f>
        <v>42037</v>
      </c>
      <c r="AH770" s="60">
        <f t="shared" si="161"/>
        <v>42037</v>
      </c>
      <c r="AI770" s="59"/>
      <c r="AJ770" s="44"/>
      <c r="AK770" s="44"/>
      <c r="AL770" s="76"/>
      <c r="AM770"/>
    </row>
    <row r="771" spans="1:39" s="23" customFormat="1" ht="14.1" customHeight="1" outlineLevel="3" x14ac:dyDescent="0.2">
      <c r="A771" s="145"/>
      <c r="B771" s="469" t="s">
        <v>241</v>
      </c>
      <c r="C771" s="546" t="s">
        <v>0</v>
      </c>
      <c r="D771" s="716"/>
      <c r="E771" s="716"/>
      <c r="F771"/>
      <c r="G771" s="291">
        <f t="shared" ref="G771:G773" si="166">AG771</f>
        <v>42037</v>
      </c>
      <c r="H771" s="291">
        <f t="shared" ref="H771:H773" si="167">AH771</f>
        <v>42037</v>
      </c>
      <c r="I771" s="746"/>
      <c r="J771"/>
      <c r="K771"/>
      <c r="L771"/>
      <c r="M771"/>
      <c r="N771"/>
      <c r="O771"/>
      <c r="P771"/>
      <c r="Q771"/>
      <c r="R771"/>
      <c r="S771"/>
      <c r="T771"/>
      <c r="U771"/>
      <c r="X771"/>
      <c r="AB771"/>
      <c r="AC771"/>
      <c r="AF771" s="361">
        <f>IF(S.EQC.ApprovePacketLoop2="Y",1,0)</f>
        <v>1</v>
      </c>
      <c r="AG771" s="60">
        <f>IF(AF771=0,,G770)</f>
        <v>42037</v>
      </c>
      <c r="AH771" s="60">
        <f t="shared" si="161"/>
        <v>42037</v>
      </c>
      <c r="AI771" s="59"/>
      <c r="AJ771" s="159"/>
      <c r="AK771" s="44"/>
      <c r="AL771" s="76"/>
    </row>
    <row r="772" spans="1:39" s="23" customFormat="1" ht="14.1" customHeight="1" outlineLevel="3" x14ac:dyDescent="0.2">
      <c r="A772" s="145"/>
      <c r="B772" s="469" t="s">
        <v>241</v>
      </c>
      <c r="C772" s="546" t="s">
        <v>0</v>
      </c>
      <c r="D772" s="716"/>
      <c r="E772" s="716"/>
      <c r="F772"/>
      <c r="G772" s="291">
        <f t="shared" si="166"/>
        <v>42037</v>
      </c>
      <c r="H772" s="291">
        <f t="shared" si="167"/>
        <v>42037</v>
      </c>
      <c r="I772" s="746"/>
      <c r="J772"/>
      <c r="K772"/>
      <c r="L772"/>
      <c r="M772"/>
      <c r="N772"/>
      <c r="O772"/>
      <c r="P772"/>
      <c r="Q772"/>
      <c r="R772"/>
      <c r="S772"/>
      <c r="T772"/>
      <c r="U772"/>
      <c r="X772"/>
      <c r="AB772"/>
      <c r="AC772"/>
      <c r="AF772" s="361">
        <f>IF(S.EQC.ApprovePacketLoop2="Y",1,0)</f>
        <v>1</v>
      </c>
      <c r="AG772" s="60">
        <f>IF(AF772=0,,G770)</f>
        <v>42037</v>
      </c>
      <c r="AH772" s="60">
        <f t="shared" si="161"/>
        <v>42037</v>
      </c>
      <c r="AI772" s="59"/>
      <c r="AJ772" s="159"/>
      <c r="AK772" s="44"/>
      <c r="AL772" s="76"/>
    </row>
    <row r="773" spans="1:39" s="23" customFormat="1" ht="14.1" customHeight="1" outlineLevel="3" thickBot="1" x14ac:dyDescent="0.25">
      <c r="A773" s="145"/>
      <c r="B773" s="469" t="s">
        <v>241</v>
      </c>
      <c r="C773" s="546" t="s">
        <v>0</v>
      </c>
      <c r="D773" s="716"/>
      <c r="E773" s="716"/>
      <c r="F773"/>
      <c r="G773" s="291">
        <f t="shared" si="166"/>
        <v>42037</v>
      </c>
      <c r="H773" s="291">
        <f t="shared" si="167"/>
        <v>42037</v>
      </c>
      <c r="I773" s="746"/>
      <c r="J773"/>
      <c r="K773"/>
      <c r="L773"/>
      <c r="M773"/>
      <c r="N773"/>
      <c r="O773"/>
      <c r="P773"/>
      <c r="Q773"/>
      <c r="R773"/>
      <c r="S773"/>
      <c r="T773"/>
      <c r="U773"/>
      <c r="X773"/>
      <c r="AB773"/>
      <c r="AC773"/>
      <c r="AF773" s="361">
        <f>IF(S.EQC.ApprovePacketLoop2="Y",1,0)</f>
        <v>1</v>
      </c>
      <c r="AG773" s="60">
        <f>IF(AF773=0,,G770)</f>
        <v>42037</v>
      </c>
      <c r="AH773" s="60">
        <f t="shared" si="161"/>
        <v>42037</v>
      </c>
      <c r="AI773" s="59"/>
      <c r="AJ773" s="159"/>
      <c r="AK773" s="44"/>
      <c r="AL773" s="76"/>
    </row>
    <row r="774" spans="1:39" ht="14.1" customHeight="1" outlineLevel="3" thickBot="1" x14ac:dyDescent="0.25">
      <c r="A774" s="145"/>
      <c r="B774" s="470" t="s">
        <v>244</v>
      </c>
      <c r="C774" s="481" t="s">
        <v>16</v>
      </c>
      <c r="D774" s="283"/>
      <c r="E774" s="283"/>
      <c r="F774"/>
      <c r="G774" s="291">
        <f t="shared" si="160"/>
        <v>42037</v>
      </c>
      <c r="H774" s="291">
        <f t="shared" si="160"/>
        <v>42037</v>
      </c>
      <c r="I774" s="746"/>
      <c r="AF774" s="361">
        <f>IF(S.EQC.ApprovePacketLoop3="Y",1,0)</f>
        <v>1</v>
      </c>
      <c r="AG774" s="60">
        <f>IF(AF774=0,,H770)</f>
        <v>42037</v>
      </c>
      <c r="AH774" s="60">
        <f t="shared" si="161"/>
        <v>42037</v>
      </c>
      <c r="AI774" s="59"/>
      <c r="AJ774" s="44"/>
      <c r="AK774" s="44"/>
      <c r="AL774" s="76"/>
      <c r="AM774"/>
    </row>
    <row r="775" spans="1:39" s="23" customFormat="1" ht="14.1" customHeight="1" outlineLevel="3" x14ac:dyDescent="0.2">
      <c r="A775" s="145"/>
      <c r="B775" s="471" t="s">
        <v>241</v>
      </c>
      <c r="C775" s="546" t="s">
        <v>0</v>
      </c>
      <c r="D775" s="716"/>
      <c r="E775" s="716"/>
      <c r="F775"/>
      <c r="G775" s="291">
        <f t="shared" si="160"/>
        <v>42037</v>
      </c>
      <c r="H775" s="291">
        <f t="shared" si="160"/>
        <v>42037</v>
      </c>
      <c r="I775" s="746"/>
      <c r="J775"/>
      <c r="K775"/>
      <c r="L775"/>
      <c r="M775"/>
      <c r="N775"/>
      <c r="O775"/>
      <c r="P775"/>
      <c r="Q775"/>
      <c r="R775"/>
      <c r="S775"/>
      <c r="T775"/>
      <c r="U775"/>
      <c r="X775"/>
      <c r="AB775"/>
      <c r="AC775"/>
      <c r="AF775" s="361">
        <f>IF(S.EQC.ApprovePacketLoop3="Y",1,0)</f>
        <v>1</v>
      </c>
      <c r="AG775" s="60">
        <f>IF(AF775=0,,G774)</f>
        <v>42037</v>
      </c>
      <c r="AH775" s="60">
        <f t="shared" si="161"/>
        <v>42037</v>
      </c>
      <c r="AI775" s="59"/>
      <c r="AJ775" s="159"/>
      <c r="AK775" s="44"/>
      <c r="AL775" s="76"/>
    </row>
    <row r="776" spans="1:39" s="23" customFormat="1" ht="14.1" customHeight="1" outlineLevel="3" x14ac:dyDescent="0.2">
      <c r="A776" s="145"/>
      <c r="B776" s="471" t="s">
        <v>241</v>
      </c>
      <c r="C776" s="546" t="s">
        <v>0</v>
      </c>
      <c r="D776" s="716"/>
      <c r="E776" s="716"/>
      <c r="F776"/>
      <c r="G776" s="291">
        <f t="shared" si="160"/>
        <v>42037</v>
      </c>
      <c r="H776" s="291">
        <f t="shared" si="160"/>
        <v>42037</v>
      </c>
      <c r="I776" s="746"/>
      <c r="J776"/>
      <c r="K776"/>
      <c r="L776"/>
      <c r="M776"/>
      <c r="N776"/>
      <c r="O776"/>
      <c r="P776"/>
      <c r="Q776"/>
      <c r="R776"/>
      <c r="S776"/>
      <c r="T776"/>
      <c r="U776"/>
      <c r="X776"/>
      <c r="AB776"/>
      <c r="AC776"/>
      <c r="AF776" s="361">
        <f>IF(S.EQC.ApprovePacketLoop3="Y",1,0)</f>
        <v>1</v>
      </c>
      <c r="AG776" s="60">
        <f>IF(AF776=0,,G774)</f>
        <v>42037</v>
      </c>
      <c r="AH776" s="60">
        <f t="shared" si="161"/>
        <v>42037</v>
      </c>
      <c r="AI776" s="59"/>
      <c r="AJ776" s="159"/>
      <c r="AK776" s="44"/>
      <c r="AL776" s="76"/>
    </row>
    <row r="777" spans="1:39" s="23" customFormat="1" ht="14.1" customHeight="1" outlineLevel="3" x14ac:dyDescent="0.2">
      <c r="A777" s="145"/>
      <c r="B777" s="471" t="s">
        <v>241</v>
      </c>
      <c r="C777" s="546" t="s">
        <v>0</v>
      </c>
      <c r="D777" s="716"/>
      <c r="E777" s="716"/>
      <c r="F777"/>
      <c r="G777" s="291">
        <f t="shared" si="160"/>
        <v>42037</v>
      </c>
      <c r="H777" s="291">
        <f t="shared" si="160"/>
        <v>42037</v>
      </c>
      <c r="I777" s="746"/>
      <c r="J777"/>
      <c r="K777"/>
      <c r="L777"/>
      <c r="M777"/>
      <c r="N777"/>
      <c r="O777"/>
      <c r="P777"/>
      <c r="Q777"/>
      <c r="R777"/>
      <c r="S777"/>
      <c r="T777"/>
      <c r="U777"/>
      <c r="X777"/>
      <c r="AB777"/>
      <c r="AC777"/>
      <c r="AF777" s="361">
        <f>IF(S.EQC.ApprovePacketLoop3="Y",1,0)</f>
        <v>1</v>
      </c>
      <c r="AG777" s="60">
        <f>IF(AF777=0,,G774)</f>
        <v>42037</v>
      </c>
      <c r="AH777" s="60">
        <f t="shared" si="161"/>
        <v>42037</v>
      </c>
      <c r="AI777" s="59"/>
      <c r="AJ777" s="159"/>
      <c r="AK777" s="44"/>
      <c r="AL777" s="76"/>
    </row>
    <row r="778" spans="1:39" s="23" customFormat="1" ht="14.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customHeight="1" outlineLevel="2" thickBot="1" x14ac:dyDescent="0.25">
      <c r="A779" s="145"/>
      <c r="B779" s="472" t="str">
        <f>AK779</f>
        <v>* discusses need for 1|1 commissioners briefings with DavidC &amp; Wendy</v>
      </c>
      <c r="C779" s="481" t="s">
        <v>205</v>
      </c>
      <c r="D779" s="721"/>
      <c r="E779" s="721"/>
      <c r="F779"/>
      <c r="G779" s="291">
        <f t="shared" si="160"/>
        <v>0</v>
      </c>
      <c r="H779" s="291">
        <f t="shared" si="160"/>
        <v>0</v>
      </c>
      <c r="I779" s="746"/>
      <c r="J779"/>
      <c r="K779"/>
      <c r="L779"/>
      <c r="M779"/>
      <c r="N779"/>
      <c r="O779"/>
      <c r="P779"/>
      <c r="Q779"/>
      <c r="R779"/>
      <c r="S779"/>
      <c r="T779"/>
      <c r="U779"/>
      <c r="X779"/>
      <c r="AB779"/>
      <c r="AC779"/>
      <c r="AF779" s="361">
        <f t="shared" ref="AF779:AF784" si="16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customHeight="1" outlineLevel="2" x14ac:dyDescent="0.2">
      <c r="A780" s="145"/>
      <c r="B780" s="900" t="s">
        <v>714</v>
      </c>
      <c r="C780" s="1042" t="s">
        <v>348</v>
      </c>
      <c r="D780" s="1042"/>
      <c r="E780" s="1042"/>
      <c r="F780" s="1042"/>
      <c r="G780" s="1042"/>
      <c r="H780" s="1042"/>
      <c r="I780" s="936"/>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8"/>
        <v>0</v>
      </c>
      <c r="AG780" s="80"/>
      <c r="AH780" s="80"/>
      <c r="AI780" s="59"/>
      <c r="AJ780" s="44"/>
      <c r="AK780" s="44"/>
      <c r="AL780" s="76"/>
    </row>
    <row r="781" spans="1:39" s="23" customFormat="1" ht="14.1" customHeight="1" outlineLevel="2" x14ac:dyDescent="0.2">
      <c r="A781" s="145"/>
      <c r="B781" s="900" t="s">
        <v>714</v>
      </c>
      <c r="C781" s="1042" t="s">
        <v>295</v>
      </c>
      <c r="D781" s="1042"/>
      <c r="E781" s="1042"/>
      <c r="F781" s="1042"/>
      <c r="G781" s="1042"/>
      <c r="H781" s="1042"/>
      <c r="I781" s="936"/>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8"/>
        <v>0</v>
      </c>
      <c r="AG781" s="80"/>
      <c r="AH781" s="80"/>
      <c r="AI781" s="59"/>
      <c r="AJ781" s="44"/>
      <c r="AK781" s="44"/>
      <c r="AL781" s="76"/>
    </row>
    <row r="782" spans="1:39" s="23" customFormat="1" ht="14.1" customHeight="1" outlineLevel="2" x14ac:dyDescent="0.2">
      <c r="A782" s="145"/>
      <c r="B782" s="900" t="s">
        <v>714</v>
      </c>
      <c r="C782" s="1042" t="s">
        <v>296</v>
      </c>
      <c r="D782" s="1042"/>
      <c r="E782" s="1042"/>
      <c r="F782" s="1042"/>
      <c r="G782" s="1042"/>
      <c r="H782" s="1042"/>
      <c r="I782" s="1042"/>
      <c r="J782" s="1042"/>
      <c r="K782" s="1042"/>
      <c r="L782" s="1042"/>
      <c r="M782" s="1042"/>
      <c r="N782" s="1042"/>
      <c r="O782" s="1042"/>
      <c r="P782" s="1042"/>
      <c r="Q782" s="1042"/>
      <c r="R782" s="1042"/>
      <c r="S782" s="1042"/>
      <c r="T782" s="1042"/>
      <c r="U782" s="1042"/>
      <c r="V782" s="1042"/>
      <c r="W782" s="1042"/>
      <c r="X782" s="1042"/>
      <c r="Y782" s="1042"/>
      <c r="Z782" s="1042"/>
      <c r="AA782" s="1042"/>
      <c r="AB782" s="1042"/>
      <c r="AC782" s="1042"/>
      <c r="AD782" s="1042"/>
      <c r="AF782" s="361">
        <f t="shared" si="168"/>
        <v>0</v>
      </c>
      <c r="AG782" s="80"/>
      <c r="AH782" s="80"/>
      <c r="AI782" s="59"/>
      <c r="AJ782" s="44"/>
      <c r="AK782" s="44"/>
      <c r="AL782" s="76"/>
    </row>
    <row r="783" spans="1:39" s="23" customFormat="1" ht="14.1" customHeight="1" outlineLevel="2" x14ac:dyDescent="0.2">
      <c r="A783" s="145"/>
      <c r="B783" s="900" t="s">
        <v>714</v>
      </c>
      <c r="C783" s="1042" t="s">
        <v>297</v>
      </c>
      <c r="D783" s="1042"/>
      <c r="E783" s="1042"/>
      <c r="F783" s="1042"/>
      <c r="G783" s="1042"/>
      <c r="H783" s="1042"/>
      <c r="I783" s="1042"/>
      <c r="J783" s="1042"/>
      <c r="K783" s="1042"/>
      <c r="L783" s="1042"/>
      <c r="M783" s="1042"/>
      <c r="N783" s="1042"/>
      <c r="O783" s="1042"/>
      <c r="P783" s="1042"/>
      <c r="Q783" s="1042"/>
      <c r="R783" s="1042"/>
      <c r="S783" s="1042"/>
      <c r="T783" s="1042"/>
      <c r="U783" s="1042"/>
      <c r="V783" s="1042"/>
      <c r="W783" s="1042"/>
      <c r="X783" s="1042"/>
      <c r="Y783" s="1042"/>
      <c r="Z783" s="1042"/>
      <c r="AA783" s="1042"/>
      <c r="AB783" s="1042"/>
      <c r="AC783" s="1042"/>
      <c r="AD783" s="1042"/>
      <c r="AF783" s="361">
        <f t="shared" si="168"/>
        <v>0</v>
      </c>
      <c r="AG783" s="80"/>
      <c r="AH783" s="80"/>
      <c r="AI783" s="59"/>
      <c r="AJ783" s="44"/>
      <c r="AK783" s="44"/>
      <c r="AL783" s="76"/>
    </row>
    <row r="784" spans="1:39" s="23" customFormat="1" ht="14.1" customHeight="1" outlineLevel="2" x14ac:dyDescent="0.2">
      <c r="A784" s="145"/>
      <c r="B784" s="900" t="s">
        <v>714</v>
      </c>
      <c r="C784" s="1042" t="s">
        <v>298</v>
      </c>
      <c r="D784" s="1042"/>
      <c r="E784" s="1042"/>
      <c r="F784" s="1042"/>
      <c r="G784" s="1042"/>
      <c r="H784" s="1042"/>
      <c r="I784" s="1042"/>
      <c r="J784" s="1042"/>
      <c r="K784" s="1042"/>
      <c r="L784" s="1042"/>
      <c r="M784" s="1042"/>
      <c r="N784" s="1042"/>
      <c r="O784" s="1042"/>
      <c r="P784" s="1042"/>
      <c r="Q784" s="1042"/>
      <c r="R784" s="1042"/>
      <c r="S784" s="1042"/>
      <c r="T784" s="1042"/>
      <c r="U784" s="1042"/>
      <c r="V784" s="1042"/>
      <c r="W784" s="1042"/>
      <c r="X784" s="1042"/>
      <c r="Y784" s="1042"/>
      <c r="Z784" s="1042"/>
      <c r="AA784" s="1042"/>
      <c r="AB784" s="1042"/>
      <c r="AC784" s="1042"/>
      <c r="AD784" s="1042"/>
      <c r="AF784" s="361">
        <f t="shared" si="168"/>
        <v>0</v>
      </c>
      <c r="AG784" s="80"/>
      <c r="AH784" s="80"/>
      <c r="AI784" s="59"/>
      <c r="AJ784" s="44"/>
      <c r="AK784" s="44"/>
      <c r="AL784" s="76"/>
    </row>
    <row r="785" spans="1:39" ht="14.1" customHeight="1" outlineLevel="2" x14ac:dyDescent="0.2">
      <c r="A785" s="145"/>
      <c r="B785" s="203" t="s">
        <v>715</v>
      </c>
      <c r="C785" s="543"/>
      <c r="D785" s="706"/>
      <c r="E785" s="706"/>
      <c r="F785"/>
      <c r="G785"/>
      <c r="H785"/>
      <c r="I785" s="746"/>
      <c r="AF785" s="361">
        <v>1</v>
      </c>
      <c r="AG785" s="76"/>
      <c r="AH785" s="76"/>
      <c r="AI785" s="59"/>
      <c r="AJ785" s="44"/>
      <c r="AK785" s="44"/>
      <c r="AL785" s="76"/>
      <c r="AM785"/>
    </row>
    <row r="786" spans="1:39" s="23" customFormat="1" ht="14.1" customHeight="1" outlineLevel="2" x14ac:dyDescent="0.2">
      <c r="A786" s="145"/>
      <c r="B786" s="473" t="str">
        <f>AK786</f>
        <v>- DavidC for lead manager approval</v>
      </c>
      <c r="C786" s="546" t="s">
        <v>0</v>
      </c>
      <c r="D786" s="721"/>
      <c r="E786" s="721"/>
      <c r="F786"/>
      <c r="G786" s="291">
        <f t="shared" ref="G786:G787" si="169">AG786</f>
        <v>41988</v>
      </c>
      <c r="H786" s="291">
        <f t="shared" ref="H786:H787" si="170">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customHeight="1" outlineLevel="2" x14ac:dyDescent="0.2">
      <c r="A787" s="145"/>
      <c r="B787" s="473" t="str">
        <f>AK787</f>
        <v>- Wendy for division administrator approval</v>
      </c>
      <c r="C787" s="546" t="s">
        <v>0</v>
      </c>
      <c r="D787" s="721"/>
      <c r="E787" s="721"/>
      <c r="F787"/>
      <c r="G787" s="291">
        <f t="shared" si="169"/>
        <v>41988</v>
      </c>
      <c r="H787" s="291">
        <f t="shared" si="170"/>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customHeight="1" outlineLevel="2" x14ac:dyDescent="0.2">
      <c r="A788" s="145" t="s">
        <v>0</v>
      </c>
      <c r="B788" s="289" t="s">
        <v>716</v>
      </c>
      <c r="C788" s="321"/>
      <c r="D788" s="308"/>
      <c r="E788" s="308"/>
      <c r="F788"/>
      <c r="G788" s="437">
        <f t="shared" ref="G788" si="171">AG788</f>
        <v>41988</v>
      </c>
      <c r="H788" s="437">
        <f t="shared" ref="H788" si="172">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customHeight="1" outlineLevel="2" x14ac:dyDescent="0.2">
      <c r="A789" s="145"/>
      <c r="B789" s="474" t="s">
        <v>717</v>
      </c>
      <c r="C789" s="546" t="s">
        <v>0</v>
      </c>
      <c r="D789" s="308"/>
      <c r="E789" s="465"/>
      <c r="I789" s="746"/>
      <c r="AF789" s="361">
        <v>1</v>
      </c>
      <c r="AG789" s="59"/>
      <c r="AH789" s="59"/>
      <c r="AI789" s="59"/>
      <c r="AJ789" s="44"/>
      <c r="AK789" s="44"/>
      <c r="AL789" s="76"/>
    </row>
    <row r="790" spans="1:39" s="23" customFormat="1" ht="14.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customHeight="1" outlineLevel="2" x14ac:dyDescent="0.2">
      <c r="A794" s="145"/>
      <c r="B794" s="304" t="s">
        <v>236</v>
      </c>
      <c r="C794" s="546" t="s">
        <v>0</v>
      </c>
      <c r="D794" s="308"/>
      <c r="E794" s="308"/>
      <c r="F794"/>
      <c r="G794" s="437">
        <f t="shared" ref="G794:H794" si="173">AG794</f>
        <v>42037</v>
      </c>
      <c r="H794" s="437">
        <f t="shared" si="173"/>
        <v>42077</v>
      </c>
      <c r="I794" s="746"/>
      <c r="AF794" s="361">
        <v>1</v>
      </c>
      <c r="AG794" s="60">
        <f>H787</f>
        <v>42037</v>
      </c>
      <c r="AH794" s="60">
        <f>S.EQC.Meeting-1</f>
        <v>42077</v>
      </c>
      <c r="AI794" s="59"/>
      <c r="AJ794" s="44"/>
      <c r="AK794" s="44"/>
      <c r="AL794" s="76"/>
      <c r="AM794"/>
    </row>
    <row r="795" spans="1:39" ht="14.1" customHeight="1" outlineLevel="2" x14ac:dyDescent="0.2">
      <c r="A795" s="145"/>
      <c r="B795" s="203" t="s">
        <v>238</v>
      </c>
      <c r="C795" s="282" t="s">
        <v>0</v>
      </c>
      <c r="D795" s="308"/>
      <c r="E795" s="308"/>
      <c r="F795"/>
      <c r="G795" s="437">
        <f t="shared" ref="G795:G796" si="174">AG795</f>
        <v>42077</v>
      </c>
      <c r="H795" s="437">
        <f t="shared" ref="H795:H796" si="175">AH795</f>
        <v>42077</v>
      </c>
      <c r="I795" s="746"/>
      <c r="AF795" s="361">
        <v>1</v>
      </c>
      <c r="AG795" s="60">
        <f>H788</f>
        <v>42077</v>
      </c>
      <c r="AH795" s="60">
        <f>S.EQC.Meeting-1</f>
        <v>42077</v>
      </c>
      <c r="AI795" s="59"/>
      <c r="AJ795" s="44"/>
      <c r="AK795" s="44" t="s">
        <v>0</v>
      </c>
      <c r="AL795" s="76"/>
      <c r="AM795"/>
    </row>
    <row r="796" spans="1:39" ht="14.1" customHeight="1" outlineLevel="2" x14ac:dyDescent="0.2">
      <c r="A796" s="145"/>
      <c r="B796" s="456" t="s">
        <v>237</v>
      </c>
      <c r="C796" s="268" t="s">
        <v>0</v>
      </c>
      <c r="D796" s="308"/>
      <c r="E796" s="308"/>
      <c r="F796"/>
      <c r="G796" s="437">
        <f t="shared" si="174"/>
        <v>42077</v>
      </c>
      <c r="H796" s="437">
        <f t="shared" si="175"/>
        <v>42077</v>
      </c>
      <c r="I796" s="746"/>
      <c r="AF796" s="361">
        <v>1</v>
      </c>
      <c r="AG796" s="60">
        <f>G795</f>
        <v>42077</v>
      </c>
      <c r="AH796" s="60">
        <f>S.EQC.Meeting-1</f>
        <v>42077</v>
      </c>
      <c r="AI796" s="59"/>
      <c r="AJ796" s="43"/>
      <c r="AK796" s="43"/>
      <c r="AL796" s="76"/>
      <c r="AM796"/>
    </row>
    <row r="797" spans="1:39" ht="14.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customHeight="1" outlineLevel="1" x14ac:dyDescent="0.3">
      <c r="A801" s="145"/>
      <c r="B801" s="1020" t="s">
        <v>199</v>
      </c>
      <c r="C801" s="1020"/>
      <c r="D801" s="1020"/>
      <c r="E801" s="1020"/>
      <c r="F801" s="1020"/>
      <c r="G801" s="1020"/>
      <c r="H801" s="1020"/>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customHeight="1" outlineLevel="2" x14ac:dyDescent="0.2">
      <c r="A808" s="145"/>
      <c r="B808" s="220" t="s">
        <v>194</v>
      </c>
      <c r="C808" s="546" t="s">
        <v>0</v>
      </c>
      <c r="D808" s="554"/>
      <c r="E808" s="897"/>
      <c r="F808"/>
      <c r="G808"/>
      <c r="H808" s="256">
        <f t="shared" ref="H808" si="176">AH808</f>
        <v>42078</v>
      </c>
      <c r="I808" s="746"/>
      <c r="AF808" s="361">
        <v>1</v>
      </c>
      <c r="AG808" s="80"/>
      <c r="AH808" s="60">
        <f t="shared" ref="AH808" si="177">S.PostEQC.BANNER.Begin</f>
        <v>42078</v>
      </c>
      <c r="AI808" s="59"/>
      <c r="AJ808" s="44"/>
      <c r="AK808" s="217"/>
      <c r="AL808" s="76"/>
      <c r="AM808"/>
    </row>
    <row r="809" spans="1:39" s="23" customFormat="1" ht="14.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x14ac:dyDescent="0.25">
      <c r="A814" s="145"/>
      <c r="B814" s="220" t="str">
        <f t="shared" ref="B814" si="178">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40" t="s">
        <v>16</v>
      </c>
      <c r="D815" s="312"/>
      <c r="E815" s="751"/>
      <c r="F815"/>
      <c r="G815"/>
      <c r="H815" s="256">
        <f t="shared" ref="H815:H819" si="179">AH815</f>
        <v>42078</v>
      </c>
      <c r="I815" s="746"/>
      <c r="AF815" s="361">
        <f>IF(S.PostEQC.NotifyStakeholders="N",,1)</f>
        <v>1</v>
      </c>
      <c r="AG815" s="80"/>
      <c r="AH815" s="60">
        <f>IF(AF815=0,,S.PostEQC.BANNER.Begin)</f>
        <v>42078</v>
      </c>
      <c r="AI815" s="59"/>
      <c r="AJ815" s="59"/>
      <c r="AK815" s="45" t="s">
        <v>0</v>
      </c>
      <c r="AL815" s="76"/>
      <c r="AM815"/>
    </row>
    <row r="816" spans="1:39" s="23" customFormat="1" ht="14.1" customHeight="1" outlineLevel="2" x14ac:dyDescent="0.2">
      <c r="A816" s="145"/>
      <c r="B816" s="269" t="str">
        <f>AK816</f>
        <v>* coordinates EPA.SIP.SUBMITAL with AndreaG</v>
      </c>
      <c r="C816" s="546" t="s">
        <v>0</v>
      </c>
      <c r="D816" s="283"/>
      <c r="E816" s="751"/>
      <c r="F816"/>
      <c r="G816"/>
      <c r="H816" s="256">
        <f t="shared" ref="H816" si="180">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79"/>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customHeight="1" outlineLevel="2" x14ac:dyDescent="0.25">
      <c r="A818" s="145"/>
      <c r="B818" s="220" t="str">
        <f>AK818</f>
        <v>* coordinates AC.SURVEY with DavidC</v>
      </c>
      <c r="C818" s="506" t="str">
        <f>HYPERLINK("\\deqhq1\Rule_Resources\i\AC.SURVEY.docx","i")</f>
        <v>i</v>
      </c>
      <c r="D818" s="283"/>
      <c r="E818" s="751"/>
      <c r="F818"/>
      <c r="G818"/>
      <c r="H818" s="256">
        <f t="shared" si="179"/>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customHeight="1" outlineLevel="2" x14ac:dyDescent="0.2">
      <c r="A819" s="145"/>
      <c r="B819" s="220" t="s">
        <v>250</v>
      </c>
      <c r="C819" s="546" t="s">
        <v>0</v>
      </c>
      <c r="D819" s="283"/>
      <c r="E819" s="751"/>
      <c r="F819"/>
      <c r="G819"/>
      <c r="H819" s="256">
        <f t="shared" si="179"/>
        <v>42078</v>
      </c>
      <c r="I819" s="746"/>
      <c r="AF819" s="361">
        <v>1</v>
      </c>
      <c r="AG819" s="80"/>
      <c r="AH819" s="60">
        <f>S.PostEQC.BANNER.Begin</f>
        <v>42078</v>
      </c>
      <c r="AI819" s="59"/>
      <c r="AJ819" s="59"/>
      <c r="AK819" s="44" t="s">
        <v>0</v>
      </c>
      <c r="AL819" s="76"/>
      <c r="AM819"/>
    </row>
    <row r="820" spans="1:39" s="23" customFormat="1" ht="14.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ref="B822" si="181">AK822</f>
        <v>* no DAS involvement</v>
      </c>
      <c r="C822" s="547" t="s">
        <v>0</v>
      </c>
      <c r="D822" s="283"/>
      <c r="E822" s="751"/>
      <c r="F822"/>
      <c r="G822"/>
      <c r="H822" s="256">
        <f t="shared" ref="H822" si="182">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ref="B823" si="183">AK823</f>
        <v>* no DAS involvement</v>
      </c>
      <c r="C823" s="547" t="s">
        <v>0</v>
      </c>
      <c r="D823" s="283"/>
      <c r="E823" s="751"/>
      <c r="F823"/>
      <c r="G823"/>
      <c r="H823" s="256">
        <f t="shared" ref="H823" si="184">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ref="B824" si="185">AK824</f>
        <v>* no DAS involvement</v>
      </c>
      <c r="C824" s="547" t="s">
        <v>0</v>
      </c>
      <c r="D824" s="283"/>
      <c r="E824" s="751"/>
      <c r="F824"/>
      <c r="G824"/>
      <c r="H824" s="256">
        <f t="shared" ref="H824" si="186">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x14ac:dyDescent="0.2">
      <c r="A826" s="145"/>
      <c r="B826" s="219" t="s">
        <v>137</v>
      </c>
      <c r="C826" s="512" t="str">
        <f>HYPERLINK("http://arcweb.sos.state.or.us/pages/rules/resources/fileonline.html","i")</f>
        <v>i</v>
      </c>
      <c r="D826" s="357"/>
      <c r="E826" s="751"/>
      <c r="F826"/>
      <c r="G826"/>
      <c r="H826" s="256">
        <f t="shared" ref="H826:H833" si="187">AH826</f>
        <v>42080</v>
      </c>
      <c r="I826" s="746"/>
      <c r="AF826" s="361">
        <v>1</v>
      </c>
      <c r="AG826" s="47"/>
      <c r="AH826" s="60">
        <f>S.PostEQC.FileRuleWithSOS</f>
        <v>42080</v>
      </c>
      <c r="AI826" s="59"/>
      <c r="AJ826" s="61"/>
      <c r="AK826" s="44"/>
      <c r="AL826" s="76"/>
      <c r="AM826"/>
    </row>
    <row r="827" spans="1:39" s="23" customFormat="1" ht="14.1" customHeight="1" outlineLevel="2" x14ac:dyDescent="0.2">
      <c r="A827" s="145"/>
      <c r="B827" s="310" t="s">
        <v>47</v>
      </c>
      <c r="C827" s="324"/>
      <c r="D827" s="357"/>
      <c r="E827" s="751"/>
      <c r="F827"/>
      <c r="G827"/>
      <c r="H827" s="256">
        <f t="shared" si="187"/>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customHeight="1" outlineLevel="2" x14ac:dyDescent="0.2">
      <c r="A828" s="145"/>
      <c r="B828" s="219" t="s">
        <v>307</v>
      </c>
      <c r="C828" s="512" t="str">
        <f>HYPERLINK("http://www.lc.state.or.us/arrs.htm","i")</f>
        <v>i</v>
      </c>
      <c r="D828" s="722"/>
      <c r="E828" s="898"/>
      <c r="F828"/>
      <c r="G828"/>
      <c r="H828" s="259">
        <f t="shared" si="187"/>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x14ac:dyDescent="0.25">
      <c r="A833" s="145"/>
      <c r="B833" s="220" t="s">
        <v>322</v>
      </c>
      <c r="C833" s="358" t="str">
        <f>HYPERLINK("http://oarnoticefilings.sos.state.or.us","i")</f>
        <v>i</v>
      </c>
      <c r="D833" s="724"/>
      <c r="E833" s="898"/>
      <c r="F833"/>
      <c r="G833"/>
      <c r="H833" s="256">
        <f t="shared" si="187"/>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x14ac:dyDescent="0.25">
      <c r="A845" s="145"/>
      <c r="B845" s="303" t="str">
        <f>AK845</f>
        <v>* coordinates with BrianF to:</v>
      </c>
      <c r="C845" s="508" t="str">
        <f>HYPERLINK("\\deqhq1\Rule_Resources\i\EMAIL.Post.EQC.CloseOut.docx","i")</f>
        <v>i</v>
      </c>
      <c r="D845" s="283"/>
      <c r="E845" s="283"/>
      <c r="F845" s="255">
        <f t="shared" ref="F845" si="188">NETWORKDAYS(G845,H845,S.DDL_DEQClosed)</f>
        <v>1</v>
      </c>
      <c r="G845" s="256">
        <f t="shared" ref="G845" si="189">AG845</f>
        <v>42080</v>
      </c>
      <c r="H845" s="256">
        <f t="shared" ref="H845" si="190">AH845</f>
        <v>42080</v>
      </c>
      <c r="I845" s="746"/>
      <c r="J845"/>
      <c r="K845"/>
      <c r="L845"/>
      <c r="M845"/>
      <c r="N845"/>
      <c r="O845"/>
      <c r="P845"/>
      <c r="Q845"/>
      <c r="R845"/>
      <c r="S845"/>
      <c r="T845"/>
      <c r="U845"/>
      <c r="X845"/>
      <c r="AB845"/>
      <c r="AC845"/>
      <c r="AF845" s="361">
        <v>1</v>
      </c>
      <c r="AG845" s="60">
        <f>S.PostEQC.FileRuleWithSOS</f>
        <v>42080</v>
      </c>
      <c r="AH845" s="60">
        <f t="shared" ref="AH845" si="191">G845</f>
        <v>42080</v>
      </c>
      <c r="AI845" s="59"/>
      <c r="AJ845" s="43"/>
      <c r="AK845" s="78" t="str">
        <f>"* coordinates with "&amp;S.Staff.Subject.Expert.FirstName&amp;" to:"</f>
        <v>* coordinates with BrianF to:</v>
      </c>
      <c r="AL845" s="76"/>
    </row>
    <row r="846" spans="1:39" s="23" customFormat="1" ht="14.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x14ac:dyDescent="0.2">
      <c r="A848" s="145" t="s">
        <v>0</v>
      </c>
      <c r="B848" s="429" t="s">
        <v>325</v>
      </c>
      <c r="C848" s="306"/>
      <c r="D848" s="724"/>
      <c r="E848" s="898"/>
      <c r="F848"/>
      <c r="G848"/>
      <c r="H848" s="256">
        <f t="shared" ref="H848" si="192">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x14ac:dyDescent="0.25">
      <c r="A853" s="145"/>
      <c r="B853" s="269" t="s">
        <v>198</v>
      </c>
      <c r="C853" s="543"/>
      <c r="D853" s="283" t="s">
        <v>0</v>
      </c>
      <c r="E853" s="357"/>
      <c r="F853" s="313">
        <f>NETWORKDAYS(G853,H853,S.DDL_DEQClosed)</f>
        <v>1</v>
      </c>
      <c r="G853" s="256">
        <f t="shared" ref="G853:H855" si="193">AG853</f>
        <v>42095</v>
      </c>
      <c r="H853" s="256">
        <f t="shared" si="193"/>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3"/>
        <v>42095</v>
      </c>
      <c r="H854" s="256">
        <f t="shared" si="193"/>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customHeight="1" outlineLevel="2" x14ac:dyDescent="0.2">
      <c r="A855" s="145"/>
      <c r="B855" s="267" t="str">
        <f>AK855</f>
        <v>AndreaG submits SIP to EPA within 60 days AFTER adoption</v>
      </c>
      <c r="C855" s="543"/>
      <c r="D855" s="283"/>
      <c r="E855" s="357"/>
      <c r="F855" s="313">
        <f>NETWORKDAYS(G855,H855,S.DDL_DEQClosed)</f>
        <v>33</v>
      </c>
      <c r="G855" s="263">
        <f t="shared" si="193"/>
        <v>42078</v>
      </c>
      <c r="H855" s="256">
        <f t="shared" si="193"/>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customHeight="1" outlineLevel="2" x14ac:dyDescent="0.2">
      <c r="A857" s="145"/>
      <c r="B857" s="220" t="s">
        <v>286</v>
      </c>
      <c r="C857" s="546"/>
      <c r="D857" s="283"/>
      <c r="E857" s="283"/>
      <c r="F857" s="255">
        <f t="shared" ref="F857" si="194">NETWORKDAYS(G857,H857,S.DDL_DEQClosed)</f>
        <v>64</v>
      </c>
      <c r="G857" s="299">
        <f t="shared" ref="G857:H857" si="195">AG857</f>
        <v>42080</v>
      </c>
      <c r="H857" s="299">
        <f t="shared" si="195"/>
        <v>42170</v>
      </c>
      <c r="I857" s="746"/>
      <c r="AF857" s="361">
        <v>1</v>
      </c>
      <c r="AG857" s="60">
        <f>AH845</f>
        <v>42080</v>
      </c>
      <c r="AH857" s="60">
        <f>S.PostEQC.BANNER.End</f>
        <v>42170</v>
      </c>
      <c r="AI857" s="59"/>
      <c r="AJ857" s="46"/>
      <c r="AK857" s="41"/>
      <c r="AL857" s="76"/>
      <c r="AM857"/>
    </row>
    <row r="858" spans="1:39" s="23" customFormat="1" ht="14.1" customHeight="1" outlineLevel="2" x14ac:dyDescent="0.2">
      <c r="A858" s="145"/>
      <c r="B858" s="220" t="s">
        <v>281</v>
      </c>
      <c r="C858" s="546"/>
      <c r="D858" s="283"/>
      <c r="E858" s="751"/>
      <c r="F858"/>
      <c r="G858"/>
      <c r="H858" s="299">
        <f t="shared" ref="H858" si="196">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customHeight="1" outlineLevel="2" x14ac:dyDescent="0.2">
      <c r="A859" s="145"/>
      <c r="B859" s="220" t="str">
        <f>AK859</f>
        <v>* delivers archival box to Maggie</v>
      </c>
      <c r="C859" s="546"/>
      <c r="D859" s="283"/>
      <c r="E859" s="751"/>
      <c r="F859"/>
      <c r="G859"/>
      <c r="H859" s="299">
        <f t="shared" ref="H859" si="197">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x14ac:dyDescent="0.2">
      <c r="A864" s="145"/>
      <c r="B864" s="222" t="s">
        <v>138</v>
      </c>
      <c r="C864" s="546"/>
      <c r="D864" s="283"/>
      <c r="E864" s="283"/>
      <c r="F864" s="255">
        <f t="shared" ref="F864" si="198">NETWORKDAYS(G864,H864,S.DDL_DEQClosed)</f>
        <v>64</v>
      </c>
      <c r="G864" s="299">
        <f t="shared" ref="G864" si="199">AG864</f>
        <v>42080</v>
      </c>
      <c r="H864" s="299">
        <f t="shared" ref="H864" si="200">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G191:H19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50" t="s">
        <v>40</v>
      </c>
      <c r="C2" s="1050"/>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50" t="s">
        <v>41</v>
      </c>
      <c r="C9" s="1050"/>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50" t="s">
        <v>51</v>
      </c>
      <c r="C14" s="1050"/>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51" t="s">
        <v>139</v>
      </c>
      <c r="C2" s="1051"/>
      <c r="D2" s="1051"/>
      <c r="E2" s="1051"/>
      <c r="F2" s="1051"/>
      <c r="G2" s="1051"/>
      <c r="H2" s="1051"/>
      <c r="I2" s="1051"/>
      <c r="J2" s="1051"/>
      <c r="K2" s="1051"/>
      <c r="L2" s="1051"/>
      <c r="M2" s="1051"/>
      <c r="N2" s="1051"/>
      <c r="O2" s="1051"/>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52" t="s">
        <v>140</v>
      </c>
      <c r="D4" s="1052"/>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7" t="str">
        <f>S.General.RulemakingTitle</f>
        <v>Grants Pass Limited Maintenance Plans for CO and PM10</v>
      </c>
      <c r="B1" s="1057"/>
      <c r="C1" s="1057"/>
      <c r="D1" s="637"/>
      <c r="E1" s="75"/>
      <c r="F1" s="1054" t="str">
        <f>S.General.CodeName</f>
        <v>GPLMP</v>
      </c>
      <c r="G1" s="1054"/>
      <c r="H1" s="1054"/>
      <c r="I1" s="1054"/>
      <c r="J1" s="1054"/>
      <c r="K1" s="75"/>
      <c r="L1" s="75"/>
      <c r="M1" s="75"/>
      <c r="N1" s="1060" t="s">
        <v>0</v>
      </c>
      <c r="O1" s="1060"/>
      <c r="P1" s="1060"/>
      <c r="Q1" s="1060"/>
      <c r="R1" s="1060"/>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8" t="s">
        <v>356</v>
      </c>
      <c r="B2" s="1058"/>
      <c r="C2" s="1058"/>
      <c r="D2" s="638"/>
      <c r="E2" s="596"/>
      <c r="F2" s="1053">
        <f ca="1">A3</f>
        <v>41956</v>
      </c>
      <c r="G2" s="1053"/>
      <c r="H2" s="1053"/>
      <c r="I2" s="1053"/>
      <c r="J2" s="1053"/>
      <c r="K2" s="1053"/>
      <c r="L2" s="1053"/>
      <c r="M2" s="1053">
        <f ca="1">M4</f>
        <v>41960</v>
      </c>
      <c r="N2" s="1053"/>
      <c r="O2" s="1053"/>
      <c r="P2" s="1053"/>
      <c r="Q2" s="1053"/>
      <c r="R2" s="1053"/>
      <c r="S2" s="1053"/>
      <c r="T2" s="1053">
        <f ca="1">T4</f>
        <v>41967</v>
      </c>
      <c r="U2" s="1053"/>
      <c r="V2" s="1053"/>
      <c r="W2" s="1053"/>
      <c r="X2" s="1053"/>
      <c r="Y2" s="1053"/>
      <c r="Z2" s="1053"/>
      <c r="AA2" s="1053">
        <f ca="1">AA4</f>
        <v>41974</v>
      </c>
      <c r="AB2" s="1053"/>
      <c r="AC2" s="1053"/>
      <c r="AD2" s="1053"/>
      <c r="AE2" s="1053"/>
      <c r="AF2" s="1053"/>
      <c r="AG2" s="1053"/>
      <c r="AH2" s="1053">
        <f ca="1">AH4</f>
        <v>41981</v>
      </c>
      <c r="AI2" s="1053"/>
      <c r="AJ2" s="1053"/>
      <c r="AK2" s="1053"/>
      <c r="AL2" s="1053"/>
      <c r="AM2" s="1053"/>
      <c r="AN2" s="1053"/>
      <c r="AO2" s="1053">
        <f ca="1">AO4</f>
        <v>41988</v>
      </c>
      <c r="AP2" s="1053"/>
      <c r="AQ2" s="1053"/>
      <c r="AR2" s="1053"/>
      <c r="AS2" s="1053"/>
      <c r="AT2" s="1053"/>
      <c r="AU2" s="1053"/>
      <c r="AV2" s="1053">
        <f ca="1">AV4</f>
        <v>41995</v>
      </c>
      <c r="AW2" s="1053"/>
      <c r="AX2" s="1053"/>
      <c r="AY2" s="1053"/>
      <c r="AZ2" s="1053"/>
      <c r="BA2" s="1053"/>
      <c r="BB2" s="1053"/>
      <c r="BC2" s="1053">
        <f ca="1">BC4</f>
        <v>42002</v>
      </c>
      <c r="BD2" s="1053"/>
      <c r="BE2" s="1053"/>
      <c r="BF2" s="1053"/>
      <c r="BG2" s="1053"/>
      <c r="BH2" s="1053"/>
      <c r="BI2" s="1053"/>
    </row>
    <row r="3" spans="1:61" ht="18.75" thickBot="1" x14ac:dyDescent="0.25">
      <c r="A3" s="1059">
        <f ca="1">TODAY()+E4</f>
        <v>41956</v>
      </c>
      <c r="B3" s="1059"/>
      <c r="C3" s="1059"/>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5" t="s">
        <v>355</v>
      </c>
      <c r="B4" s="1055"/>
      <c r="C4" s="1056"/>
      <c r="D4" s="636"/>
      <c r="E4" s="590">
        <v>0</v>
      </c>
      <c r="F4" s="591" t="str">
        <f ca="1">IF(WEEKDAY($A$3,3)&lt;&gt;0,"-",$A$3)</f>
        <v>-</v>
      </c>
      <c r="G4" s="591" t="str">
        <f ca="1">IF(WEEKDAY($A$3,3)=1,$A$3,IF(WEEKDAY($A$3,3)&lt;1,F4+1,"-"))</f>
        <v>-</v>
      </c>
      <c r="H4" s="591" t="str">
        <f ca="1">IF(WEEKDAY($A$3,3)=2,$A$3,IF(WEEKDAY($A$3,3)&lt;2,G4+1,"-"))</f>
        <v>-</v>
      </c>
      <c r="I4" s="591">
        <f ca="1">IF(WEEKDAY($A$3,3)=3,$A$3,IF(WEEKDAY($A$3,3)&lt;3,H4+1,"-"))</f>
        <v>41956</v>
      </c>
      <c r="J4" s="591">
        <f ca="1">IF(WEEKDAY($A$3,3)=4,$A$3,IF(WEEKDAY($A$3,3)&lt;4,I4+1,"-"))</f>
        <v>41957</v>
      </c>
      <c r="K4" s="592">
        <f ca="1">IF(WEEKDAY($A$3,3)=5,$A$3,IF(WEEKDAY($A$3,3)&lt;5,J4+1,"-"))</f>
        <v>41958</v>
      </c>
      <c r="L4" s="592">
        <f ca="1">IF(WEEKDAY($A$3,3)=6,$A$3,IF(WEEKDAY($A$3,3)&lt;6,K4+1,"-"))</f>
        <v>41959</v>
      </c>
      <c r="M4" s="593">
        <f ca="1">L4+1</f>
        <v>41960</v>
      </c>
      <c r="N4" s="593">
        <f t="shared" ref="N4:AG4" ca="1" si="0">M4+1</f>
        <v>41961</v>
      </c>
      <c r="O4" s="593">
        <f t="shared" ca="1" si="0"/>
        <v>41962</v>
      </c>
      <c r="P4" s="593">
        <f t="shared" ca="1" si="0"/>
        <v>41963</v>
      </c>
      <c r="Q4" s="593">
        <f t="shared" ca="1" si="0"/>
        <v>41964</v>
      </c>
      <c r="R4" s="594">
        <f t="shared" ca="1" si="0"/>
        <v>41965</v>
      </c>
      <c r="S4" s="594">
        <f t="shared" ca="1" si="0"/>
        <v>41966</v>
      </c>
      <c r="T4" s="593">
        <f t="shared" ca="1" si="0"/>
        <v>41967</v>
      </c>
      <c r="U4" s="593">
        <f t="shared" ca="1" si="0"/>
        <v>41968</v>
      </c>
      <c r="V4" s="593">
        <f t="shared" ca="1" si="0"/>
        <v>41969</v>
      </c>
      <c r="W4" s="593">
        <f t="shared" ca="1" si="0"/>
        <v>41970</v>
      </c>
      <c r="X4" s="593">
        <f t="shared" ca="1" si="0"/>
        <v>41971</v>
      </c>
      <c r="Y4" s="594">
        <f t="shared" ca="1" si="0"/>
        <v>41972</v>
      </c>
      <c r="Z4" s="594">
        <f t="shared" ca="1" si="0"/>
        <v>41973</v>
      </c>
      <c r="AA4" s="593">
        <f t="shared" ca="1" si="0"/>
        <v>41974</v>
      </c>
      <c r="AB4" s="593">
        <f t="shared" ca="1" si="0"/>
        <v>41975</v>
      </c>
      <c r="AC4" s="593">
        <f t="shared" ca="1" si="0"/>
        <v>41976</v>
      </c>
      <c r="AD4" s="593">
        <f t="shared" ca="1" si="0"/>
        <v>41977</v>
      </c>
      <c r="AE4" s="593">
        <f t="shared" ca="1" si="0"/>
        <v>41978</v>
      </c>
      <c r="AF4" s="594">
        <f t="shared" ca="1" si="0"/>
        <v>41979</v>
      </c>
      <c r="AG4" s="594">
        <f t="shared" ca="1" si="0"/>
        <v>41980</v>
      </c>
      <c r="AH4" s="593">
        <f t="shared" ref="AH4:BI4" ca="1" si="1">AG4+1</f>
        <v>41981</v>
      </c>
      <c r="AI4" s="593">
        <f t="shared" ca="1" si="1"/>
        <v>41982</v>
      </c>
      <c r="AJ4" s="593">
        <f t="shared" ca="1" si="1"/>
        <v>41983</v>
      </c>
      <c r="AK4" s="593">
        <f t="shared" ca="1" si="1"/>
        <v>41984</v>
      </c>
      <c r="AL4" s="593">
        <f t="shared" ca="1" si="1"/>
        <v>41985</v>
      </c>
      <c r="AM4" s="594">
        <f t="shared" ca="1" si="1"/>
        <v>41986</v>
      </c>
      <c r="AN4" s="594">
        <f t="shared" ca="1" si="1"/>
        <v>41987</v>
      </c>
      <c r="AO4" s="593">
        <f t="shared" ca="1" si="1"/>
        <v>41988</v>
      </c>
      <c r="AP4" s="593">
        <f t="shared" ca="1" si="1"/>
        <v>41989</v>
      </c>
      <c r="AQ4" s="593">
        <f t="shared" ca="1" si="1"/>
        <v>41990</v>
      </c>
      <c r="AR4" s="593">
        <f t="shared" ca="1" si="1"/>
        <v>41991</v>
      </c>
      <c r="AS4" s="593">
        <f t="shared" ca="1" si="1"/>
        <v>41992</v>
      </c>
      <c r="AT4" s="594">
        <f t="shared" ca="1" si="1"/>
        <v>41993</v>
      </c>
      <c r="AU4" s="594">
        <f t="shared" ca="1" si="1"/>
        <v>41994</v>
      </c>
      <c r="AV4" s="593">
        <f t="shared" ca="1" si="1"/>
        <v>41995</v>
      </c>
      <c r="AW4" s="593">
        <f t="shared" ca="1" si="1"/>
        <v>41996</v>
      </c>
      <c r="AX4" s="593">
        <f t="shared" ca="1" si="1"/>
        <v>41997</v>
      </c>
      <c r="AY4" s="593">
        <f t="shared" ca="1" si="1"/>
        <v>41998</v>
      </c>
      <c r="AZ4" s="593">
        <f t="shared" ca="1" si="1"/>
        <v>41999</v>
      </c>
      <c r="BA4" s="594">
        <f t="shared" ca="1" si="1"/>
        <v>42000</v>
      </c>
      <c r="BB4" s="594">
        <f t="shared" ca="1" si="1"/>
        <v>42001</v>
      </c>
      <c r="BC4" s="593">
        <f t="shared" ca="1" si="1"/>
        <v>42002</v>
      </c>
      <c r="BD4" s="593">
        <f t="shared" ca="1" si="1"/>
        <v>42003</v>
      </c>
      <c r="BE4" s="593">
        <f t="shared" ca="1" si="1"/>
        <v>42004</v>
      </c>
      <c r="BF4" s="593">
        <f t="shared" ca="1" si="1"/>
        <v>42005</v>
      </c>
      <c r="BG4" s="593">
        <f t="shared" ca="1" si="1"/>
        <v>42006</v>
      </c>
      <c r="BH4" s="594">
        <f t="shared" ca="1" si="1"/>
        <v>42007</v>
      </c>
      <c r="BI4" s="594">
        <f t="shared" ca="1" si="1"/>
        <v>42008</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0</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42027</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41967</v>
      </c>
      <c r="C45" s="608">
        <f>S.Notice.ADABriefing</f>
        <v>41967</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41967</v>
      </c>
      <c r="C47" s="608">
        <f>S.Notice.PreviewEnd</f>
        <v>41976</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42024</v>
      </c>
      <c r="C49" s="608">
        <f>S.Notice.LastHearingDate</f>
        <v>42024</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779</v>
      </c>
      <c r="C2" s="210" t="s">
        <v>780</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3" t="s">
        <v>482</v>
      </c>
      <c r="C4" s="1063"/>
      <c r="D4" s="1063"/>
      <c r="E4" s="1063"/>
      <c r="F4" s="1063"/>
      <c r="G4" s="1063"/>
      <c r="H4" s="1063"/>
      <c r="I4" s="75"/>
      <c r="J4" s="75"/>
      <c r="K4" s="75"/>
      <c r="L4"/>
      <c r="M4"/>
      <c r="N4"/>
      <c r="O4"/>
      <c r="P4"/>
      <c r="Q4"/>
      <c r="R4"/>
      <c r="S4"/>
      <c r="T4"/>
      <c r="U4"/>
      <c r="V4"/>
    </row>
    <row r="5" spans="1:22" ht="36" customHeight="1" x14ac:dyDescent="0.2">
      <c r="A5" s="75"/>
      <c r="B5" s="75"/>
      <c r="C5" s="661" t="s">
        <v>477</v>
      </c>
      <c r="D5" s="661" t="s">
        <v>478</v>
      </c>
      <c r="E5" s="212" t="s">
        <v>360</v>
      </c>
      <c r="F5" s="212" t="s">
        <v>361</v>
      </c>
      <c r="G5" s="212" t="s">
        <v>626</v>
      </c>
      <c r="H5" s="75"/>
      <c r="I5" s="75"/>
      <c r="J5" s="75"/>
      <c r="K5" s="75"/>
    </row>
    <row r="6" spans="1:22" ht="18.75" x14ac:dyDescent="0.3">
      <c r="A6" s="75"/>
      <c r="B6" s="211" t="s">
        <v>475</v>
      </c>
      <c r="C6" s="210" t="s">
        <v>777</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605</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623</v>
      </c>
      <c r="C11" s="571" t="s">
        <v>330</v>
      </c>
      <c r="D11" s="75"/>
      <c r="E11" s="75"/>
      <c r="F11" s="824"/>
      <c r="G11" s="75"/>
      <c r="H11" s="75"/>
      <c r="I11" s="75"/>
      <c r="J11" s="75"/>
      <c r="K11" s="75"/>
      <c r="L11" s="75"/>
      <c r="M11" s="75"/>
      <c r="N11" s="75"/>
    </row>
    <row r="12" spans="1:22" ht="18.75" x14ac:dyDescent="0.3">
      <c r="A12" s="75"/>
      <c r="B12" s="211" t="s">
        <v>101</v>
      </c>
      <c r="C12" s="210" t="s">
        <v>604</v>
      </c>
      <c r="D12" s="75"/>
      <c r="E12" s="75"/>
      <c r="F12" s="825" t="s">
        <v>664</v>
      </c>
      <c r="G12" s="75"/>
      <c r="H12" s="75"/>
      <c r="I12" s="75"/>
      <c r="J12" s="75"/>
      <c r="K12" s="75"/>
      <c r="L12" s="75"/>
      <c r="M12" s="75"/>
      <c r="N12" s="75"/>
    </row>
    <row r="13" spans="1:22" ht="18.75" x14ac:dyDescent="0.3">
      <c r="A13" s="75"/>
      <c r="B13" s="211" t="s">
        <v>301</v>
      </c>
      <c r="C13" s="571" t="s">
        <v>605</v>
      </c>
      <c r="D13" s="75"/>
      <c r="E13" s="75"/>
      <c r="F13" s="826" t="s">
        <v>666</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665</v>
      </c>
      <c r="G15" s="75"/>
      <c r="H15" s="75"/>
      <c r="I15" s="75"/>
      <c r="J15" s="75"/>
      <c r="K15" s="75"/>
      <c r="L15" s="75"/>
      <c r="M15" s="75"/>
      <c r="N15" s="75"/>
    </row>
    <row r="16" spans="1:22" s="23" customFormat="1" ht="18.75" x14ac:dyDescent="0.3">
      <c r="A16" s="75"/>
      <c r="B16" s="211" t="s">
        <v>172</v>
      </c>
      <c r="C16" s="210" t="s">
        <v>341</v>
      </c>
      <c r="D16" s="75"/>
      <c r="E16" s="75"/>
      <c r="F16" s="826" t="s">
        <v>675</v>
      </c>
      <c r="G16" s="75"/>
      <c r="H16" s="75"/>
      <c r="I16" s="75"/>
      <c r="J16" s="75"/>
      <c r="K16" s="75"/>
      <c r="L16" s="75"/>
      <c r="M16" s="75"/>
      <c r="N16" s="75"/>
    </row>
    <row r="17" spans="1:14" ht="18.75" x14ac:dyDescent="0.3">
      <c r="A17" s="75"/>
      <c r="B17" s="211" t="s">
        <v>103</v>
      </c>
      <c r="C17" s="571" t="s">
        <v>490</v>
      </c>
      <c r="D17" s="75"/>
      <c r="E17" s="75"/>
      <c r="F17" s="826" t="s">
        <v>667</v>
      </c>
      <c r="G17" s="75"/>
      <c r="H17" s="75"/>
      <c r="I17" s="75"/>
      <c r="J17" s="75"/>
      <c r="K17" s="75"/>
      <c r="L17" s="75"/>
      <c r="M17" s="75"/>
      <c r="N17" s="75"/>
    </row>
    <row r="18" spans="1:14" ht="18.75" x14ac:dyDescent="0.3">
      <c r="A18" s="75"/>
      <c r="B18" s="211" t="s">
        <v>302</v>
      </c>
      <c r="C18" s="210" t="s">
        <v>341</v>
      </c>
      <c r="D18" s="75"/>
      <c r="E18" s="23"/>
      <c r="F18" s="826" t="s">
        <v>670</v>
      </c>
      <c r="G18" s="75"/>
      <c r="H18" s="75"/>
      <c r="I18" s="75"/>
      <c r="J18" s="75"/>
      <c r="K18" s="75"/>
      <c r="L18" s="75"/>
      <c r="M18" s="75"/>
      <c r="N18" s="75"/>
    </row>
    <row r="19" spans="1:14" ht="18.75" customHeight="1" x14ac:dyDescent="0.3">
      <c r="A19" s="75"/>
      <c r="B19" s="211" t="s">
        <v>104</v>
      </c>
      <c r="C19" s="571" t="s">
        <v>777</v>
      </c>
      <c r="D19" s="819" t="s">
        <v>481</v>
      </c>
      <c r="E19" s="820"/>
      <c r="F19" s="828" t="s">
        <v>668</v>
      </c>
      <c r="G19" s="75"/>
      <c r="H19" s="75"/>
      <c r="I19" s="75"/>
      <c r="J19" s="75"/>
      <c r="K19" s="75"/>
      <c r="L19" s="75"/>
      <c r="M19" s="75"/>
      <c r="N19" s="75"/>
    </row>
    <row r="20" spans="1:14" s="23" customFormat="1" ht="18.75" x14ac:dyDescent="0.3">
      <c r="A20" s="75"/>
      <c r="B20" s="211" t="s">
        <v>105</v>
      </c>
      <c r="C20" s="210" t="s">
        <v>128</v>
      </c>
      <c r="D20" s="75"/>
      <c r="E20" s="640"/>
      <c r="F20" s="829" t="s">
        <v>669</v>
      </c>
      <c r="G20" s="75"/>
      <c r="H20" s="75"/>
      <c r="I20" s="75"/>
      <c r="J20" s="75"/>
      <c r="K20" s="75"/>
      <c r="L20" s="75"/>
      <c r="M20" s="75"/>
      <c r="N20" s="75"/>
    </row>
    <row r="21" spans="1:14" ht="18.75" x14ac:dyDescent="0.3">
      <c r="A21" s="75"/>
      <c r="B21" s="211" t="s">
        <v>112</v>
      </c>
      <c r="C21" s="571" t="s">
        <v>113</v>
      </c>
      <c r="D21" s="75"/>
      <c r="E21" s="640"/>
      <c r="F21" s="828" t="s">
        <v>671</v>
      </c>
      <c r="G21" s="75"/>
      <c r="H21" s="75"/>
      <c r="I21" s="75"/>
      <c r="J21" s="75"/>
      <c r="K21" s="75"/>
      <c r="L21" s="75"/>
      <c r="M21" s="75"/>
      <c r="N21" s="75"/>
    </row>
    <row r="22" spans="1:14" ht="18.75" x14ac:dyDescent="0.3">
      <c r="A22" s="75"/>
      <c r="B22" s="211" t="s">
        <v>127</v>
      </c>
      <c r="C22" s="210" t="s">
        <v>491</v>
      </c>
      <c r="D22" s="75"/>
      <c r="E22" s="75"/>
      <c r="F22" s="830" t="s">
        <v>674</v>
      </c>
      <c r="G22" s="75"/>
      <c r="H22" s="75"/>
      <c r="I22" s="75"/>
      <c r="J22" s="75"/>
      <c r="K22" s="75"/>
      <c r="L22" s="75"/>
      <c r="M22" s="75"/>
      <c r="N22" s="75"/>
    </row>
    <row r="23" spans="1:14" s="23" customFormat="1" ht="18.75" x14ac:dyDescent="0.3">
      <c r="A23" s="75"/>
      <c r="B23" s="211" t="s">
        <v>527</v>
      </c>
      <c r="C23" s="571" t="s">
        <v>778</v>
      </c>
      <c r="D23" s="75"/>
      <c r="E23" s="75"/>
      <c r="F23" s="831" t="s">
        <v>672</v>
      </c>
      <c r="G23" s="75"/>
      <c r="H23" s="75"/>
      <c r="I23" s="75"/>
      <c r="J23" s="75"/>
      <c r="K23" s="75"/>
      <c r="L23" s="75"/>
      <c r="M23" s="75"/>
      <c r="N23" s="75"/>
    </row>
    <row r="24" spans="1:14" s="23" customFormat="1" ht="18.75" x14ac:dyDescent="0.3">
      <c r="A24" s="75"/>
      <c r="B24" s="211" t="s">
        <v>526</v>
      </c>
      <c r="C24" s="571" t="s">
        <v>485</v>
      </c>
      <c r="D24" s="75"/>
      <c r="E24" s="75"/>
      <c r="F24" s="831" t="s">
        <v>673</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61" t="s">
        <v>342</v>
      </c>
      <c r="C31" s="1062"/>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61" t="s">
        <v>344</v>
      </c>
      <c r="C36" s="1062"/>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7" t="str">
        <f>S.General.RulemakingTitle</f>
        <v>Grants Pass Limited Maintenance Plans for CO and PM10</v>
      </c>
      <c r="C2" s="1067"/>
      <c r="D2" s="1067"/>
      <c r="E2" s="1067"/>
      <c r="F2" s="75"/>
      <c r="G2" s="527">
        <f ca="1">TODAY()</f>
        <v>41956</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4" t="s">
        <v>127</v>
      </c>
      <c r="F4" s="75"/>
      <c r="G4" s="453" t="s">
        <v>232</v>
      </c>
      <c r="H4" s="75"/>
      <c r="I4" s="75"/>
      <c r="J4" s="75"/>
      <c r="K4" s="75"/>
      <c r="L4" s="75"/>
      <c r="M4" s="75"/>
      <c r="N4" s="75"/>
      <c r="O4" s="75"/>
    </row>
    <row r="5" spans="1:15" s="23" customFormat="1" ht="18.75" thickBot="1" x14ac:dyDescent="0.3">
      <c r="A5" s="75"/>
      <c r="B5" s="793" t="s">
        <v>638</v>
      </c>
      <c r="C5" s="793" t="s">
        <v>562</v>
      </c>
      <c r="D5" s="793" t="s">
        <v>563</v>
      </c>
      <c r="E5" s="1065"/>
      <c r="F5" s="75"/>
      <c r="G5" s="779"/>
      <c r="H5" s="75"/>
      <c r="I5" s="75"/>
      <c r="J5" s="75"/>
      <c r="K5" s="75"/>
      <c r="L5" s="75"/>
      <c r="M5" s="75"/>
      <c r="N5" s="75"/>
      <c r="O5" s="75"/>
    </row>
    <row r="6" spans="1:15" ht="15" thickTop="1" x14ac:dyDescent="0.2">
      <c r="A6" s="75"/>
      <c r="B6" s="451" t="str">
        <f>S.Hearing.1stCity</f>
        <v>Grants Pass</v>
      </c>
      <c r="C6" s="789">
        <f>S.Hearing.1stDate</f>
        <v>42024</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6" t="s">
        <v>230</v>
      </c>
      <c r="C17" s="1066"/>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NOTICE.AD2RegisterGuard</v>
      </c>
      <c r="C19" s="789">
        <f>S.Notice.AD.PubDate2</f>
        <v>41989</v>
      </c>
      <c r="D19" s="452"/>
      <c r="E19" s="75"/>
      <c r="F19" s="75"/>
      <c r="G19" s="499"/>
      <c r="H19" s="75"/>
      <c r="I19" s="75"/>
      <c r="J19" s="75"/>
      <c r="K19" s="75"/>
      <c r="L19" s="75"/>
      <c r="M19" s="75"/>
      <c r="N19" s="75"/>
      <c r="O19" s="75"/>
    </row>
    <row r="20" spans="1:15" x14ac:dyDescent="0.2">
      <c r="A20" s="75"/>
      <c r="B20" s="451" t="str">
        <f>S.Notice.AD.PubID3</f>
        <v>NOTICE.AD3MailTribune</v>
      </c>
      <c r="C20" s="789">
        <f>S.Notice.AD.PubDate3</f>
        <v>41989</v>
      </c>
      <c r="D20" s="452"/>
      <c r="E20" s="75"/>
      <c r="F20" s="75"/>
      <c r="G20" s="499"/>
      <c r="H20" s="75"/>
      <c r="I20" s="75"/>
      <c r="J20" s="75"/>
      <c r="K20" s="75"/>
      <c r="L20" s="75"/>
      <c r="M20" s="75"/>
      <c r="N20" s="75"/>
      <c r="O20" s="75"/>
    </row>
    <row r="21" spans="1:15" x14ac:dyDescent="0.2">
      <c r="A21" s="75"/>
      <c r="B21" s="451" t="str">
        <f>S.Notice.AD.PubID4</f>
        <v>NOTICE.AD4Other</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9" t="s">
        <v>349</v>
      </c>
      <c r="H4" s="1069"/>
      <c r="I4" s="1069"/>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9"/>
      <c r="H5" s="1069"/>
      <c r="I5" s="1069"/>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9"/>
      <c r="H6" s="1069"/>
      <c r="I6" s="1069"/>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9"/>
      <c r="H7" s="1069"/>
      <c r="I7" s="1069"/>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8" t="s">
        <v>34</v>
      </c>
      <c r="K27" s="1068"/>
      <c r="L27" s="1068"/>
      <c r="M27" s="1068"/>
      <c r="N27" s="1068"/>
      <c r="O27" s="1068"/>
      <c r="P27" s="1068"/>
      <c r="Q27" s="53"/>
      <c r="R27" s="2"/>
      <c r="S27" s="2"/>
      <c r="T27" s="2"/>
    </row>
    <row r="28" spans="1:20" x14ac:dyDescent="0.25">
      <c r="A28" s="22">
        <v>41275</v>
      </c>
      <c r="B28" s="20" t="s">
        <v>5</v>
      </c>
      <c r="C28" s="30">
        <f>A28</f>
        <v>41275</v>
      </c>
      <c r="D28" s="30"/>
      <c r="E28" s="55"/>
      <c r="F28" s="55"/>
      <c r="G28" s="55"/>
      <c r="H28" s="55"/>
      <c r="I28" s="2"/>
      <c r="J28" s="1068"/>
      <c r="K28" s="1068"/>
      <c r="L28" s="1068"/>
      <c r="M28" s="1068"/>
      <c r="N28" s="1068"/>
      <c r="O28" s="1068"/>
      <c r="P28" s="1068"/>
      <c r="Q28" s="53"/>
      <c r="R28" s="2"/>
      <c r="S28" s="2"/>
      <c r="T28" s="2"/>
    </row>
    <row r="29" spans="1:20" x14ac:dyDescent="0.25">
      <c r="A29" s="22">
        <v>41292</v>
      </c>
      <c r="B29" s="20" t="s">
        <v>3</v>
      </c>
      <c r="C29" s="30">
        <f t="shared" ref="C29:C76" si="8">A29</f>
        <v>41292</v>
      </c>
      <c r="D29" s="30"/>
      <c r="E29" s="55"/>
      <c r="F29" s="55"/>
      <c r="G29" s="55"/>
      <c r="H29" s="55"/>
      <c r="I29" s="2"/>
      <c r="J29" s="1068"/>
      <c r="K29" s="1068"/>
      <c r="L29" s="1068"/>
      <c r="M29" s="1068"/>
      <c r="N29" s="1068"/>
      <c r="O29" s="1068"/>
      <c r="P29" s="1068"/>
      <c r="Q29" s="53"/>
      <c r="R29" s="2"/>
      <c r="S29" s="2"/>
      <c r="T29" s="2"/>
    </row>
    <row r="30" spans="1:20" x14ac:dyDescent="0.25">
      <c r="A30" s="22">
        <v>41295</v>
      </c>
      <c r="B30" s="20" t="s">
        <v>6</v>
      </c>
      <c r="C30" s="30">
        <f t="shared" si="8"/>
        <v>41295</v>
      </c>
      <c r="D30" s="30"/>
      <c r="E30" s="55"/>
      <c r="F30" s="55"/>
      <c r="G30" s="55"/>
      <c r="H30" s="55"/>
      <c r="I30" s="2"/>
      <c r="J30" s="1068"/>
      <c r="K30" s="1068"/>
      <c r="L30" s="1068"/>
      <c r="M30" s="1068"/>
      <c r="N30" s="1068"/>
      <c r="O30" s="1068"/>
      <c r="P30" s="1068"/>
      <c r="Q30" s="53"/>
      <c r="R30" s="2"/>
      <c r="S30" s="2"/>
      <c r="T30" s="2"/>
    </row>
    <row r="31" spans="1:20" x14ac:dyDescent="0.25">
      <c r="A31" s="22">
        <v>41323</v>
      </c>
      <c r="B31" s="20" t="s">
        <v>7</v>
      </c>
      <c r="C31" s="30">
        <f t="shared" si="8"/>
        <v>41323</v>
      </c>
      <c r="D31" s="30"/>
      <c r="E31" s="55"/>
      <c r="F31" s="55"/>
      <c r="G31" s="55"/>
      <c r="H31" s="55"/>
      <c r="I31" s="2"/>
      <c r="J31" s="1068"/>
      <c r="K31" s="1068"/>
      <c r="L31" s="1068"/>
      <c r="M31" s="1068"/>
      <c r="N31" s="1068"/>
      <c r="O31" s="1068"/>
      <c r="P31" s="1068"/>
      <c r="Q31" s="53"/>
      <c r="R31" s="2"/>
      <c r="S31" s="2"/>
      <c r="T31" s="2"/>
    </row>
    <row r="32" spans="1:20" x14ac:dyDescent="0.25">
      <c r="A32" s="22">
        <v>41383</v>
      </c>
      <c r="B32" s="20" t="s">
        <v>3</v>
      </c>
      <c r="C32" s="30">
        <f t="shared" si="8"/>
        <v>41383</v>
      </c>
      <c r="D32" s="30"/>
      <c r="E32" s="55"/>
      <c r="F32" s="55"/>
      <c r="G32" s="55"/>
      <c r="H32" s="55"/>
      <c r="I32" s="2"/>
      <c r="J32" s="1068"/>
      <c r="K32" s="1068"/>
      <c r="L32" s="1068"/>
      <c r="M32" s="1068"/>
      <c r="N32" s="1068"/>
      <c r="O32" s="1068"/>
      <c r="P32" s="1068"/>
      <c r="Q32" s="53"/>
      <c r="R32" s="2"/>
      <c r="S32" s="2"/>
      <c r="T32" s="2"/>
    </row>
    <row r="33" spans="1:20" x14ac:dyDescent="0.25">
      <c r="A33" s="22">
        <v>41418</v>
      </c>
      <c r="B33" s="20" t="s">
        <v>3</v>
      </c>
      <c r="C33" s="30">
        <f t="shared" si="8"/>
        <v>41418</v>
      </c>
      <c r="D33" s="30"/>
      <c r="E33" s="55"/>
      <c r="F33" s="55"/>
      <c r="G33" s="55"/>
      <c r="H33" s="55"/>
      <c r="I33" s="2"/>
      <c r="J33" s="1068"/>
      <c r="K33" s="1068"/>
      <c r="L33" s="1068"/>
      <c r="M33" s="1068"/>
      <c r="N33" s="1068"/>
      <c r="O33" s="1068"/>
      <c r="P33" s="1068"/>
      <c r="Q33" s="53"/>
      <c r="R33" s="2"/>
      <c r="S33" s="2"/>
      <c r="T33" s="2"/>
    </row>
    <row r="34" spans="1:20" x14ac:dyDescent="0.25">
      <c r="A34" s="22">
        <v>41421</v>
      </c>
      <c r="B34" s="20" t="s">
        <v>8</v>
      </c>
      <c r="C34" s="30">
        <f t="shared" si="8"/>
        <v>41421</v>
      </c>
      <c r="D34" s="30"/>
      <c r="E34" s="55"/>
      <c r="F34" s="55"/>
      <c r="G34" s="55"/>
      <c r="H34" s="55"/>
      <c r="I34" s="2"/>
      <c r="J34" s="1068"/>
      <c r="K34" s="1068"/>
      <c r="L34" s="1068"/>
      <c r="M34" s="1068"/>
      <c r="N34" s="1068"/>
      <c r="O34" s="1068"/>
      <c r="P34" s="1068"/>
      <c r="Q34" s="53"/>
      <c r="R34" s="2"/>
      <c r="S34" s="2"/>
      <c r="T34" s="2"/>
    </row>
    <row r="35" spans="1:20" x14ac:dyDescent="0.25">
      <c r="A35" s="22">
        <v>41459</v>
      </c>
      <c r="B35" s="20" t="s">
        <v>9</v>
      </c>
      <c r="C35" s="30">
        <f t="shared" si="8"/>
        <v>41459</v>
      </c>
      <c r="D35" s="30"/>
      <c r="E35" s="55"/>
      <c r="F35" s="55"/>
      <c r="G35" s="55"/>
      <c r="H35" s="55"/>
      <c r="I35" s="2"/>
      <c r="J35" s="1068"/>
      <c r="K35" s="1068"/>
      <c r="L35" s="1068"/>
      <c r="M35" s="1068"/>
      <c r="N35" s="1068"/>
      <c r="O35" s="1068"/>
      <c r="P35" s="1068"/>
      <c r="Q35" s="53"/>
      <c r="R35" s="2"/>
      <c r="S35" s="2"/>
      <c r="T35" s="2"/>
    </row>
    <row r="36" spans="1:20" x14ac:dyDescent="0.25">
      <c r="A36" s="22">
        <v>41519</v>
      </c>
      <c r="B36" s="20" t="s">
        <v>10</v>
      </c>
      <c r="C36" s="30">
        <f t="shared" si="8"/>
        <v>41519</v>
      </c>
      <c r="D36" s="30"/>
      <c r="E36" s="55"/>
      <c r="F36" s="55"/>
      <c r="G36" s="55"/>
      <c r="H36" s="55"/>
      <c r="I36" s="2"/>
      <c r="J36" s="1068"/>
      <c r="K36" s="1068"/>
      <c r="L36" s="1068"/>
      <c r="M36" s="1068"/>
      <c r="N36" s="1068"/>
      <c r="O36" s="1068"/>
      <c r="P36" s="1068"/>
      <c r="Q36" s="53"/>
      <c r="R36" s="2"/>
      <c r="S36" s="2"/>
      <c r="T36" s="2"/>
    </row>
    <row r="37" spans="1:20" x14ac:dyDescent="0.25">
      <c r="A37" s="22">
        <v>41589</v>
      </c>
      <c r="B37" s="20" t="s">
        <v>1</v>
      </c>
      <c r="C37" s="30">
        <f t="shared" si="8"/>
        <v>41589</v>
      </c>
      <c r="D37" s="30"/>
      <c r="E37" s="55"/>
      <c r="F37" s="55"/>
      <c r="G37" s="55"/>
      <c r="H37" s="55"/>
      <c r="I37" s="2"/>
      <c r="J37" s="1068"/>
      <c r="K37" s="1068"/>
      <c r="L37" s="1068"/>
      <c r="M37" s="1068"/>
      <c r="N37" s="1068"/>
      <c r="O37" s="1068"/>
      <c r="P37" s="1068"/>
      <c r="Q37" s="53"/>
      <c r="R37" s="2"/>
      <c r="S37" s="2"/>
      <c r="T37" s="2"/>
    </row>
    <row r="38" spans="1:20" x14ac:dyDescent="0.25">
      <c r="A38" s="22">
        <v>41606</v>
      </c>
      <c r="B38" s="20" t="s">
        <v>2</v>
      </c>
      <c r="C38" s="30">
        <f t="shared" si="8"/>
        <v>41606</v>
      </c>
      <c r="D38" s="30"/>
      <c r="E38" s="55"/>
      <c r="F38" s="55"/>
      <c r="G38" s="55"/>
      <c r="H38" s="55"/>
      <c r="I38" s="2"/>
      <c r="J38" s="1068"/>
      <c r="K38" s="1068"/>
      <c r="L38" s="1068"/>
      <c r="M38" s="1068"/>
      <c r="N38" s="1068"/>
      <c r="O38" s="1068"/>
      <c r="P38" s="1068"/>
      <c r="Q38" s="53"/>
      <c r="R38" s="2"/>
      <c r="S38" s="2"/>
      <c r="T38" s="2"/>
    </row>
    <row r="39" spans="1:20" x14ac:dyDescent="0.25">
      <c r="A39" s="22">
        <v>41633</v>
      </c>
      <c r="B39" s="20" t="s">
        <v>4</v>
      </c>
      <c r="C39" s="30">
        <f t="shared" si="8"/>
        <v>41633</v>
      </c>
      <c r="D39" s="30"/>
      <c r="E39" s="55"/>
      <c r="F39" s="55"/>
      <c r="G39" s="55"/>
      <c r="H39" s="55"/>
      <c r="I39" s="2"/>
      <c r="J39" s="1068"/>
      <c r="K39" s="1068"/>
      <c r="L39" s="1068"/>
      <c r="M39" s="1068"/>
      <c r="N39" s="1068"/>
      <c r="O39" s="1068"/>
      <c r="P39" s="1068"/>
      <c r="Q39" s="53"/>
      <c r="R39" s="2"/>
      <c r="S39" s="2"/>
      <c r="T39" s="2"/>
    </row>
    <row r="40" spans="1:20" x14ac:dyDescent="0.25">
      <c r="A40" s="22">
        <v>41640</v>
      </c>
      <c r="B40" s="20" t="s">
        <v>5</v>
      </c>
      <c r="C40" s="30">
        <f t="shared" si="8"/>
        <v>41640</v>
      </c>
      <c r="D40" s="30"/>
      <c r="E40" s="55"/>
      <c r="F40" s="55"/>
      <c r="G40" s="55"/>
      <c r="H40" s="55"/>
      <c r="I40" s="2"/>
      <c r="J40" s="1068"/>
      <c r="K40" s="1068"/>
      <c r="L40" s="1068"/>
      <c r="M40" s="1068"/>
      <c r="N40" s="1068"/>
      <c r="O40" s="1068"/>
      <c r="P40" s="1068"/>
      <c r="Q40" s="53"/>
      <c r="R40" s="2"/>
      <c r="S40" s="2"/>
      <c r="T40" s="2"/>
    </row>
    <row r="41" spans="1:20" x14ac:dyDescent="0.25">
      <c r="A41" s="22">
        <v>41659</v>
      </c>
      <c r="B41" s="20" t="s">
        <v>6</v>
      </c>
      <c r="C41" s="30">
        <f t="shared" si="8"/>
        <v>41659</v>
      </c>
      <c r="D41" s="30"/>
      <c r="E41" s="55"/>
      <c r="F41" s="55"/>
      <c r="G41" s="55"/>
      <c r="H41" s="55"/>
      <c r="I41" s="2"/>
      <c r="J41" s="1068"/>
      <c r="K41" s="1068"/>
      <c r="L41" s="1068"/>
      <c r="M41" s="1068"/>
      <c r="N41" s="1068"/>
      <c r="O41" s="1068"/>
      <c r="P41" s="1068"/>
      <c r="Q41" s="53"/>
      <c r="R41" s="2"/>
      <c r="S41" s="2"/>
      <c r="T41" s="2"/>
    </row>
    <row r="42" spans="1:20" x14ac:dyDescent="0.25">
      <c r="A42" s="22">
        <v>41687</v>
      </c>
      <c r="B42" s="20" t="s">
        <v>7</v>
      </c>
      <c r="C42" s="30">
        <f t="shared" si="8"/>
        <v>41687</v>
      </c>
      <c r="D42" s="30"/>
      <c r="E42" s="55"/>
      <c r="F42" s="55"/>
      <c r="G42" s="55"/>
      <c r="H42" s="55"/>
      <c r="I42" s="2"/>
      <c r="J42" s="1068"/>
      <c r="K42" s="1068"/>
      <c r="L42" s="1068"/>
      <c r="M42" s="1068"/>
      <c r="N42" s="1068"/>
      <c r="O42" s="1068"/>
      <c r="P42" s="1068"/>
      <c r="Q42" s="53"/>
      <c r="R42" s="2"/>
      <c r="S42" s="2"/>
      <c r="T42" s="2"/>
    </row>
    <row r="43" spans="1:20" x14ac:dyDescent="0.25">
      <c r="A43" s="22">
        <v>41785</v>
      </c>
      <c r="B43" s="20" t="s">
        <v>8</v>
      </c>
      <c r="C43" s="30">
        <f t="shared" si="8"/>
        <v>41785</v>
      </c>
      <c r="D43" s="30"/>
      <c r="E43" s="55"/>
      <c r="F43" s="55"/>
      <c r="G43" s="55"/>
      <c r="H43" s="55"/>
      <c r="I43" s="2"/>
      <c r="J43" s="1068"/>
      <c r="K43" s="1068"/>
      <c r="L43" s="1068"/>
      <c r="M43" s="1068"/>
      <c r="N43" s="1068"/>
      <c r="O43" s="1068"/>
      <c r="P43" s="1068"/>
      <c r="Q43" s="53"/>
      <c r="R43" s="2"/>
      <c r="S43" s="2"/>
      <c r="T43" s="2"/>
    </row>
    <row r="44" spans="1:20" x14ac:dyDescent="0.25">
      <c r="A44" s="22">
        <v>41824</v>
      </c>
      <c r="B44" s="20" t="s">
        <v>9</v>
      </c>
      <c r="C44" s="30">
        <f t="shared" si="8"/>
        <v>41824</v>
      </c>
      <c r="D44" s="30"/>
      <c r="E44" s="55"/>
      <c r="F44" s="55"/>
      <c r="G44" s="55"/>
      <c r="H44" s="55"/>
      <c r="I44" s="2"/>
      <c r="J44" s="1068"/>
      <c r="K44" s="1068"/>
      <c r="L44" s="1068"/>
      <c r="M44" s="1068"/>
      <c r="N44" s="1068"/>
      <c r="O44" s="1068"/>
      <c r="P44" s="1068"/>
      <c r="Q44" s="53"/>
      <c r="R44" s="2"/>
      <c r="S44" s="2"/>
      <c r="T44" s="2"/>
    </row>
    <row r="45" spans="1:20" x14ac:dyDescent="0.25">
      <c r="A45" s="22">
        <v>41884</v>
      </c>
      <c r="B45" s="20" t="s">
        <v>10</v>
      </c>
      <c r="C45" s="30">
        <f t="shared" si="8"/>
        <v>41884</v>
      </c>
      <c r="D45" s="30"/>
      <c r="E45" s="55"/>
      <c r="F45" s="55"/>
      <c r="G45" s="55"/>
      <c r="H45" s="55"/>
      <c r="I45" s="2"/>
      <c r="J45" s="1068"/>
      <c r="K45" s="1068"/>
      <c r="L45" s="1068"/>
      <c r="M45" s="1068"/>
      <c r="N45" s="1068"/>
      <c r="O45" s="1068"/>
      <c r="P45" s="1068"/>
      <c r="Q45" s="53"/>
      <c r="R45" s="2"/>
      <c r="S45" s="2"/>
      <c r="T45" s="2"/>
    </row>
    <row r="46" spans="1:20" x14ac:dyDescent="0.25">
      <c r="A46" s="22">
        <v>41954</v>
      </c>
      <c r="B46" s="20" t="s">
        <v>1</v>
      </c>
      <c r="C46" s="30">
        <f t="shared" si="8"/>
        <v>41954</v>
      </c>
      <c r="D46" s="30"/>
      <c r="E46" s="55"/>
      <c r="F46" s="55"/>
      <c r="G46" s="55"/>
      <c r="H46" s="55"/>
      <c r="I46" s="2"/>
      <c r="J46" s="1068"/>
      <c r="K46" s="1068"/>
      <c r="L46" s="1068"/>
      <c r="M46" s="1068"/>
      <c r="N46" s="1068"/>
      <c r="O46" s="1068"/>
      <c r="P46" s="1068"/>
      <c r="Q46" s="53"/>
      <c r="R46" s="2"/>
      <c r="S46" s="2"/>
      <c r="T46" s="2"/>
    </row>
    <row r="47" spans="1:20" x14ac:dyDescent="0.25">
      <c r="A47" s="22">
        <v>41970</v>
      </c>
      <c r="B47" s="20" t="s">
        <v>2</v>
      </c>
      <c r="C47" s="30">
        <f t="shared" si="8"/>
        <v>41970</v>
      </c>
      <c r="D47" s="30"/>
      <c r="E47" s="55"/>
      <c r="F47" s="55"/>
      <c r="G47" s="55"/>
      <c r="H47" s="55"/>
      <c r="I47" s="2"/>
      <c r="J47" s="1068"/>
      <c r="K47" s="1068"/>
      <c r="L47" s="1068"/>
      <c r="M47" s="1068"/>
      <c r="N47" s="1068"/>
      <c r="O47" s="1068"/>
      <c r="P47" s="1068"/>
      <c r="Q47" s="53"/>
      <c r="R47" s="2"/>
      <c r="S47" s="2"/>
      <c r="T47" s="2"/>
    </row>
    <row r="48" spans="1:20" x14ac:dyDescent="0.25">
      <c r="A48" s="22">
        <v>41998</v>
      </c>
      <c r="B48" s="20" t="s">
        <v>4</v>
      </c>
      <c r="C48" s="30">
        <f t="shared" si="8"/>
        <v>41998</v>
      </c>
      <c r="D48" s="30"/>
      <c r="E48" s="55"/>
      <c r="F48" s="55"/>
      <c r="G48" s="55"/>
      <c r="H48" s="55"/>
      <c r="I48" s="2"/>
      <c r="J48" s="1068"/>
      <c r="K48" s="1068"/>
      <c r="L48" s="1068"/>
      <c r="M48" s="1068"/>
      <c r="N48" s="1068"/>
      <c r="O48" s="1068"/>
      <c r="P48" s="1068"/>
      <c r="Q48" s="53"/>
      <c r="R48" s="2"/>
      <c r="S48" s="2"/>
      <c r="T48" s="2"/>
    </row>
    <row r="49" spans="1:20" x14ac:dyDescent="0.25">
      <c r="A49" s="22">
        <v>42005</v>
      </c>
      <c r="B49" s="20" t="s">
        <v>5</v>
      </c>
      <c r="C49" s="30">
        <f t="shared" si="8"/>
        <v>42005</v>
      </c>
      <c r="D49" s="30"/>
      <c r="E49" s="55"/>
      <c r="F49" s="55"/>
      <c r="G49" s="55"/>
      <c r="H49" s="55"/>
      <c r="I49" s="2"/>
      <c r="J49" s="1068"/>
      <c r="K49" s="1068"/>
      <c r="L49" s="1068"/>
      <c r="M49" s="1068"/>
      <c r="N49" s="1068"/>
      <c r="O49" s="1068"/>
      <c r="P49" s="1068"/>
      <c r="Q49" s="53"/>
      <c r="R49" s="2"/>
      <c r="S49" s="2"/>
      <c r="T49" s="2"/>
    </row>
    <row r="50" spans="1:20" x14ac:dyDescent="0.25">
      <c r="A50" s="22">
        <v>42023</v>
      </c>
      <c r="B50" s="20" t="s">
        <v>6</v>
      </c>
      <c r="C50" s="30">
        <f t="shared" si="8"/>
        <v>42023</v>
      </c>
      <c r="D50" s="30"/>
      <c r="E50" s="55"/>
      <c r="F50" s="55"/>
      <c r="G50" s="55"/>
      <c r="H50" s="55"/>
      <c r="I50" s="2"/>
      <c r="J50" s="1068"/>
      <c r="K50" s="1068"/>
      <c r="L50" s="1068"/>
      <c r="M50" s="1068"/>
      <c r="N50" s="1068"/>
      <c r="O50" s="1068"/>
      <c r="P50" s="1068"/>
      <c r="Q50" s="53"/>
      <c r="R50" s="2"/>
      <c r="S50" s="2"/>
      <c r="T50" s="2"/>
    </row>
    <row r="51" spans="1:20" x14ac:dyDescent="0.25">
      <c r="A51" s="22">
        <v>42051</v>
      </c>
      <c r="B51" s="20" t="s">
        <v>7</v>
      </c>
      <c r="C51" s="30">
        <f t="shared" si="8"/>
        <v>42051</v>
      </c>
      <c r="D51" s="30"/>
      <c r="E51" s="55"/>
      <c r="F51" s="55"/>
      <c r="G51" s="55"/>
      <c r="H51" s="55"/>
      <c r="I51" s="2"/>
      <c r="J51" s="1068"/>
      <c r="K51" s="1068"/>
      <c r="L51" s="1068"/>
      <c r="M51" s="1068"/>
      <c r="N51" s="1068"/>
      <c r="O51" s="1068"/>
      <c r="P51" s="1068"/>
      <c r="Q51" s="53"/>
      <c r="R51" s="2"/>
      <c r="S51" s="2"/>
      <c r="T51" s="2"/>
    </row>
    <row r="52" spans="1:20" x14ac:dyDescent="0.25">
      <c r="A52" s="22">
        <v>42149</v>
      </c>
      <c r="B52" s="20" t="s">
        <v>8</v>
      </c>
      <c r="C52" s="30">
        <f t="shared" si="8"/>
        <v>42149</v>
      </c>
      <c r="D52" s="30"/>
      <c r="E52" s="55"/>
      <c r="F52" s="55"/>
      <c r="G52" s="55"/>
      <c r="H52" s="55"/>
      <c r="I52" s="2"/>
      <c r="J52" s="1068"/>
      <c r="K52" s="1068"/>
      <c r="L52" s="1068"/>
      <c r="M52" s="1068"/>
      <c r="N52" s="1068"/>
      <c r="O52" s="1068"/>
      <c r="P52" s="1068"/>
      <c r="Q52" s="53"/>
      <c r="R52" s="2"/>
      <c r="S52" s="2"/>
      <c r="T52" s="2"/>
    </row>
    <row r="53" spans="1:20" x14ac:dyDescent="0.25">
      <c r="A53" s="22">
        <v>42188</v>
      </c>
      <c r="B53" s="20" t="s">
        <v>9</v>
      </c>
      <c r="C53" s="30">
        <f t="shared" si="8"/>
        <v>42188</v>
      </c>
      <c r="D53" s="30"/>
      <c r="E53" s="55"/>
      <c r="F53" s="55"/>
      <c r="G53" s="55"/>
      <c r="H53" s="55"/>
      <c r="I53" s="2"/>
      <c r="J53" s="1068"/>
      <c r="K53" s="1068"/>
      <c r="L53" s="1068"/>
      <c r="M53" s="1068"/>
      <c r="N53" s="1068"/>
      <c r="O53" s="1068"/>
      <c r="P53" s="1068"/>
      <c r="Q53" s="53"/>
      <c r="R53" s="2"/>
      <c r="S53" s="2"/>
      <c r="T53" s="2"/>
    </row>
    <row r="54" spans="1:20" x14ac:dyDescent="0.25">
      <c r="A54" s="22">
        <v>42254</v>
      </c>
      <c r="B54" s="20" t="s">
        <v>10</v>
      </c>
      <c r="C54" s="30">
        <f t="shared" si="8"/>
        <v>42254</v>
      </c>
      <c r="D54" s="30"/>
      <c r="E54" s="55"/>
      <c r="F54" s="55"/>
      <c r="G54" s="55"/>
      <c r="H54" s="55"/>
      <c r="I54" s="2"/>
      <c r="J54" s="1068"/>
      <c r="K54" s="1068"/>
      <c r="L54" s="1068"/>
      <c r="M54" s="1068"/>
      <c r="N54" s="1068"/>
      <c r="O54" s="1068"/>
      <c r="P54" s="1068"/>
      <c r="Q54" s="53"/>
      <c r="R54" s="2"/>
      <c r="S54" s="2"/>
      <c r="T54" s="2"/>
    </row>
    <row r="55" spans="1:20" x14ac:dyDescent="0.25">
      <c r="A55" s="22">
        <v>42319</v>
      </c>
      <c r="B55" s="20" t="s">
        <v>1</v>
      </c>
      <c r="C55" s="30">
        <f t="shared" si="8"/>
        <v>42319</v>
      </c>
      <c r="D55" s="30"/>
      <c r="E55" s="55"/>
      <c r="F55" s="55"/>
      <c r="G55" s="55"/>
      <c r="H55" s="55"/>
      <c r="I55" s="2"/>
      <c r="J55" s="1068"/>
      <c r="K55" s="1068"/>
      <c r="L55" s="1068"/>
      <c r="M55" s="1068"/>
      <c r="N55" s="1068"/>
      <c r="O55" s="1068"/>
      <c r="P55" s="1068"/>
      <c r="Q55" s="53"/>
      <c r="R55" s="2"/>
      <c r="S55" s="2"/>
      <c r="T55" s="2"/>
    </row>
    <row r="56" spans="1:20" x14ac:dyDescent="0.25">
      <c r="A56" s="22">
        <v>42334</v>
      </c>
      <c r="B56" s="20" t="s">
        <v>2</v>
      </c>
      <c r="C56" s="30">
        <f t="shared" si="8"/>
        <v>42334</v>
      </c>
      <c r="D56" s="30"/>
      <c r="E56" s="55"/>
      <c r="F56" s="55"/>
      <c r="G56" s="55"/>
      <c r="H56" s="55"/>
      <c r="I56" s="2"/>
      <c r="J56" s="1068"/>
      <c r="K56" s="1068"/>
      <c r="L56" s="1068"/>
      <c r="M56" s="1068"/>
      <c r="N56" s="1068"/>
      <c r="O56" s="1068"/>
      <c r="P56" s="1068"/>
      <c r="Q56" s="53"/>
      <c r="R56" s="2"/>
      <c r="S56" s="2"/>
      <c r="T56" s="2"/>
    </row>
    <row r="57" spans="1:20" x14ac:dyDescent="0.25">
      <c r="A57" s="22">
        <v>42363</v>
      </c>
      <c r="B57" s="20" t="s">
        <v>4</v>
      </c>
      <c r="C57" s="30">
        <f t="shared" si="8"/>
        <v>42363</v>
      </c>
      <c r="D57" s="30"/>
      <c r="E57" s="55"/>
      <c r="F57" s="55"/>
      <c r="G57" s="55"/>
      <c r="H57" s="55"/>
      <c r="I57" s="2"/>
      <c r="J57" s="1068"/>
      <c r="K57" s="1068"/>
      <c r="L57" s="1068"/>
      <c r="M57" s="1068"/>
      <c r="N57" s="1068"/>
      <c r="O57" s="1068"/>
      <c r="P57" s="1068"/>
      <c r="Q57" s="53"/>
      <c r="R57" s="2"/>
      <c r="S57" s="2"/>
      <c r="T57" s="2"/>
    </row>
    <row r="58" spans="1:20" x14ac:dyDescent="0.25">
      <c r="A58" s="22">
        <v>42370</v>
      </c>
      <c r="B58" s="20" t="s">
        <v>5</v>
      </c>
      <c r="C58" s="30">
        <f t="shared" ref="C58:C66" si="9">A58</f>
        <v>42370</v>
      </c>
      <c r="D58" s="30"/>
      <c r="E58" s="55"/>
      <c r="F58" s="55"/>
      <c r="G58" s="55"/>
      <c r="H58" s="55"/>
      <c r="I58" s="2"/>
      <c r="J58" s="1068"/>
      <c r="K58" s="1068"/>
      <c r="L58" s="1068"/>
      <c r="M58" s="1068"/>
      <c r="N58" s="1068"/>
      <c r="O58" s="1068"/>
      <c r="P58" s="1068"/>
      <c r="Q58" s="53"/>
      <c r="R58" s="2"/>
      <c r="S58" s="2"/>
      <c r="T58" s="2"/>
    </row>
    <row r="59" spans="1:20" x14ac:dyDescent="0.25">
      <c r="A59" s="22">
        <v>42387</v>
      </c>
      <c r="B59" s="20" t="s">
        <v>6</v>
      </c>
      <c r="C59" s="30">
        <f t="shared" si="9"/>
        <v>42387</v>
      </c>
      <c r="D59" s="30"/>
      <c r="E59" s="55"/>
      <c r="F59" s="55"/>
      <c r="G59" s="55"/>
      <c r="H59" s="55"/>
      <c r="I59" s="2"/>
      <c r="J59" s="1068"/>
      <c r="K59" s="1068"/>
      <c r="L59" s="1068"/>
      <c r="M59" s="1068"/>
      <c r="N59" s="1068"/>
      <c r="O59" s="1068"/>
      <c r="P59" s="1068"/>
      <c r="Q59" s="53"/>
      <c r="R59" s="2"/>
      <c r="S59" s="2"/>
      <c r="T59" s="2"/>
    </row>
    <row r="60" spans="1:20" x14ac:dyDescent="0.25">
      <c r="A60" s="22">
        <v>42415</v>
      </c>
      <c r="B60" s="20" t="s">
        <v>7</v>
      </c>
      <c r="C60" s="30">
        <f t="shared" si="9"/>
        <v>42415</v>
      </c>
      <c r="D60" s="30"/>
      <c r="E60" s="55"/>
      <c r="F60" s="55"/>
      <c r="G60" s="55"/>
      <c r="H60" s="55"/>
      <c r="I60" s="2"/>
      <c r="J60" s="1068"/>
      <c r="K60" s="1068"/>
      <c r="L60" s="1068"/>
      <c r="M60" s="1068"/>
      <c r="N60" s="1068"/>
      <c r="O60" s="1068"/>
      <c r="P60" s="1068"/>
      <c r="Q60" s="53"/>
      <c r="R60" s="2"/>
      <c r="S60" s="2"/>
      <c r="T60" s="2"/>
    </row>
    <row r="61" spans="1:20" x14ac:dyDescent="0.25">
      <c r="A61" s="22">
        <v>42520</v>
      </c>
      <c r="B61" s="20" t="s">
        <v>8</v>
      </c>
      <c r="C61" s="30">
        <f t="shared" si="9"/>
        <v>42520</v>
      </c>
      <c r="D61" s="30"/>
      <c r="E61" s="55"/>
      <c r="F61" s="55"/>
      <c r="G61" s="55"/>
      <c r="H61" s="55"/>
      <c r="I61" s="2"/>
      <c r="J61" s="1068"/>
      <c r="K61" s="1068"/>
      <c r="L61" s="1068"/>
      <c r="M61" s="1068"/>
      <c r="N61" s="1068"/>
      <c r="O61" s="1068"/>
      <c r="P61" s="1068"/>
      <c r="Q61" s="53"/>
      <c r="R61" s="2"/>
      <c r="S61" s="2"/>
      <c r="T61" s="2"/>
    </row>
    <row r="62" spans="1:20" x14ac:dyDescent="0.25">
      <c r="A62" s="22">
        <v>42555</v>
      </c>
      <c r="B62" s="20" t="s">
        <v>9</v>
      </c>
      <c r="C62" s="30">
        <f t="shared" si="9"/>
        <v>42555</v>
      </c>
      <c r="D62" s="30"/>
      <c r="E62" s="55"/>
      <c r="F62" s="55"/>
      <c r="G62" s="55"/>
      <c r="H62" s="55"/>
      <c r="I62" s="2"/>
      <c r="J62" s="1068"/>
      <c r="K62" s="1068"/>
      <c r="L62" s="1068"/>
      <c r="M62" s="1068"/>
      <c r="N62" s="1068"/>
      <c r="O62" s="1068"/>
      <c r="P62" s="1068"/>
      <c r="Q62" s="53"/>
      <c r="R62" s="2"/>
      <c r="S62" s="2"/>
      <c r="T62" s="2"/>
    </row>
    <row r="63" spans="1:20" x14ac:dyDescent="0.25">
      <c r="A63" s="22">
        <v>42618</v>
      </c>
      <c r="B63" s="20" t="s">
        <v>10</v>
      </c>
      <c r="C63" s="30">
        <f t="shared" si="9"/>
        <v>42618</v>
      </c>
      <c r="D63" s="30"/>
      <c r="E63" s="55"/>
      <c r="F63" s="55"/>
      <c r="G63" s="55"/>
      <c r="H63" s="55"/>
      <c r="I63" s="2"/>
      <c r="J63" s="1068"/>
      <c r="K63" s="1068"/>
      <c r="L63" s="1068"/>
      <c r="M63" s="1068"/>
      <c r="N63" s="1068"/>
      <c r="O63" s="1068"/>
      <c r="P63" s="1068"/>
      <c r="Q63" s="53"/>
      <c r="R63" s="2"/>
      <c r="S63" s="2"/>
      <c r="T63" s="2"/>
    </row>
    <row r="64" spans="1:20" x14ac:dyDescent="0.25">
      <c r="A64" s="22">
        <v>42685</v>
      </c>
      <c r="B64" s="20" t="s">
        <v>1</v>
      </c>
      <c r="C64" s="30">
        <f t="shared" si="9"/>
        <v>42685</v>
      </c>
      <c r="D64" s="30"/>
      <c r="E64" s="55"/>
      <c r="F64" s="55"/>
      <c r="G64" s="55"/>
      <c r="H64" s="55"/>
      <c r="I64" s="2"/>
      <c r="J64" s="1068"/>
      <c r="K64" s="1068"/>
      <c r="L64" s="1068"/>
      <c r="M64" s="1068"/>
      <c r="N64" s="1068"/>
      <c r="O64" s="1068"/>
      <c r="P64" s="1068"/>
      <c r="Q64" s="53"/>
      <c r="R64" s="2"/>
      <c r="S64" s="2"/>
      <c r="T64" s="2"/>
    </row>
    <row r="65" spans="1:20" x14ac:dyDescent="0.25">
      <c r="A65" s="22">
        <v>42698</v>
      </c>
      <c r="B65" s="20" t="s">
        <v>2</v>
      </c>
      <c r="C65" s="30">
        <f t="shared" si="9"/>
        <v>42698</v>
      </c>
      <c r="D65" s="30"/>
      <c r="E65" s="55"/>
      <c r="F65" s="55"/>
      <c r="G65" s="55"/>
      <c r="H65" s="55"/>
      <c r="I65" s="2"/>
      <c r="J65" s="1068"/>
      <c r="K65" s="1068"/>
      <c r="L65" s="1068"/>
      <c r="M65" s="1068"/>
      <c r="N65" s="1068"/>
      <c r="O65" s="1068"/>
      <c r="P65" s="1068"/>
      <c r="Q65" s="53"/>
      <c r="R65" s="2"/>
      <c r="S65" s="2"/>
      <c r="T65" s="2"/>
    </row>
    <row r="66" spans="1:20" x14ac:dyDescent="0.25">
      <c r="A66" s="22">
        <v>42730</v>
      </c>
      <c r="B66" s="20" t="s">
        <v>4</v>
      </c>
      <c r="C66" s="30">
        <f t="shared" si="9"/>
        <v>42730</v>
      </c>
      <c r="D66" s="30"/>
      <c r="E66" s="55"/>
      <c r="F66" s="55"/>
      <c r="G66" s="55"/>
      <c r="H66" s="55"/>
      <c r="I66" s="2"/>
      <c r="J66" s="1068"/>
      <c r="K66" s="1068"/>
      <c r="L66" s="1068"/>
      <c r="M66" s="1068"/>
      <c r="N66" s="1068"/>
      <c r="O66" s="1068"/>
      <c r="P66" s="1068"/>
      <c r="Q66" s="53"/>
      <c r="R66" s="2"/>
      <c r="S66" s="2"/>
      <c r="T66" s="2"/>
    </row>
    <row r="67" spans="1:20" x14ac:dyDescent="0.25">
      <c r="A67" s="22">
        <v>42737</v>
      </c>
      <c r="B67" s="20" t="s">
        <v>5</v>
      </c>
      <c r="C67" s="30">
        <f t="shared" ref="C67:C75" si="10">A67</f>
        <v>42737</v>
      </c>
      <c r="D67" s="30"/>
      <c r="E67" s="55"/>
      <c r="F67" s="55"/>
      <c r="G67" s="55"/>
      <c r="H67" s="55"/>
      <c r="I67" s="2"/>
      <c r="J67" s="1068"/>
      <c r="K67" s="1068"/>
      <c r="L67" s="1068"/>
      <c r="M67" s="1068"/>
      <c r="N67" s="1068"/>
      <c r="O67" s="1068"/>
      <c r="P67" s="1068"/>
      <c r="Q67" s="53"/>
      <c r="R67" s="2"/>
      <c r="S67" s="2"/>
      <c r="T67" s="2"/>
    </row>
    <row r="68" spans="1:20" x14ac:dyDescent="0.25">
      <c r="A68" s="22">
        <v>42751</v>
      </c>
      <c r="B68" s="20" t="s">
        <v>6</v>
      </c>
      <c r="C68" s="30">
        <f t="shared" si="10"/>
        <v>42751</v>
      </c>
      <c r="D68" s="30"/>
      <c r="E68" s="55"/>
      <c r="F68" s="55"/>
      <c r="G68" s="55"/>
      <c r="H68" s="55"/>
      <c r="I68" s="2"/>
      <c r="J68" s="1068"/>
      <c r="K68" s="1068"/>
      <c r="L68" s="1068"/>
      <c r="M68" s="1068"/>
      <c r="N68" s="1068"/>
      <c r="O68" s="1068"/>
      <c r="P68" s="1068"/>
      <c r="Q68" s="53"/>
      <c r="R68" s="2"/>
      <c r="S68" s="2"/>
      <c r="T68" s="2"/>
    </row>
    <row r="69" spans="1:20" x14ac:dyDescent="0.25">
      <c r="A69" s="22">
        <v>42786</v>
      </c>
      <c r="B69" s="20" t="s">
        <v>7</v>
      </c>
      <c r="C69" s="30">
        <f t="shared" si="10"/>
        <v>42786</v>
      </c>
      <c r="D69" s="30"/>
      <c r="E69" s="55"/>
      <c r="F69" s="55"/>
      <c r="G69" s="55"/>
      <c r="H69" s="55"/>
      <c r="I69" s="2"/>
      <c r="J69" s="1068"/>
      <c r="K69" s="1068"/>
      <c r="L69" s="1068"/>
      <c r="M69" s="1068"/>
      <c r="N69" s="1068"/>
      <c r="O69" s="1068"/>
      <c r="P69" s="1068"/>
      <c r="Q69" s="53"/>
      <c r="R69" s="2"/>
      <c r="S69" s="2"/>
      <c r="T69" s="2"/>
    </row>
    <row r="70" spans="1:20" x14ac:dyDescent="0.25">
      <c r="A70" s="22">
        <v>42884</v>
      </c>
      <c r="B70" s="20" t="s">
        <v>8</v>
      </c>
      <c r="C70" s="30">
        <f t="shared" si="10"/>
        <v>42884</v>
      </c>
      <c r="D70" s="30"/>
      <c r="E70" s="55"/>
      <c r="F70" s="55"/>
      <c r="G70" s="55"/>
      <c r="H70" s="55"/>
      <c r="I70" s="2"/>
      <c r="J70" s="1068"/>
      <c r="K70" s="1068"/>
      <c r="L70" s="1068"/>
      <c r="M70" s="1068"/>
      <c r="N70" s="1068"/>
      <c r="O70" s="1068"/>
      <c r="P70" s="1068"/>
      <c r="Q70" s="53"/>
      <c r="R70" s="2"/>
      <c r="S70" s="2"/>
      <c r="T70" s="2"/>
    </row>
    <row r="71" spans="1:20" x14ac:dyDescent="0.25">
      <c r="A71" s="22">
        <v>42920</v>
      </c>
      <c r="B71" s="20" t="s">
        <v>9</v>
      </c>
      <c r="C71" s="30">
        <f t="shared" si="10"/>
        <v>42920</v>
      </c>
      <c r="D71" s="30"/>
      <c r="E71" s="55"/>
      <c r="F71" s="55"/>
      <c r="G71" s="55"/>
      <c r="H71" s="55"/>
      <c r="I71" s="2"/>
      <c r="J71" s="1068"/>
      <c r="K71" s="1068"/>
      <c r="L71" s="1068"/>
      <c r="M71" s="1068"/>
      <c r="N71" s="1068"/>
      <c r="O71" s="1068"/>
      <c r="P71" s="1068"/>
      <c r="Q71" s="53"/>
      <c r="R71" s="2"/>
      <c r="S71" s="2"/>
      <c r="T71" s="2"/>
    </row>
    <row r="72" spans="1:20" x14ac:dyDescent="0.25">
      <c r="A72" s="22">
        <v>42982</v>
      </c>
      <c r="B72" s="20" t="s">
        <v>10</v>
      </c>
      <c r="C72" s="30">
        <f t="shared" si="10"/>
        <v>42982</v>
      </c>
      <c r="D72" s="30"/>
      <c r="E72" s="55"/>
      <c r="F72" s="55"/>
      <c r="G72" s="55"/>
      <c r="H72" s="55"/>
      <c r="I72" s="2"/>
      <c r="J72" s="1068"/>
      <c r="K72" s="1068"/>
      <c r="L72" s="1068"/>
      <c r="M72" s="1068"/>
      <c r="N72" s="1068"/>
      <c r="O72" s="1068"/>
      <c r="P72" s="1068"/>
      <c r="Q72" s="53"/>
      <c r="R72" s="2"/>
      <c r="S72" s="2"/>
      <c r="T72" s="2"/>
    </row>
    <row r="73" spans="1:20" x14ac:dyDescent="0.25">
      <c r="A73" s="22">
        <v>43049</v>
      </c>
      <c r="B73" s="20" t="s">
        <v>1</v>
      </c>
      <c r="C73" s="30">
        <f t="shared" si="10"/>
        <v>43049</v>
      </c>
      <c r="D73" s="30"/>
      <c r="E73" s="55"/>
      <c r="F73" s="55"/>
      <c r="G73" s="55"/>
      <c r="H73" s="55"/>
      <c r="I73" s="2"/>
      <c r="J73" s="1068"/>
      <c r="K73" s="1068"/>
      <c r="L73" s="1068"/>
      <c r="M73" s="1068"/>
      <c r="N73" s="1068"/>
      <c r="O73" s="1068"/>
      <c r="P73" s="1068"/>
      <c r="Q73" s="53"/>
      <c r="R73" s="2"/>
      <c r="S73" s="2"/>
      <c r="T73" s="2"/>
    </row>
    <row r="74" spans="1:20" x14ac:dyDescent="0.25">
      <c r="A74" s="22">
        <v>43062</v>
      </c>
      <c r="B74" s="20" t="s">
        <v>2</v>
      </c>
      <c r="C74" s="30">
        <f t="shared" si="10"/>
        <v>43062</v>
      </c>
      <c r="D74" s="30"/>
      <c r="E74" s="55"/>
      <c r="F74" s="55"/>
      <c r="G74" s="55"/>
      <c r="H74" s="55"/>
      <c r="I74" s="2"/>
      <c r="J74" s="1068"/>
      <c r="K74" s="1068"/>
      <c r="L74" s="1068"/>
      <c r="M74" s="1068"/>
      <c r="N74" s="1068"/>
      <c r="O74" s="1068"/>
      <c r="P74" s="1068"/>
      <c r="Q74" s="53"/>
      <c r="R74" s="2"/>
      <c r="S74" s="2"/>
      <c r="T74" s="2"/>
    </row>
    <row r="75" spans="1:20" x14ac:dyDescent="0.25">
      <c r="A75" s="22">
        <v>43094</v>
      </c>
      <c r="B75" s="20" t="s">
        <v>4</v>
      </c>
      <c r="C75" s="30">
        <f t="shared" si="10"/>
        <v>43094</v>
      </c>
      <c r="D75" s="30"/>
      <c r="E75" s="55"/>
      <c r="F75" s="55"/>
      <c r="G75" s="55"/>
      <c r="H75" s="55"/>
      <c r="I75" s="2"/>
      <c r="J75" s="1068"/>
      <c r="K75" s="1068"/>
      <c r="L75" s="1068"/>
      <c r="M75" s="1068"/>
      <c r="N75" s="1068"/>
      <c r="O75" s="1068"/>
      <c r="P75" s="1068"/>
      <c r="Q75" s="53"/>
      <c r="R75" s="2"/>
      <c r="S75" s="2"/>
      <c r="T75" s="2"/>
    </row>
    <row r="76" spans="1:20" x14ac:dyDescent="0.25">
      <c r="A76" s="22">
        <v>43101</v>
      </c>
      <c r="B76" s="20" t="s">
        <v>5</v>
      </c>
      <c r="C76" s="30">
        <f t="shared" si="8"/>
        <v>43101</v>
      </c>
      <c r="D76" s="30"/>
      <c r="E76" s="55"/>
      <c r="F76" s="55"/>
      <c r="G76" s="55"/>
      <c r="H76" s="55"/>
      <c r="I76" s="2"/>
      <c r="J76" s="1068"/>
      <c r="K76" s="1068"/>
      <c r="L76" s="1068"/>
      <c r="M76" s="1068"/>
      <c r="N76" s="1068"/>
      <c r="O76" s="1068"/>
      <c r="P76" s="1068"/>
      <c r="Q76" s="53"/>
      <c r="R76" s="2"/>
      <c r="S76" s="2"/>
      <c r="T76" s="2"/>
    </row>
    <row r="77" spans="1:20" x14ac:dyDescent="0.25">
      <c r="A77" s="18" t="s">
        <v>17</v>
      </c>
      <c r="B77" s="19"/>
      <c r="C77" s="7"/>
      <c r="D77" s="7"/>
      <c r="E77" s="56"/>
      <c r="F77" s="56"/>
      <c r="G77" s="56"/>
      <c r="H77" s="56"/>
      <c r="I77" s="2"/>
      <c r="J77" s="1068"/>
      <c r="K77" s="1068"/>
      <c r="L77" s="1068"/>
      <c r="M77" s="1068"/>
      <c r="N77" s="1068"/>
      <c r="O77" s="1068"/>
      <c r="P77" s="1068"/>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592</v>
      </c>
      <c r="C193" s="21" t="s">
        <v>764</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594</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595</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596</v>
      </c>
      <c r="C196" s="2"/>
      <c r="D196" s="2"/>
      <c r="E196" s="56"/>
      <c r="F196" s="56"/>
      <c r="G196" s="56"/>
      <c r="H196" s="56"/>
      <c r="I196" s="56"/>
      <c r="J196" s="2"/>
      <c r="K196" s="2"/>
      <c r="L196" s="2"/>
      <c r="M196" s="2"/>
      <c r="N196" s="2"/>
      <c r="O196" s="2"/>
      <c r="P196" s="53"/>
      <c r="Q196" s="53"/>
      <c r="R196" s="2"/>
      <c r="S196" s="2"/>
      <c r="T196" s="2"/>
    </row>
    <row r="197" spans="1:20" x14ac:dyDescent="0.25">
      <c r="A197" s="3"/>
      <c r="B197" s="757" t="s">
        <v>597</v>
      </c>
      <c r="C197" s="2"/>
      <c r="D197" s="2"/>
      <c r="E197" s="56"/>
      <c r="F197" s="56"/>
      <c r="G197" s="56"/>
      <c r="H197" s="56"/>
      <c r="I197" s="56"/>
      <c r="J197" s="2"/>
      <c r="K197" s="2"/>
      <c r="L197" s="2"/>
      <c r="M197" s="2"/>
      <c r="N197" s="2"/>
      <c r="O197" s="2"/>
      <c r="P197" s="53"/>
      <c r="Q197" s="53"/>
      <c r="R197" s="2"/>
      <c r="S197" s="2"/>
      <c r="T197" s="2"/>
    </row>
    <row r="198" spans="1:20" x14ac:dyDescent="0.25">
      <c r="A198" s="3"/>
      <c r="B198" s="757" t="s">
        <v>593</v>
      </c>
      <c r="C198" s="2"/>
      <c r="D198" s="2"/>
      <c r="E198" s="56"/>
      <c r="F198" s="56"/>
      <c r="G198" s="56"/>
      <c r="H198" s="56"/>
      <c r="I198" s="56"/>
      <c r="J198" s="2"/>
      <c r="K198" s="2"/>
      <c r="L198" s="2"/>
      <c r="M198" s="2"/>
      <c r="N198" s="2"/>
      <c r="O198" s="2"/>
      <c r="P198" s="53"/>
      <c r="Q198" s="53"/>
      <c r="R198" s="2"/>
      <c r="S198" s="2"/>
      <c r="T198" s="2"/>
    </row>
    <row r="199" spans="1:20" x14ac:dyDescent="0.25">
      <c r="A199" s="3"/>
      <c r="B199" s="757" t="s">
        <v>598</v>
      </c>
      <c r="C199" s="2"/>
      <c r="D199" s="2"/>
      <c r="E199" s="56"/>
      <c r="F199" s="56"/>
      <c r="G199" s="56"/>
      <c r="H199" s="56"/>
      <c r="I199" s="56"/>
      <c r="J199" s="2"/>
      <c r="K199" s="2"/>
      <c r="L199" s="2"/>
      <c r="M199" s="2"/>
      <c r="N199" s="2"/>
      <c r="O199" s="2"/>
      <c r="P199" s="53"/>
      <c r="Q199" s="53"/>
      <c r="R199" s="2"/>
      <c r="S199" s="2"/>
      <c r="T199" s="2"/>
    </row>
    <row r="200" spans="1:20" x14ac:dyDescent="0.25">
      <c r="A200" s="3"/>
      <c r="B200" s="756" t="s">
        <v>599</v>
      </c>
      <c r="C200" s="2"/>
      <c r="D200" s="2"/>
      <c r="E200" s="56"/>
      <c r="F200" s="56"/>
      <c r="G200" s="56"/>
      <c r="H200" s="56"/>
      <c r="I200" s="56"/>
      <c r="J200" s="2"/>
      <c r="K200" s="2"/>
      <c r="L200" s="2"/>
      <c r="M200" s="2"/>
      <c r="N200" s="2"/>
      <c r="O200" s="2"/>
      <c r="P200" s="53"/>
      <c r="Q200" s="53"/>
      <c r="R200" s="2"/>
      <c r="S200" s="2"/>
      <c r="T200" s="2"/>
    </row>
    <row r="201" spans="1:20" x14ac:dyDescent="0.25">
      <c r="A201" s="3"/>
      <c r="B201" s="756" t="s">
        <v>601</v>
      </c>
      <c r="C201" s="2"/>
      <c r="D201" s="2"/>
      <c r="E201" s="56"/>
      <c r="F201" s="56"/>
      <c r="G201" s="56"/>
      <c r="H201" s="56"/>
      <c r="I201" s="56"/>
      <c r="J201" s="2"/>
      <c r="K201" s="2"/>
      <c r="L201" s="2"/>
      <c r="M201" s="2"/>
      <c r="N201" s="2"/>
      <c r="O201" s="2"/>
      <c r="P201" s="53"/>
      <c r="Q201" s="53"/>
      <c r="R201" s="2"/>
      <c r="S201" s="2"/>
      <c r="T201" s="2"/>
    </row>
    <row r="202" spans="1:20" x14ac:dyDescent="0.25">
      <c r="A202" s="3"/>
      <c r="B202" s="756" t="s">
        <v>600</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4" t="s">
        <v>362</v>
      </c>
      <c r="C2" s="1074"/>
      <c r="D2" s="1074"/>
      <c r="E2" s="1074"/>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6" t="s">
        <v>411</v>
      </c>
      <c r="C15" s="1076"/>
      <c r="D15" s="1076"/>
      <c r="E15" s="1076"/>
      <c r="F15" s="1076"/>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5" t="str">
        <f>S.Staff.Program.Mgr.FullName&amp;", "&amp;S.Staff.Program.Mgr.Div&amp;": "&amp;S.Staff.Program.Mgr.SectionName&amp;""</f>
        <v xml:space="preserve">, : </v>
      </c>
      <c r="D17" s="1075"/>
      <c r="E17" s="1075"/>
      <c r="F17" s="75"/>
      <c r="G17" s="75"/>
      <c r="H17" s="75"/>
      <c r="I17" s="75"/>
      <c r="J17" s="75"/>
      <c r="K17" s="75"/>
      <c r="L17" s="75"/>
      <c r="M17" s="75"/>
      <c r="N17" s="75"/>
    </row>
    <row r="18" spans="1:14" ht="25.5" customHeight="1" x14ac:dyDescent="0.25">
      <c r="B18" s="613" t="s">
        <v>475</v>
      </c>
      <c r="C18" s="1075" t="str">
        <f>S.Staff.Subject.Expert.FullName&amp;", "&amp;S.Staff.Program.Mgr.Div&amp;": "&amp;S.Staff.Program.Mgr.SectionName&amp;""</f>
        <v xml:space="preserve">, : </v>
      </c>
      <c r="D18" s="1075"/>
      <c r="E18" s="1075"/>
      <c r="F18" s="75"/>
      <c r="G18" s="75"/>
      <c r="H18" s="75"/>
      <c r="I18" s="75"/>
      <c r="J18" s="75"/>
      <c r="K18" s="75"/>
      <c r="L18" s="75"/>
      <c r="M18" s="75"/>
      <c r="N18" s="75"/>
    </row>
    <row r="19" spans="1:14" ht="25.5" customHeight="1" x14ac:dyDescent="0.25">
      <c r="B19" s="613" t="s">
        <v>476</v>
      </c>
      <c r="C19" s="1075" t="str">
        <f>S.Staff.RG.Lead.Full.Name&amp;", "&amp;S.Staff.RG.Lead.Div&amp;": "&amp;S.Staff.RG.Lead.SectionName&amp;""</f>
        <v xml:space="preserve">, : </v>
      </c>
      <c r="D19" s="1075"/>
      <c r="E19" s="1075"/>
      <c r="F19" s="75"/>
      <c r="G19" s="75"/>
      <c r="H19" s="75"/>
      <c r="I19" s="75"/>
      <c r="J19" s="75"/>
      <c r="K19" s="75"/>
      <c r="L19" s="75"/>
      <c r="M19" s="75"/>
      <c r="N19" s="75"/>
    </row>
    <row r="20" spans="1:14" ht="12" customHeight="1" x14ac:dyDescent="0.2">
      <c r="B20" s="1070" t="s">
        <v>514</v>
      </c>
      <c r="C20" s="1070"/>
      <c r="D20" s="1070"/>
      <c r="E20" s="1070"/>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41967</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71" t="s">
        <v>359</v>
      </c>
      <c r="B103" s="1071"/>
      <c r="C103" s="616"/>
      <c r="D103" s="616"/>
      <c r="E103" s="616"/>
      <c r="F103" s="75"/>
      <c r="G103" s="75"/>
      <c r="H103" s="75"/>
      <c r="I103" s="75"/>
      <c r="J103" s="75"/>
      <c r="K103" s="75"/>
      <c r="L103" s="75"/>
      <c r="M103" s="75"/>
      <c r="N103" s="75"/>
    </row>
    <row r="104" spans="1:14" s="23" customFormat="1" ht="20.25" x14ac:dyDescent="0.25">
      <c r="A104" s="617"/>
      <c r="B104" s="75"/>
      <c r="C104" s="1072" t="str">
        <f>S.Staff.Program.Mgr.FullName&amp;", "&amp;S.Staff.Program.Mgr.Div&amp;": "&amp;S.Staff.Program.Mgr.SectionName&amp;"     DATE"</f>
        <v>, :      DATE</v>
      </c>
      <c r="D104" s="1072"/>
      <c r="E104" s="1072"/>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71" t="s">
        <v>476</v>
      </c>
      <c r="B106" s="1071"/>
      <c r="C106" s="616"/>
      <c r="D106" s="616"/>
      <c r="E106" s="616"/>
      <c r="F106" s="75"/>
      <c r="G106" s="75"/>
      <c r="H106" s="75"/>
      <c r="I106" s="75"/>
      <c r="J106" s="75"/>
      <c r="K106" s="75"/>
      <c r="L106" s="75"/>
      <c r="M106" s="75"/>
      <c r="N106" s="75"/>
    </row>
    <row r="107" spans="1:14" s="23" customFormat="1" ht="30.75" customHeight="1" x14ac:dyDescent="0.2">
      <c r="A107" s="75"/>
      <c r="B107" s="75"/>
      <c r="C107" s="1073" t="str">
        <f>S.Staff.RG.Lead.Full.Name&amp;", "&amp;S.Staff.RG.Lead.Div&amp;": "&amp;S.Staff.RG.Lead.SectionName&amp;"     DATE"</f>
        <v>, :      DATE</v>
      </c>
      <c r="D107" s="1073"/>
      <c r="E107" s="1073"/>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purl.org/dc/elements/1.1/"/>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ListId:doc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2014-11-13T16:28:38Z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