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H593" i="94" l="1"/>
  <c r="AG593" i="94"/>
  <c r="AH31"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AG755" i="94"/>
  <c r="G755" i="94" s="1"/>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<sst xmlns="http://schemas.openxmlformats.org/spreadsheetml/2006/main" count="1967" uniqueCount="782">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</sst>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11" zoomScale="120" zoomScaleNormal="120" workbookViewId="0">
      <selection activeCell="B34" sqref="B34"/>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10" t="s">
        <v>0</v>
      </c>
      <c r="H1" s="1010"/>
      <c r="I1" s="746"/>
      <c r="AF1" s="361" t="s">
        <v>21</v>
      </c>
      <c r="AG1" s="59"/>
      <c r="AH1" s="76"/>
      <c r="AI1" s="817"/>
      <c r="AJ1" s="1008"/>
      <c r="AK1" s="1008"/>
      <c r="AL1" s="1008"/>
      <c r="AM1" s="1008"/>
      <c r="AN1" s="1008"/>
      <c r="AO1" s="1008"/>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03" t="s">
        <v>0</v>
      </c>
      <c r="D3" s="1003"/>
      <c r="E3" s="1003"/>
      <c r="F3" s="1003"/>
      <c r="G3" s="800">
        <f ca="1">AG3</f>
        <v>41950</v>
      </c>
      <c r="H3" s="801">
        <f>AH3</f>
        <v>42170</v>
      </c>
      <c r="I3" s="746"/>
      <c r="J3"/>
      <c r="K3"/>
      <c r="L3"/>
      <c r="M3"/>
      <c r="N3"/>
      <c r="O3"/>
      <c r="P3"/>
      <c r="Q3"/>
      <c r="R3"/>
      <c r="S3"/>
      <c r="T3"/>
      <c r="U3"/>
      <c r="X3"/>
      <c r="AB3"/>
      <c r="AC3"/>
      <c r="AF3" s="361" t="s">
        <v>58</v>
      </c>
      <c r="AG3" s="60">
        <f ca="1">TODAY()</f>
        <v>41950</v>
      </c>
      <c r="AH3" s="60">
        <f>S.EndOfRulemaking</f>
        <v>42170</v>
      </c>
      <c r="AI3" s="479" t="s">
        <v>0</v>
      </c>
      <c r="AJ3" s="380"/>
      <c r="AK3" s="348" t="str">
        <f>"Last row = "&amp;ROW(S.General.LastCellSchedule)</f>
        <v>Last row = 866</v>
      </c>
      <c r="AL3" s="76"/>
      <c r="AS3" s="995"/>
      <c r="AT3" s="995"/>
      <c r="AU3" s="995"/>
      <c r="AV3" s="995"/>
      <c r="AW3" s="995"/>
      <c r="AX3" s="995"/>
      <c r="AY3" s="995"/>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00" t="s">
        <v>639</v>
      </c>
      <c r="C5" s="1000"/>
      <c r="D5" s="1000"/>
      <c r="E5" s="1000"/>
      <c r="F5" s="1000"/>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01"/>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0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42027</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42027</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1075">
        <v>41948</v>
      </c>
      <c r="H23" s="1075">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1075">
        <v>41949</v>
      </c>
      <c r="H24" s="1076">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1075">
        <v>41968</v>
      </c>
      <c r="H25" s="1076">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04" t="s">
        <v>679</v>
      </c>
      <c r="D27" s="1004"/>
      <c r="E27" s="1004"/>
      <c r="F27" s="1004"/>
      <c r="G27" s="1005"/>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42037</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1074">
        <v>42024</v>
      </c>
      <c r="I31" s="930"/>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42027</v>
      </c>
      <c r="I32" s="930"/>
      <c r="AF32" s="361">
        <f>IF(S.Hearing.1stInvolve="N",0,1)</f>
        <v>1</v>
      </c>
      <c r="AG32" s="48"/>
      <c r="AH32" s="60">
        <f>IF(AF32=0,,IF(S.Notice.Involved="N",S.DIRECTOR.Approves.ForDEQRulemakingPlan,WORKDAY(S.Notice.LastHearingDate+2,1,S.DDL_DEQClosed)))</f>
        <v>42027</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42037</v>
      </c>
      <c r="I34" s="930"/>
      <c r="J34"/>
      <c r="K34"/>
      <c r="L34"/>
      <c r="M34"/>
      <c r="N34"/>
      <c r="O34"/>
      <c r="P34"/>
      <c r="Q34"/>
      <c r="R34"/>
      <c r="S34"/>
      <c r="T34"/>
      <c r="U34"/>
      <c r="X34"/>
      <c r="AB34"/>
      <c r="AC34"/>
      <c r="AF34" s="361">
        <v>1</v>
      </c>
      <c r="AG34" s="60">
        <f>S.Notice.SubmitToSOS</f>
        <v>41988</v>
      </c>
      <c r="AH34" s="60">
        <f>S.EQC.SubmitStaffRpt</f>
        <v>42037</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29">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04" t="s">
        <v>679</v>
      </c>
      <c r="D42" s="1004"/>
      <c r="E42" s="1004"/>
      <c r="F42" s="1004"/>
      <c r="G42" s="1005"/>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988" t="s">
        <v>0</v>
      </c>
      <c r="H43" s="988"/>
      <c r="I43" s="933">
        <v>-55</v>
      </c>
      <c r="J43"/>
      <c r="K43"/>
      <c r="L43"/>
      <c r="M43"/>
      <c r="N43"/>
      <c r="O43"/>
      <c r="P43"/>
      <c r="Q43"/>
      <c r="R43"/>
      <c r="S43"/>
      <c r="T43"/>
      <c r="U43"/>
      <c r="X43"/>
      <c r="AB43"/>
      <c r="AC43"/>
      <c r="AF43" s="361">
        <v>1</v>
      </c>
      <c r="AG43" s="1002" t="s">
        <v>745</v>
      </c>
      <c r="AH43" s="1002"/>
      <c r="AI43" s="1002"/>
      <c r="AJ43" s="1002"/>
      <c r="AK43" s="1002"/>
      <c r="AL43" s="76"/>
    </row>
    <row r="44" spans="1:39" s="23" customFormat="1" ht="14.1" hidden="1" customHeight="1" thickTop="1" x14ac:dyDescent="0.2">
      <c r="A44" s="145"/>
      <c r="C44" s="335"/>
      <c r="D44"/>
      <c r="G44" s="988"/>
      <c r="H44" s="988"/>
      <c r="I44" s="929">
        <f>SUM(I8:I42)</f>
        <v>326</v>
      </c>
      <c r="J44"/>
      <c r="K44"/>
      <c r="L44"/>
      <c r="M44"/>
      <c r="N44"/>
      <c r="O44"/>
      <c r="P44"/>
      <c r="Q44"/>
      <c r="R44"/>
      <c r="S44"/>
      <c r="T44"/>
      <c r="U44"/>
      <c r="X44"/>
      <c r="AB44"/>
      <c r="AC44"/>
      <c r="AF44" s="361">
        <v>1</v>
      </c>
      <c r="AG44" s="1002" t="s">
        <v>746</v>
      </c>
      <c r="AH44" s="1002"/>
      <c r="AI44" s="1002"/>
      <c r="AJ44" s="1002"/>
      <c r="AK44" s="1002"/>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42078</v>
      </c>
      <c r="H46" s="918">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740</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customHeight="1" outlineLevel="2" x14ac:dyDescent="0.2">
      <c r="A90" s="145"/>
      <c r="B90" s="1006" t="s">
        <v>741</v>
      </c>
      <c r="C90" s="1007"/>
      <c r="D90" s="183"/>
      <c r="E90" s="183"/>
      <c r="G90" s="350"/>
      <c r="H90" s="350"/>
      <c r="I90" s="746"/>
      <c r="AF90" s="361">
        <v>1</v>
      </c>
      <c r="AG90" s="47"/>
      <c r="AH90" s="47"/>
      <c r="AI90" s="59"/>
      <c r="AJ90" s="43"/>
      <c r="AK90" s="63"/>
      <c r="AL90" s="76"/>
    </row>
    <row r="91" spans="1:38" s="980" customFormat="1" ht="14.1" customHeight="1" outlineLevel="2" x14ac:dyDescent="0.2">
      <c r="A91" s="145"/>
      <c r="B91" s="1006" t="s">
        <v>774</v>
      </c>
      <c r="C91" s="1007"/>
      <c r="D91" s="183"/>
      <c r="E91" s="183"/>
      <c r="G91" s="350"/>
      <c r="H91" s="350"/>
      <c r="I91" s="746"/>
      <c r="AF91" s="361">
        <v>1</v>
      </c>
      <c r="AG91" s="47"/>
      <c r="AH91" s="47"/>
      <c r="AI91" s="59"/>
      <c r="AJ91" s="43"/>
      <c r="AK91" s="63"/>
      <c r="AL91" s="76"/>
    </row>
    <row r="92" spans="1:38" s="23" customFormat="1" ht="14.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x14ac:dyDescent="0.2">
      <c r="A117" s="145"/>
      <c r="B117" s="267" t="str">
        <f t="shared" ref="B117:B122" si="4">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4"/>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4"/>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4"/>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718</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529</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530</v>
      </c>
      <c r="C127" s="914" t="s">
        <v>725</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539</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16</v>
      </c>
      <c r="D192" s="706"/>
      <c r="E192" s="706"/>
      <c r="F192"/>
      <c r="G192"/>
      <c r="H192"/>
      <c r="I192" s="746"/>
      <c r="J192"/>
      <c r="K192"/>
      <c r="L192"/>
      <c r="M192"/>
      <c r="N192"/>
      <c r="O192"/>
      <c r="P192"/>
      <c r="Q192"/>
      <c r="R192"/>
      <c r="S192"/>
      <c r="T192"/>
      <c r="U192"/>
      <c r="X192"/>
      <c r="AB192"/>
      <c r="AC192"/>
      <c r="AF192" s="361">
        <f>IF(S.Planning.CommunicationsPlan="Y",1,0)</f>
        <v>1</v>
      </c>
      <c r="AG192" s="59"/>
      <c r="AH192" s="59"/>
      <c r="AI192" s="912" t="str">
        <f>IF(AND(S.Planning.CommunicationsPlan="Y",S.Planning.MessageMap="Y",S.Notice.NewsRelease="Y"),"Y","N")</f>
        <v>Y</v>
      </c>
      <c r="AJ192" s="62"/>
      <c r="AK192" s="44"/>
      <c r="AL192" s="76"/>
    </row>
    <row r="193" spans="1:39" s="23" customFormat="1" ht="15.75" customHeight="1" outlineLevel="2" thickBot="1" x14ac:dyDescent="0.25">
      <c r="A193" s="145"/>
      <c r="B193" s="730" t="s">
        <v>332</v>
      </c>
      <c r="C193" s="540" t="s">
        <v>16</v>
      </c>
      <c r="D193" s="706"/>
      <c r="E193" s="706"/>
      <c r="F193"/>
      <c r="G193"/>
      <c r="H193"/>
      <c r="I193" s="746"/>
      <c r="J193"/>
      <c r="K193"/>
      <c r="L193"/>
      <c r="M193"/>
      <c r="N193"/>
      <c r="O193"/>
      <c r="P193"/>
      <c r="Q193"/>
      <c r="R193"/>
      <c r="S193"/>
      <c r="T193"/>
      <c r="U193"/>
      <c r="X193"/>
      <c r="AB193"/>
      <c r="AC193"/>
      <c r="AF193" s="361">
        <f>IF(S.Planning.MessageMap="Y",1,0)</f>
        <v>1</v>
      </c>
      <c r="AG193" s="59"/>
      <c r="AH193" s="59"/>
      <c r="AI193" s="59"/>
      <c r="AJ193" s="62"/>
      <c r="AK193" s="44"/>
      <c r="AL193" s="76"/>
    </row>
    <row r="194" spans="1:39" s="23" customFormat="1" ht="15"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609</v>
      </c>
      <c r="C195" s="540" t="s">
        <v>16</v>
      </c>
      <c r="D195" s="706"/>
      <c r="E195" s="706"/>
      <c r="F195" s="257" t="s">
        <v>0</v>
      </c>
      <c r="G195" s="258"/>
      <c r="H195" s="258"/>
      <c r="I195" s="746"/>
      <c r="AF195" s="361">
        <f>IF(S.Notice.NewsRelease="Y",1,0)</f>
        <v>1</v>
      </c>
      <c r="AG195" s="58" t="s">
        <v>0</v>
      </c>
      <c r="AH195" s="58"/>
      <c r="AI195" s="58"/>
      <c r="AJ195" s="66"/>
      <c r="AK195" s="44"/>
      <c r="AL195" s="76"/>
    </row>
    <row r="196" spans="1:39" s="23" customFormat="1" ht="15" customHeight="1" outlineLevel="2" thickBot="1" x14ac:dyDescent="0.25">
      <c r="A196" s="145"/>
      <c r="B196" s="730" t="s">
        <v>333</v>
      </c>
      <c r="C196" s="540" t="s">
        <v>16</v>
      </c>
      <c r="D196" s="706"/>
      <c r="E196" s="706"/>
      <c r="F196" s="257" t="s">
        <v>0</v>
      </c>
      <c r="G196" s="258"/>
      <c r="H196" s="258"/>
      <c r="I196" s="746"/>
      <c r="J196"/>
      <c r="K196"/>
      <c r="L196"/>
      <c r="M196"/>
      <c r="N196"/>
      <c r="O196"/>
      <c r="P196"/>
      <c r="Q196"/>
      <c r="R196"/>
      <c r="S196"/>
      <c r="T196"/>
      <c r="U196"/>
      <c r="X196"/>
      <c r="AB196"/>
      <c r="AC196"/>
      <c r="AF196" s="361">
        <f>IF(S.Planning.ProgramWebPage="Y",1,0)</f>
        <v>1</v>
      </c>
      <c r="AG196" s="58" t="s">
        <v>0</v>
      </c>
      <c r="AH196" s="58"/>
      <c r="AI196" s="58"/>
      <c r="AJ196" s="66"/>
      <c r="AK196" s="44"/>
      <c r="AL196" s="76"/>
    </row>
    <row r="197" spans="1:39" s="23" customFormat="1" ht="15.75" customHeight="1" outlineLevel="2" thickBot="1" x14ac:dyDescent="0.25">
      <c r="A197" s="145"/>
      <c r="B197" s="736" t="s">
        <v>334</v>
      </c>
      <c r="C197" s="540" t="s">
        <v>16</v>
      </c>
      <c r="D197" s="706"/>
      <c r="E197" s="706"/>
      <c r="F197" s="262"/>
      <c r="G197" s="258" t="s">
        <v>0</v>
      </c>
      <c r="H197" s="258"/>
      <c r="I197" s="746"/>
      <c r="J197"/>
      <c r="K197"/>
      <c r="L197"/>
      <c r="M197"/>
      <c r="N197"/>
      <c r="O197"/>
      <c r="P197"/>
      <c r="Q197"/>
      <c r="R197"/>
      <c r="S197"/>
      <c r="T197"/>
      <c r="U197"/>
      <c r="X197"/>
      <c r="AB197"/>
      <c r="AC197"/>
      <c r="AF197" s="361">
        <f>IF(S.Notice.InformationMeeting="N",,1)</f>
        <v>1</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1</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1</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1</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544</v>
      </c>
      <c r="C202" s="732" t="s">
        <v>0</v>
      </c>
      <c r="D202" s="733"/>
      <c r="E202" s="885"/>
      <c r="F202"/>
      <c r="G202" s="264" t="s">
        <v>0</v>
      </c>
      <c r="I202" s="746"/>
      <c r="AF202" s="361">
        <f>IF(S.Planning.CommunicationsPlan="Y",1,0)</f>
        <v>1</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1</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1</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1</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1</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1</v>
      </c>
      <c r="AG207" s="60">
        <f>H206</f>
        <v>41820</v>
      </c>
      <c r="AH207" s="60">
        <f t="shared" si="8"/>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7"/>
        <v>41820</v>
      </c>
      <c r="H208" s="256">
        <f t="shared" si="7"/>
        <v>41820</v>
      </c>
      <c r="I208" s="746"/>
      <c r="J208"/>
      <c r="K208"/>
      <c r="L208"/>
      <c r="M208"/>
      <c r="N208"/>
      <c r="O208"/>
      <c r="P208"/>
      <c r="Q208"/>
      <c r="R208"/>
      <c r="S208"/>
      <c r="T208"/>
      <c r="U208"/>
      <c r="X208"/>
      <c r="AB208"/>
      <c r="AC208"/>
      <c r="AF208" s="361">
        <f>IF(S.Planning.ApproveCommunicationsLoop2="N",,IF(OR(S.Planning.CommunicationsPlan="Y",S.Planning.MessageMap="Y",S.Planning.ProgramWebPage="Y"),1,0))</f>
        <v>1</v>
      </c>
      <c r="AG208" s="60">
        <f>IF(AF208=0,,H207)</f>
        <v>41820</v>
      </c>
      <c r="AH208" s="60">
        <f t="shared" si="8"/>
        <v>41820</v>
      </c>
      <c r="AI208" s="47"/>
      <c r="AJ208" s="44"/>
      <c r="AK208" s="72"/>
      <c r="AL208" s="76"/>
    </row>
    <row r="209" spans="1:38" s="23" customFormat="1" ht="15" customHeight="1" outlineLevel="3" thickBot="1" x14ac:dyDescent="0.25">
      <c r="A209" s="145"/>
      <c r="B209" s="446" t="s">
        <v>263</v>
      </c>
      <c r="C209" s="481" t="s">
        <v>16</v>
      </c>
      <c r="D209" s="281"/>
      <c r="E209" s="885"/>
      <c r="F209"/>
      <c r="G209" s="259">
        <f t="shared" si="7"/>
        <v>41820</v>
      </c>
      <c r="H209" s="256">
        <f t="shared" si="7"/>
        <v>41820</v>
      </c>
      <c r="I209" s="746"/>
      <c r="J209"/>
      <c r="K209"/>
      <c r="L209"/>
      <c r="M209"/>
      <c r="N209"/>
      <c r="O209"/>
      <c r="P209"/>
      <c r="Q209"/>
      <c r="R209"/>
      <c r="S209"/>
      <c r="T209"/>
      <c r="U209"/>
      <c r="X209"/>
      <c r="AB209"/>
      <c r="AC209"/>
      <c r="AF209" s="361">
        <f>IF(S.Planning.ApproveCommunicationsLoop3="N",,IF(OR(S.Planning.CommunicationsPlan="Y",S.Planning.MessageMap="Y",S.Planning.ProgramWebPage="Y"),1,0))</f>
        <v>1</v>
      </c>
      <c r="AG209" s="60">
        <f>IF(AF209=0,,H208)</f>
        <v>41820</v>
      </c>
      <c r="AH209" s="60">
        <f t="shared" si="8"/>
        <v>41820</v>
      </c>
      <c r="AI209" s="47"/>
      <c r="AJ209" s="44"/>
      <c r="AK209" s="72"/>
      <c r="AL209" s="76"/>
    </row>
    <row r="210" spans="1:38" s="23" customFormat="1" ht="15" customHeight="1" outlineLevel="3" thickBot="1" x14ac:dyDescent="0.25">
      <c r="A210" s="145"/>
      <c r="B210" s="522" t="s">
        <v>265</v>
      </c>
      <c r="C210" s="481" t="s">
        <v>16</v>
      </c>
      <c r="D210" s="281"/>
      <c r="E210" s="885"/>
      <c r="F210"/>
      <c r="G210" s="259">
        <f t="shared" si="7"/>
        <v>41820</v>
      </c>
      <c r="H210" s="256">
        <f t="shared" si="7"/>
        <v>41820</v>
      </c>
      <c r="I210" s="746"/>
      <c r="J210"/>
      <c r="K210"/>
      <c r="L210"/>
      <c r="M210"/>
      <c r="N210"/>
      <c r="O210"/>
      <c r="P210"/>
      <c r="Q210"/>
      <c r="R210"/>
      <c r="S210"/>
      <c r="T210"/>
      <c r="U210"/>
      <c r="X210"/>
      <c r="AB210"/>
      <c r="AC210"/>
      <c r="AF210" s="361">
        <f>IF(S.Planning.ApproveCommunicationsLoop4="N",,IF(OR(S.Planning.CommunicationsPlan="Y",S.Planning.MessageMap="Y",S.Planning.ProgramWebPage="Y"),1,0))</f>
        <v>1</v>
      </c>
      <c r="AG210" s="60">
        <f>IF(AF210=0,,H209)</f>
        <v>41820</v>
      </c>
      <c r="AH210" s="60">
        <f t="shared" si="8"/>
        <v>41820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1</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1</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1</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1</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11" t="s">
        <v>579</v>
      </c>
      <c r="E217" s="1011"/>
      <c r="F217" s="1011"/>
      <c r="G217" s="1011"/>
      <c r="H217" s="1011"/>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996" t="s">
        <v>578</v>
      </c>
      <c r="E218" s="997"/>
      <c r="F218" s="997"/>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781</v>
      </c>
      <c r="C219" s="964" t="s">
        <v>16</v>
      </c>
      <c r="D219" s="998">
        <v>1</v>
      </c>
      <c r="E219" s="999"/>
      <c r="F219" s="999"/>
      <c r="G219" s="253">
        <f t="shared" ref="G219:G227" si="9">AG219</f>
        <v>42024</v>
      </c>
      <c r="H219" s="761" t="s">
        <v>303</v>
      </c>
      <c r="I219" s="746"/>
      <c r="J219"/>
      <c r="K219"/>
      <c r="L219"/>
      <c r="M219"/>
      <c r="N219"/>
      <c r="O219"/>
      <c r="P219"/>
      <c r="Q219"/>
      <c r="R219"/>
      <c r="S219"/>
      <c r="T219"/>
      <c r="U219"/>
      <c r="X219"/>
      <c r="AB219"/>
      <c r="AC219"/>
      <c r="AF219" s="361">
        <f>IF(S.Hearing.1stInvolve="Y",1,0)</f>
        <v>1</v>
      </c>
      <c r="AG219" s="60">
        <f>S.Hearing.1stDate</f>
        <v>42024</v>
      </c>
      <c r="AH219" s="387" t="s">
        <v>66</v>
      </c>
      <c r="AI219" s="34"/>
      <c r="AJ219" s="43"/>
      <c r="AK219" s="43"/>
      <c r="AL219" s="76"/>
    </row>
    <row r="220" spans="1:38" s="23" customFormat="1" ht="15" customHeight="1" outlineLevel="1" x14ac:dyDescent="0.2">
      <c r="A220" s="145"/>
      <c r="B220" s="759" t="str">
        <f t="shared" ref="B220:B226" si="10">"Enter city name"</f>
        <v>Enter city name</v>
      </c>
      <c r="C220" s="965" t="s">
        <v>205</v>
      </c>
      <c r="D220" s="998">
        <v>2</v>
      </c>
      <c r="E220" s="999"/>
      <c r="F220" s="999"/>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0"/>
        <v>Enter city name</v>
      </c>
      <c r="C221" s="965" t="s">
        <v>205</v>
      </c>
      <c r="D221" s="998">
        <v>3</v>
      </c>
      <c r="E221" s="999"/>
      <c r="F221" s="999"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0"/>
        <v>Enter city name</v>
      </c>
      <c r="C222" s="966" t="s">
        <v>205</v>
      </c>
      <c r="D222" s="998">
        <v>4</v>
      </c>
      <c r="E222" s="999"/>
      <c r="F222" s="999"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0"/>
        <v>Enter city name</v>
      </c>
      <c r="C223" s="965" t="s">
        <v>205</v>
      </c>
      <c r="D223" s="998">
        <v>5</v>
      </c>
      <c r="E223" s="999"/>
      <c r="F223" s="999"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0"/>
        <v>Enter city name</v>
      </c>
      <c r="C224" s="965" t="s">
        <v>205</v>
      </c>
      <c r="D224" s="998">
        <v>6</v>
      </c>
      <c r="E224" s="999"/>
      <c r="F224" s="999"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0"/>
        <v>Enter city name</v>
      </c>
      <c r="C225" s="965" t="s">
        <v>205</v>
      </c>
      <c r="D225" s="998">
        <v>7</v>
      </c>
      <c r="E225" s="999"/>
      <c r="F225" s="999"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0"/>
        <v>Enter city name</v>
      </c>
      <c r="C226" s="967" t="s">
        <v>205</v>
      </c>
      <c r="D226" s="998" t="s">
        <v>0</v>
      </c>
      <c r="E226" s="999"/>
      <c r="F226" s="999"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564</v>
      </c>
      <c r="C227" s="760"/>
      <c r="D227" s="766"/>
      <c r="E227" s="886"/>
      <c r="F227" s="823" t="s">
        <v>0</v>
      </c>
      <c r="G227" s="765">
        <f t="shared" si="9"/>
        <v>42024</v>
      </c>
      <c r="H227" s="762"/>
      <c r="I227" s="746"/>
      <c r="J227"/>
      <c r="K227"/>
      <c r="L227"/>
      <c r="M227"/>
      <c r="N227"/>
      <c r="O227"/>
      <c r="P227"/>
      <c r="Q227"/>
      <c r="R227"/>
      <c r="S227"/>
      <c r="T227"/>
      <c r="U227"/>
      <c r="X227"/>
      <c r="AB227"/>
      <c r="AC227"/>
      <c r="AF227" s="361">
        <f>IF(S.Hearing.1stInvolve="Y",1,0)</f>
        <v>1</v>
      </c>
      <c r="AG227" s="60">
        <f>IF(AF227=0,,MAX(G219:G226))</f>
        <v>42024</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42024</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42024</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customHeight="1" outlineLevel="1" thickBot="1" x14ac:dyDescent="0.25">
      <c r="A235" s="145"/>
      <c r="C235" s="989" t="s">
        <v>591</v>
      </c>
      <c r="D235" s="989"/>
      <c r="E235" s="989"/>
      <c r="F235" s="989"/>
      <c r="G235" s="989"/>
      <c r="H235" s="989"/>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69">
        <v>1</v>
      </c>
      <c r="D237" s="990" t="s">
        <v>594</v>
      </c>
      <c r="E237" s="991"/>
      <c r="F237" s="991"/>
      <c r="G237" s="992"/>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6">AK238</f>
        <v>NOTICE.AD2None</v>
      </c>
      <c r="C238" s="969">
        <v>2</v>
      </c>
      <c r="D238" s="990" t="s">
        <v>601</v>
      </c>
      <c r="E238" s="991"/>
      <c r="F238" s="991"/>
      <c r="G238" s="992"/>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NOTICE.AD2None</v>
      </c>
      <c r="AL238" s="76"/>
    </row>
    <row r="239" spans="1:39" s="23" customFormat="1" ht="15" customHeight="1" outlineLevel="1" x14ac:dyDescent="0.2">
      <c r="A239" s="145"/>
      <c r="B239" s="755" t="str">
        <f t="shared" si="16"/>
        <v>NOTICE.AD3None</v>
      </c>
      <c r="C239" s="969">
        <v>3</v>
      </c>
      <c r="D239" s="990" t="s">
        <v>601</v>
      </c>
      <c r="E239" s="991"/>
      <c r="F239" s="991"/>
      <c r="G239" s="992"/>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NOTICE.AD3None</v>
      </c>
      <c r="AL239" s="76"/>
    </row>
    <row r="240" spans="1:39" s="23" customFormat="1" ht="15" customHeight="1" outlineLevel="1" x14ac:dyDescent="0.2">
      <c r="A240" s="145"/>
      <c r="B240" s="755" t="str">
        <f t="shared" si="16"/>
        <v>NOTICE.AD4None</v>
      </c>
      <c r="C240" s="969">
        <v>4</v>
      </c>
      <c r="D240" s="990" t="s">
        <v>601</v>
      </c>
      <c r="E240" s="991"/>
      <c r="F240" s="991"/>
      <c r="G240" s="992"/>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NOTICE.AD4None</v>
      </c>
      <c r="AL240" s="76"/>
    </row>
    <row r="241" spans="1:38" s="23" customFormat="1" ht="15" customHeight="1" outlineLevel="1" x14ac:dyDescent="0.2">
      <c r="A241" s="145"/>
      <c r="B241" s="755" t="str">
        <f t="shared" si="16"/>
        <v>NOTICE.AD5None</v>
      </c>
      <c r="C241" s="969">
        <v>5</v>
      </c>
      <c r="D241" s="990" t="s">
        <v>601</v>
      </c>
      <c r="E241" s="991"/>
      <c r="F241" s="991"/>
      <c r="G241" s="992"/>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customHeight="1" outlineLevel="1" x14ac:dyDescent="0.2">
      <c r="A242" s="145"/>
      <c r="B242" s="755" t="str">
        <f t="shared" si="16"/>
        <v>NOTICE.AD6None</v>
      </c>
      <c r="C242" s="969">
        <v>6</v>
      </c>
      <c r="D242" s="990" t="s">
        <v>601</v>
      </c>
      <c r="E242" s="991"/>
      <c r="F242" s="991"/>
      <c r="G242" s="992"/>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customHeight="1" outlineLevel="1" x14ac:dyDescent="0.2">
      <c r="A243" s="145"/>
      <c r="B243" s="755" t="str">
        <f t="shared" si="16"/>
        <v>NOTICE.AD7None</v>
      </c>
      <c r="C243" s="969">
        <v>7</v>
      </c>
      <c r="D243" s="990" t="s">
        <v>601</v>
      </c>
      <c r="E243" s="991"/>
      <c r="F243" s="991"/>
      <c r="G243" s="992"/>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customHeight="1" outlineLevel="1" thickBot="1" x14ac:dyDescent="0.25">
      <c r="A244" s="145"/>
      <c r="B244" s="755" t="str">
        <f t="shared" si="16"/>
        <v>NOTICE.AD8None</v>
      </c>
      <c r="C244" s="970">
        <v>8</v>
      </c>
      <c r="D244" s="1012" t="s">
        <v>601</v>
      </c>
      <c r="E244" s="1012"/>
      <c r="F244" s="1012"/>
      <c r="G244" s="1013"/>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customHeight="1" outlineLevel="1" x14ac:dyDescent="0.2">
      <c r="A246" s="145" t="s">
        <v>0</v>
      </c>
      <c r="B246" s="221" t="s">
        <v>582</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x14ac:dyDescent="0.2">
      <c r="A248" s="145" t="s">
        <v>0</v>
      </c>
      <c r="B248" s="221" t="s">
        <v>584</v>
      </c>
      <c r="C248" s="543"/>
      <c r="D248" s="283"/>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x14ac:dyDescent="0.2">
      <c r="A249" s="145"/>
      <c r="B249" s="221" t="s">
        <v>585</v>
      </c>
      <c r="C249" s="1026" t="s">
        <v>610</v>
      </c>
      <c r="D249" s="1026"/>
      <c r="E249" s="1026"/>
      <c r="F249" s="1026"/>
      <c r="G249" s="1027"/>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993" t="str">
        <f>AK259</f>
        <v/>
      </c>
      <c r="G257" s="994"/>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993"/>
      <c r="G258" s="994"/>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993"/>
      <c r="G259" s="994"/>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993"/>
      <c r="G260" s="994"/>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993"/>
      <c r="G261" s="994"/>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554</v>
      </c>
      <c r="C265" s="196"/>
      <c r="D265" s="188"/>
      <c r="E265" s="883"/>
      <c r="I265" s="746"/>
      <c r="AF265" s="361">
        <f t="shared" si="22"/>
        <v>1</v>
      </c>
      <c r="AG265" s="59"/>
      <c r="AH265" s="59"/>
      <c r="AI265" s="59"/>
      <c r="AJ265" s="43"/>
      <c r="AK265" s="58" t="s">
        <v>0</v>
      </c>
      <c r="AL265" s="76"/>
    </row>
    <row r="266" spans="1:38" s="23" customFormat="1" ht="15.75" customHeight="1" outlineLevel="1" x14ac:dyDescent="0.25">
      <c r="A266" s="145"/>
      <c r="B266" s="269" t="s">
        <v>548</v>
      </c>
      <c r="C266" s="196"/>
      <c r="D266" s="188"/>
      <c r="E266" s="883"/>
      <c r="I266" s="746"/>
      <c r="AF266" s="361">
        <f t="shared" si="22"/>
        <v>1</v>
      </c>
      <c r="AG266" s="59"/>
      <c r="AH266" s="59"/>
      <c r="AI266" s="59"/>
      <c r="AJ266" s="43"/>
      <c r="AK266" s="58" t="s">
        <v>0</v>
      </c>
      <c r="AL266" s="76"/>
    </row>
    <row r="267" spans="1:38" s="23" customFormat="1" ht="15.75" customHeight="1" outlineLevel="1" x14ac:dyDescent="0.25">
      <c r="A267" s="145"/>
      <c r="B267" s="269" t="s">
        <v>553</v>
      </c>
      <c r="C267" s="196"/>
      <c r="D267" s="188"/>
      <c r="E267" s="883"/>
      <c r="I267" s="746"/>
      <c r="AF267" s="361">
        <f t="shared" si="22"/>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c r="E268" s="888"/>
      <c r="I268" s="746"/>
      <c r="AF268" s="361">
        <f t="shared" si="22"/>
        <v>1</v>
      </c>
      <c r="AG268" s="59"/>
      <c r="AH268" s="59"/>
      <c r="AI268" s="59"/>
      <c r="AJ268" s="43"/>
      <c r="AK268" s="58" t="s">
        <v>0</v>
      </c>
      <c r="AL268" s="76"/>
    </row>
    <row r="269" spans="1:38" s="23" customFormat="1" ht="15.75" customHeight="1" outlineLevel="1" x14ac:dyDescent="0.2">
      <c r="A269" s="145"/>
      <c r="B269" s="269" t="s">
        <v>547</v>
      </c>
      <c r="C269" s="510" t="str">
        <f>HYPERLINK("http://arcweb.sos.state.or.us/pages/rules/oars_300/oar_340/340_018.html","i")</f>
        <v>i</v>
      </c>
      <c r="D269" s="355"/>
      <c r="E269" s="888"/>
      <c r="I269" s="746"/>
      <c r="AF269" s="361">
        <f t="shared" si="22"/>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c r="E271" s="883"/>
      <c r="F271" s="191"/>
      <c r="H271" s="190">
        <f>AH271</f>
        <v>41820</v>
      </c>
      <c r="I271" s="746"/>
      <c r="AF271" s="361">
        <f t="shared" si="22"/>
        <v>1</v>
      </c>
      <c r="AG271" s="59"/>
      <c r="AH271" s="60">
        <f>S.Planning.AddConceptToPlanDate</f>
        <v>41820</v>
      </c>
      <c r="AI271" s="59"/>
      <c r="AJ271" s="43"/>
      <c r="AK271" s="346"/>
      <c r="AL271" s="76"/>
    </row>
    <row r="272" spans="1:38" s="23" customFormat="1" ht="15.75"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x14ac:dyDescent="0.25">
      <c r="A277" s="145"/>
      <c r="B277" s="269" t="s">
        <v>557</v>
      </c>
      <c r="C277" s="184" t="s">
        <v>0</v>
      </c>
      <c r="D277" s="187"/>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customHeight="1" outlineLevel="1" x14ac:dyDescent="0.25">
      <c r="A281" s="145"/>
      <c r="B281" s="269" t="s">
        <v>560</v>
      </c>
      <c r="C281" s="184" t="s">
        <v>0</v>
      </c>
      <c r="D281" s="187"/>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559</v>
      </c>
      <c r="C282" s="184" t="s">
        <v>0</v>
      </c>
      <c r="D282" s="187"/>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20" t="str">
        <f>AK12</f>
        <v>Advisory Committee - not involved</v>
      </c>
      <c r="C287" s="1020"/>
      <c r="D287" s="1020"/>
      <c r="E287" s="1020"/>
      <c r="F287" s="1020"/>
      <c r="G287" s="1020"/>
      <c r="H287" s="1020"/>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986" t="s">
        <v>219</v>
      </c>
      <c r="E377" s="986"/>
      <c r="F377" s="986"/>
      <c r="G377" s="987"/>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986" t="s">
        <v>218</v>
      </c>
      <c r="E400" s="986"/>
      <c r="F400" s="986"/>
      <c r="G400" s="987"/>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986" t="s">
        <v>216</v>
      </c>
      <c r="E423" s="986"/>
      <c r="F423" s="986"/>
      <c r="G423" s="987"/>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986" t="s">
        <v>217</v>
      </c>
      <c r="E446" s="986"/>
      <c r="F446" s="986"/>
      <c r="G446" s="987"/>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14" t="str">
        <f>AK14</f>
        <v>Fees - not involved</v>
      </c>
      <c r="C452" s="1014"/>
      <c r="D452" s="1014"/>
      <c r="E452" s="1014"/>
      <c r="F452" s="1014"/>
      <c r="G452" s="1014"/>
      <c r="H452" s="1014"/>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19" t="str">
        <f>AK22</f>
        <v>Public Notice</v>
      </c>
      <c r="C487" s="1019"/>
      <c r="D487" s="1019"/>
      <c r="E487" s="1019"/>
      <c r="F487" s="1019"/>
      <c r="G487" s="1019"/>
      <c r="H487" s="1019"/>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09" t="s">
        <v>0</v>
      </c>
      <c r="C489" s="1009"/>
      <c r="D489" s="1009"/>
      <c r="E489" s="1009"/>
      <c r="F489" s="1009"/>
      <c r="G489" s="175">
        <f>AG489</f>
        <v>41820</v>
      </c>
      <c r="H489" s="126">
        <f>AH489</f>
        <v>42027</v>
      </c>
      <c r="I489" s="746"/>
      <c r="AF489" s="361">
        <f>IF(S.Notice.Involved="Y",1,0)</f>
        <v>1</v>
      </c>
      <c r="AG489" s="60">
        <f>S.Notice.BANNER.Begin</f>
        <v>41820</v>
      </c>
      <c r="AH489" s="60">
        <f>S.Notice.BANNER.End</f>
        <v>42027</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 BrianW for updates to communication plan, message map, news release</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 BrianW for updates to communication plan, message map, news release</v>
      </c>
      <c r="AL516" s="76"/>
    </row>
    <row r="517" spans="1:38" s="23" customFormat="1" ht="14.1" customHeight="1" x14ac:dyDescent="0.2">
      <c r="A517" s="145"/>
      <c r="B517" s="320" t="str">
        <f>AK517</f>
        <v>* PaulG, if needed for legal consultation</v>
      </c>
      <c r="C517" s="546" t="s">
        <v>0</v>
      </c>
      <c r="D517" s="714"/>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1028" t="s">
        <v>622</v>
      </c>
      <c r="D539" s="1028"/>
      <c r="E539" s="1028"/>
      <c r="F539" s="1028"/>
      <c r="G539" s="1029"/>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1028" t="s">
        <v>621</v>
      </c>
      <c r="D540" s="1030"/>
      <c r="E540" s="1030"/>
      <c r="F540" s="1030"/>
      <c r="G540" s="1031"/>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1028" t="s">
        <v>620</v>
      </c>
      <c r="D541" s="1028"/>
      <c r="E541" s="1028"/>
      <c r="F541" s="1028"/>
      <c r="G541" s="1029"/>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1028" t="s">
        <v>620</v>
      </c>
      <c r="D543" s="1028"/>
      <c r="E543" s="1028"/>
      <c r="F543" s="1028"/>
      <c r="G543" s="1029"/>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21" t="s">
        <v>680</v>
      </c>
      <c r="H562" s="1022"/>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983"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17" t="s">
        <v>606</v>
      </c>
      <c r="H572" s="1018"/>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4" t="str">
        <f>AK591</f>
        <v xml:space="preserve">Wendy personalizes and sends EMAIL.PREVIEW </v>
      </c>
      <c r="C591" s="542"/>
      <c r="D591" s="702"/>
      <c r="E591" s="702"/>
      <c r="F591" s="782"/>
      <c r="G591" s="1032" t="s">
        <v>627</v>
      </c>
      <c r="H591" s="1033"/>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1072">
        <v>41967</v>
      </c>
      <c r="H593" s="1073">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34" t="s">
        <v>628</v>
      </c>
      <c r="H594" s="1035"/>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44" t="s">
        <v>0</v>
      </c>
      <c r="D605" s="1044"/>
      <c r="E605" s="1044"/>
      <c r="F605" s="1044"/>
      <c r="G605" s="1044"/>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985"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985" t="str">
        <f>AK609</f>
        <v>* verifies/clarifies additional edits with BrianF &amp; DavidC as warranted</v>
      </c>
      <c r="C609" s="321"/>
      <c r="D609" s="1036"/>
      <c r="E609" s="1036"/>
      <c r="F609" s="1036"/>
      <c r="G609" s="1036"/>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1042" t="s">
        <v>683</v>
      </c>
      <c r="D610" s="1042"/>
      <c r="E610" s="1042"/>
      <c r="F610" s="1042"/>
      <c r="G610" s="1043"/>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24" t="s">
        <v>646</v>
      </c>
      <c r="E626" s="1024"/>
      <c r="F626" s="1024"/>
      <c r="G626" s="1025"/>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23" t="s">
        <v>0</v>
      </c>
      <c r="E630" s="1024"/>
      <c r="F630" s="1024"/>
      <c r="G630" s="1025"/>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42027</v>
      </c>
      <c r="I645" s="746"/>
      <c r="J645"/>
      <c r="K645"/>
      <c r="L645"/>
      <c r="M645"/>
      <c r="N645"/>
      <c r="O645"/>
      <c r="P645"/>
      <c r="Q645"/>
      <c r="R645"/>
      <c r="S645"/>
      <c r="T645"/>
      <c r="U645"/>
      <c r="X645"/>
      <c r="AB645"/>
      <c r="AC645"/>
      <c r="AF645" s="361">
        <f t="shared" si="114"/>
        <v>1</v>
      </c>
      <c r="AG645" s="60">
        <f>IF(AF645=0,,S.Notice.OpenComment)</f>
        <v>41989</v>
      </c>
      <c r="AH645" s="60">
        <f>IF(AF645=0,,S.Notice.BANNER.End)</f>
        <v>42027</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42027</v>
      </c>
      <c r="I646" s="746"/>
      <c r="J646"/>
      <c r="K646"/>
      <c r="L646"/>
      <c r="M646"/>
      <c r="N646"/>
      <c r="O646"/>
      <c r="P646"/>
      <c r="Q646"/>
      <c r="R646"/>
      <c r="S646"/>
      <c r="T646"/>
      <c r="U646"/>
      <c r="X646"/>
      <c r="AB646"/>
      <c r="AC646"/>
      <c r="AF646" s="361">
        <f t="shared" si="114"/>
        <v>1</v>
      </c>
      <c r="AG646" s="60">
        <f>IF(AF646=0,,S.Notice.BANNER.Begin)</f>
        <v>41820</v>
      </c>
      <c r="AH646" s="60">
        <f>IF(AF646=0,,S.Notice.BANNER.End)</f>
        <v>42027</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16" t="str">
        <f>AK29</f>
        <v>Public Comment and Testimony</v>
      </c>
      <c r="C649" s="1016"/>
      <c r="D649" s="1016"/>
      <c r="E649" s="1016"/>
      <c r="F649" s="1016"/>
      <c r="G649" s="1016"/>
      <c r="H649" s="1016"/>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x14ac:dyDescent="0.25">
      <c r="A654" s="145"/>
      <c r="B654" s="298" t="str">
        <f>AK654</f>
        <v>BrianF verifies venues and equipment, gathers supplies</v>
      </c>
      <c r="C654" s="414" t="s">
        <v>48</v>
      </c>
      <c r="D654" s="357"/>
      <c r="E654" s="751"/>
      <c r="F654" s="23"/>
      <c r="G654" s="299">
        <f>AG654</f>
        <v>41988</v>
      </c>
      <c r="H654" s="299">
        <f>AH654</f>
        <v>42024</v>
      </c>
      <c r="I654" s="746"/>
      <c r="AF654" s="361">
        <f>IF(AND(S.Notice.Involved="Y",S.Hearing.1stInvolve="Y"),1,0)</f>
        <v>1</v>
      </c>
      <c r="AG654" s="60">
        <f>IF(AF654=0,,S.Hearing.BANNER.Begin)</f>
        <v>41988</v>
      </c>
      <c r="AH654" s="60">
        <f>S.Hearing.1stDate</f>
        <v>42024</v>
      </c>
      <c r="AI654" s="59"/>
      <c r="AJ654" s="59"/>
      <c r="AK654" s="67" t="str">
        <f>S.Staff.Support&amp;" verifies venues and equipment, gathers supplies"</f>
        <v>BrianF verifies venues and equipment, gathers supplies</v>
      </c>
      <c r="AL654" s="76"/>
      <c r="AM654"/>
    </row>
    <row r="655" spans="1:39" s="23" customFormat="1" ht="14.1" customHeight="1" outlineLevel="2" x14ac:dyDescent="0.2">
      <c r="A655" s="145"/>
      <c r="B655" s="517" t="str">
        <f>AK655</f>
        <v>START INFORMATION MEETING OPTION</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1</v>
      </c>
      <c r="AG655" s="58"/>
      <c r="AH655" s="58"/>
      <c r="AI655" s="59"/>
      <c r="AJ655" s="59"/>
      <c r="AK655" s="67" t="str">
        <f>IF(S.Notice.InformationMeeting="Y","START INFORMATION MEETING OPTION","Team does not plan to hold information meeting")</f>
        <v>START INFORMATION MEETING OPTION</v>
      </c>
      <c r="AL655" s="76"/>
    </row>
    <row r="656" spans="1:39" s="23" customFormat="1" ht="14.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1</v>
      </c>
      <c r="AG657" s="60">
        <f t="shared" si="119"/>
        <v>41988</v>
      </c>
      <c r="AH657" s="60">
        <f>G657</f>
        <v>0</v>
      </c>
      <c r="AI657" s="59"/>
      <c r="AJ657" s="59"/>
      <c r="AK657" s="381"/>
      <c r="AL657" s="76"/>
    </row>
    <row r="658" spans="1:39" s="23" customFormat="1" ht="14.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1</v>
      </c>
      <c r="AG658" s="60">
        <f t="shared" si="119"/>
        <v>41988</v>
      </c>
      <c r="AH658" s="60">
        <f t="shared" ref="AH658:AH661" si="121">G658</f>
        <v>0</v>
      </c>
      <c r="AI658" s="59"/>
      <c r="AJ658" s="59"/>
      <c r="AK658" s="381"/>
      <c r="AL658" s="76"/>
    </row>
    <row r="659" spans="1:39" s="459" customFormat="1" ht="14.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1</v>
      </c>
      <c r="AG659" s="60">
        <f t="shared" si="119"/>
        <v>41988</v>
      </c>
      <c r="AH659" s="60">
        <f t="shared" si="121"/>
        <v>0</v>
      </c>
      <c r="AI659" s="461"/>
      <c r="AJ659" s="461"/>
      <c r="AK659" s="381"/>
      <c r="AL659" s="460"/>
    </row>
    <row r="660" spans="1:39" s="23" customFormat="1" ht="14.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1</v>
      </c>
      <c r="AG660" s="60">
        <f t="shared" si="119"/>
        <v>41988</v>
      </c>
      <c r="AH660" s="60">
        <f t="shared" si="121"/>
        <v>0</v>
      </c>
      <c r="AI660" s="59"/>
      <c r="AJ660" s="59"/>
      <c r="AK660" s="381"/>
      <c r="AL660" s="76"/>
    </row>
    <row r="661" spans="1:39" ht="14.1" customHeight="1" outlineLevel="2" x14ac:dyDescent="0.2">
      <c r="A661" s="145"/>
      <c r="B661" s="448" t="s">
        <v>224</v>
      </c>
      <c r="C661" s="542" t="s">
        <v>0</v>
      </c>
      <c r="D661" s="283"/>
      <c r="E661" s="751"/>
      <c r="F661" s="23"/>
      <c r="G661"/>
      <c r="H661"/>
      <c r="I661" s="746"/>
      <c r="AF661" s="361">
        <f t="shared" si="120"/>
        <v>1</v>
      </c>
      <c r="AG661" s="60">
        <f t="shared" si="119"/>
        <v>41988</v>
      </c>
      <c r="AH661" s="60">
        <f t="shared" si="121"/>
        <v>0</v>
      </c>
      <c r="AI661" s="59"/>
      <c r="AJ661" s="59"/>
      <c r="AK661" s="381"/>
      <c r="AL661" s="76"/>
      <c r="AM661"/>
    </row>
    <row r="662" spans="1:39" s="23" customFormat="1" ht="14.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1</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1</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x14ac:dyDescent="0.25">
      <c r="A668" s="145"/>
      <c r="B668" s="425" t="s">
        <v>200</v>
      </c>
      <c r="C668" s="546" t="s">
        <v>0</v>
      </c>
      <c r="D668" s="283"/>
      <c r="E668" s="751"/>
      <c r="G668" s="299">
        <f t="shared" ref="G668:G669" si="127">AG668</f>
        <v>41988</v>
      </c>
      <c r="H668" s="299">
        <f>AH668</f>
        <v>42024</v>
      </c>
      <c r="I668" s="746"/>
      <c r="J668"/>
      <c r="K668"/>
      <c r="L668"/>
      <c r="M668"/>
      <c r="N668"/>
      <c r="O668"/>
      <c r="P668"/>
      <c r="Q668"/>
      <c r="R668"/>
      <c r="S668"/>
      <c r="T668"/>
      <c r="U668"/>
      <c r="X668"/>
      <c r="AB668"/>
      <c r="AC668"/>
      <c r="AF668" s="361">
        <f>IF(S.Notice.Involved="Y",1,0)</f>
        <v>1</v>
      </c>
      <c r="AG668" s="60">
        <f>IF(AF668=0,,S.Hearing.BANNER.Begin)</f>
        <v>41988</v>
      </c>
      <c r="AH668" s="60">
        <f>S.Hearing.1stDate</f>
        <v>42024</v>
      </c>
      <c r="AI668" s="59"/>
      <c r="AJ668" s="61"/>
      <c r="AK668" s="62"/>
      <c r="AL668" s="76"/>
    </row>
    <row r="669" spans="1:39" s="23" customFormat="1" ht="14.1" customHeight="1" outlineLevel="1" thickBot="1" x14ac:dyDescent="0.25">
      <c r="A669" s="145"/>
      <c r="B669" s="425" t="s">
        <v>204</v>
      </c>
      <c r="C669" s="414" t="s">
        <v>48</v>
      </c>
      <c r="D669" s="283"/>
      <c r="E669" s="751"/>
      <c r="G669" s="299">
        <f t="shared" si="127"/>
        <v>41988</v>
      </c>
      <c r="H669" s="299">
        <f>AH669</f>
        <v>42024</v>
      </c>
      <c r="I669" s="746"/>
      <c r="J669"/>
      <c r="K669"/>
      <c r="L669"/>
      <c r="M669"/>
      <c r="N669"/>
      <c r="O669"/>
      <c r="P669"/>
      <c r="Q669"/>
      <c r="R669"/>
      <c r="S669"/>
      <c r="T669"/>
      <c r="U669"/>
      <c r="X669"/>
      <c r="AB669"/>
      <c r="AC669"/>
      <c r="AF669" s="361">
        <f>IF(S.Notice.Involved="Y",1,0)</f>
        <v>1</v>
      </c>
      <c r="AG669" s="60">
        <f>IF(AF669=0,,S.Hearing.BANNER.Begin)</f>
        <v>41988</v>
      </c>
      <c r="AH669" s="60">
        <f>S.Hearing.1stDate</f>
        <v>42024</v>
      </c>
      <c r="AI669" s="59"/>
      <c r="AJ669" s="61"/>
      <c r="AK669" s="62"/>
      <c r="AL669" s="76"/>
    </row>
    <row r="670" spans="1:39" s="23" customFormat="1" ht="14.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x14ac:dyDescent="0.2">
      <c r="A671" s="145"/>
      <c r="B671" s="275" t="str">
        <f>AK671</f>
        <v>1. Grants Pass hearing</v>
      </c>
      <c r="C671" s="546" t="s">
        <v>0</v>
      </c>
      <c r="D671" s="706"/>
      <c r="E671" s="706"/>
      <c r="F671"/>
      <c r="G671"/>
      <c r="H671" s="309">
        <f>AH671</f>
        <v>42024</v>
      </c>
      <c r="I671" s="746"/>
      <c r="AF671" s="361">
        <f>IF(AND(S.Notice.Involved="Y",S.Hearing.1stInvolve="Y",S.Hearing.2ndInvolve),1,0)</f>
        <v>1</v>
      </c>
      <c r="AG671" s="59"/>
      <c r="AH671" s="60">
        <f>S.Hearing.1stDate</f>
        <v>42024</v>
      </c>
      <c r="AI671" s="59"/>
      <c r="AJ671" s="59"/>
      <c r="AK671" s="67" t="str">
        <f>"1. "&amp;S.Hearing.1stCity&amp;" hearing"</f>
        <v>1. Grants Pass hearing</v>
      </c>
      <c r="AL671" s="76"/>
      <c r="AM671"/>
    </row>
    <row r="672" spans="1:39" s="23" customFormat="1" ht="14.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x14ac:dyDescent="0.2">
      <c r="A687" s="145"/>
      <c r="B687" s="208" t="str">
        <f>AK687</f>
        <v>BrianF, for comments not received through online form:</v>
      </c>
      <c r="C687" s="306"/>
      <c r="D687" s="283"/>
      <c r="E687" s="283"/>
      <c r="F687" s="255">
        <f t="shared" ref="F687" si="130">NETWORKDAYS(G687,H687,S.DDL_DEQClosed)</f>
        <v>10</v>
      </c>
      <c r="G687" s="299">
        <f t="shared" ref="G687" si="131">AG687</f>
        <v>42024</v>
      </c>
      <c r="H687" s="299">
        <f t="shared" ref="H687" si="132">AH687</f>
        <v>42037</v>
      </c>
      <c r="I687" s="746"/>
      <c r="J687"/>
      <c r="K687"/>
      <c r="L687"/>
      <c r="M687"/>
      <c r="N687"/>
      <c r="O687"/>
      <c r="P687"/>
      <c r="Q687"/>
      <c r="R687"/>
      <c r="S687"/>
      <c r="T687"/>
      <c r="U687"/>
      <c r="X687"/>
      <c r="AB687"/>
      <c r="AC687"/>
      <c r="AF687" s="361">
        <f>IF(S.Notice.Involved="Y",1,0)</f>
        <v>1</v>
      </c>
      <c r="AG687" s="60">
        <f>IF(AF687=0,,S.Notice.LastHearingDate)</f>
        <v>42024</v>
      </c>
      <c r="AH687" s="60">
        <f>S.Hearing.BANNER.End</f>
        <v>42037</v>
      </c>
      <c r="AI687" s="59"/>
      <c r="AJ687" s="59"/>
      <c r="AK687" s="67" t="str">
        <f>S.Staff.Support&amp;", for comments not received through online form:"</f>
        <v>BrianF, for comments not received through online form:</v>
      </c>
      <c r="AL687" s="76"/>
    </row>
    <row r="688" spans="1:39" s="23" customFormat="1" ht="14.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customHeight="1" outlineLevel="1" x14ac:dyDescent="0.2">
      <c r="A691" s="145"/>
      <c r="B691" s="876" t="s">
        <v>0</v>
      </c>
      <c r="C691" s="876"/>
      <c r="D691" s="1038" t="s">
        <v>705</v>
      </c>
      <c r="E691" s="1038"/>
      <c r="F691" s="1038"/>
      <c r="G691" s="1039"/>
      <c r="H691" s="388">
        <f>AH691</f>
        <v>42027</v>
      </c>
      <c r="I691" s="746"/>
      <c r="AF691" s="361">
        <f>IF(S.Notice.Involved="Y",1,0)</f>
        <v>1</v>
      </c>
      <c r="AG691" s="59"/>
      <c r="AH691" s="60">
        <f>S.Notice.CloseComment</f>
        <v>42027</v>
      </c>
      <c r="AI691" s="59"/>
      <c r="AJ691" s="61"/>
      <c r="AK691" s="44"/>
      <c r="AL691" s="76"/>
      <c r="AM691"/>
    </row>
    <row r="692" spans="1:39" s="23" customFormat="1" ht="14.1" customHeight="1" outlineLevel="1" x14ac:dyDescent="0.2">
      <c r="A692" s="145"/>
      <c r="B692" s="290" t="str">
        <f>AK692</f>
        <v>BrianF:</v>
      </c>
      <c r="C692" s="258"/>
      <c r="D692" s="283"/>
      <c r="E692"/>
      <c r="F692" s="255">
        <f>NETWORKDAYS(G692,H692,S.DDL_DEQClosed)</f>
        <v>4</v>
      </c>
      <c r="G692" s="299">
        <f>AG692</f>
        <v>42024</v>
      </c>
      <c r="H692" s="299">
        <f>AH692</f>
        <v>42027</v>
      </c>
      <c r="I692" s="746"/>
      <c r="J692"/>
      <c r="K692"/>
      <c r="L692"/>
      <c r="M692"/>
      <c r="N692"/>
      <c r="O692"/>
      <c r="P692"/>
      <c r="Q692"/>
      <c r="R692"/>
      <c r="S692"/>
      <c r="T692"/>
      <c r="U692"/>
      <c r="X692"/>
      <c r="AB692"/>
      <c r="AC692"/>
      <c r="AF692" s="361">
        <f>IF(S.Notice.Involved="Y",1,0)</f>
        <v>1</v>
      </c>
      <c r="AG692" s="60">
        <f>IF(AF692=0,,S.Notice.LastHearingDate)</f>
        <v>42024</v>
      </c>
      <c r="AH692" s="60">
        <f>S.Notice.CloseComment</f>
        <v>42027</v>
      </c>
      <c r="AI692" s="59"/>
      <c r="AJ692" s="59"/>
      <c r="AK692" s="67" t="str">
        <f>S.Staff.Subject.Expert.FirstName&amp;":"</f>
        <v>BrianF:</v>
      </c>
      <c r="AL692" s="76"/>
    </row>
    <row r="693" spans="1:39" ht="14.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customHeight="1" outlineLevel="1" x14ac:dyDescent="0.2">
      <c r="A700" s="145"/>
      <c r="B700" s="530" t="str">
        <f>AK700</f>
        <v>BrianF asks Maggie for Rule Publication work</v>
      </c>
      <c r="C700" s="981" t="s">
        <v>48</v>
      </c>
      <c r="D700" s="283"/>
      <c r="E700" s="895"/>
      <c r="F700" s="878" t="s">
        <v>0</v>
      </c>
      <c r="G700" s="879"/>
      <c r="H700" s="299">
        <f t="shared" ref="H700" si="133">AH700</f>
        <v>42030</v>
      </c>
      <c r="I700" s="746"/>
      <c r="J700"/>
      <c r="K700"/>
      <c r="L700"/>
      <c r="M700"/>
      <c r="N700"/>
      <c r="O700"/>
      <c r="P700"/>
      <c r="Q700"/>
      <c r="R700"/>
      <c r="S700"/>
      <c r="T700"/>
      <c r="U700"/>
      <c r="X700"/>
      <c r="AB700"/>
      <c r="AC700"/>
      <c r="AF700" s="361">
        <f t="shared" ref="AF700:AF708" si="134">IF(S.Notice.Involved="Y",1,0)</f>
        <v>1</v>
      </c>
      <c r="AG700" s="58"/>
      <c r="AH700" s="60">
        <f>WORKDAY(H692,1,S.DDL_DEQClosed)</f>
        <v>42030</v>
      </c>
      <c r="AI700" s="59"/>
      <c r="AJ700" s="59"/>
      <c r="AK700" s="67" t="str">
        <f>S.Staff.Subject.Expert.FirstName&amp;" asks "&amp;S.Staff.AgencyRulesCoordinator&amp;" for Rule Publication work"</f>
        <v>BrianF asks Maggie for Rule Publication work</v>
      </c>
      <c r="AL700" s="76"/>
    </row>
    <row r="701" spans="1:39" s="23" customFormat="1" ht="14.1" customHeight="1" outlineLevel="1" x14ac:dyDescent="0.2">
      <c r="A701" s="145" t="s">
        <v>0</v>
      </c>
      <c r="B701" s="530" t="str">
        <f>AK701</f>
        <v>Maggie coordinates Rule Publication work:</v>
      </c>
      <c r="C701" s="321"/>
      <c r="D701" s="283"/>
      <c r="E701" s="751"/>
      <c r="F701"/>
      <c r="G701" s="489">
        <f t="shared" ref="G701" si="135">AG701</f>
        <v>42030</v>
      </c>
      <c r="H701" s="489">
        <f t="shared" ref="H701" si="136">AH701</f>
        <v>42030</v>
      </c>
      <c r="I701" s="746"/>
      <c r="J701"/>
      <c r="K701"/>
      <c r="L701"/>
      <c r="M701"/>
      <c r="N701"/>
      <c r="O701"/>
      <c r="P701"/>
      <c r="Q701"/>
      <c r="R701"/>
      <c r="S701"/>
      <c r="T701"/>
      <c r="U701"/>
      <c r="X701"/>
      <c r="AB701"/>
      <c r="AC701"/>
      <c r="AF701" s="361">
        <f t="shared" si="134"/>
        <v>1</v>
      </c>
      <c r="AG701" s="60">
        <f>IF(AF701=0,,H700)</f>
        <v>42030</v>
      </c>
      <c r="AH701" s="60">
        <f>G701</f>
        <v>42030</v>
      </c>
      <c r="AI701" s="59"/>
      <c r="AJ701" s="59"/>
      <c r="AK701" s="67" t="str">
        <f>S.Staff.AgencyRulesCoordinator&amp;" coordinates Rule Publication work:"</f>
        <v>Maggie coordinates Rule Publication work:</v>
      </c>
      <c r="AL701" s="76"/>
    </row>
    <row r="702" spans="1:39" s="23" customFormat="1" ht="14.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customHeight="1" outlineLevel="1" x14ac:dyDescent="0.2">
      <c r="A707" s="145"/>
      <c r="B707" s="269" t="str">
        <f>AK707</f>
        <v>* shares comments/responses to comments with DavidC &amp; Wendy</v>
      </c>
      <c r="C707" s="268"/>
      <c r="D707" s="283"/>
      <c r="E707" s="751"/>
      <c r="F707"/>
      <c r="G707" s="258"/>
      <c r="H707" s="299">
        <f t="shared" ref="H707:H711" si="137">AH707</f>
        <v>42030</v>
      </c>
      <c r="I707" s="746"/>
      <c r="J707"/>
      <c r="K707"/>
      <c r="L707"/>
      <c r="M707"/>
      <c r="N707"/>
      <c r="O707"/>
      <c r="P707"/>
      <c r="Q707"/>
      <c r="R707"/>
      <c r="S707"/>
      <c r="T707"/>
      <c r="U707"/>
      <c r="X707"/>
      <c r="AB707"/>
      <c r="AC707"/>
      <c r="AF707" s="361">
        <f t="shared" si="134"/>
        <v>1</v>
      </c>
      <c r="AG707" s="58"/>
      <c r="AH707" s="60">
        <f>H701</f>
        <v>42030</v>
      </c>
      <c r="AI707" s="58"/>
      <c r="AJ707" s="44"/>
      <c r="AK707" s="182" t="str">
        <f>"* shares comments/responses to comments with "&amp;S.Staff.Program.Mgr.FirstName&amp;" &amp; "&amp;S.Staff.Assistant.DA.ShortName</f>
        <v>* shares comments/responses to comments with DavidC &amp; Wendy</v>
      </c>
      <c r="AL707" s="76"/>
    </row>
    <row r="708" spans="1:39" ht="14.1" customHeight="1" outlineLevel="1" thickBot="1" x14ac:dyDescent="0.25">
      <c r="A708" s="145"/>
      <c r="B708" s="488" t="s">
        <v>270</v>
      </c>
      <c r="C708" s="543"/>
      <c r="D708" s="283"/>
      <c r="E708" s="751"/>
      <c r="F708"/>
      <c r="G708" s="299">
        <f t="shared" ref="G708:G711" si="138">AG708</f>
        <v>42030</v>
      </c>
      <c r="H708" s="299">
        <f t="shared" si="137"/>
        <v>42030</v>
      </c>
      <c r="I708" s="746"/>
      <c r="AF708" s="361">
        <f t="shared" si="134"/>
        <v>1</v>
      </c>
      <c r="AG708" s="60">
        <f>IF(AF708=0,,H707)</f>
        <v>42030</v>
      </c>
      <c r="AH708" s="60">
        <f t="shared" ref="AH708:AH711" si="139">G708</f>
        <v>42030</v>
      </c>
      <c r="AI708" s="59"/>
      <c r="AJ708" s="44"/>
      <c r="AK708" s="44"/>
      <c r="AL708" s="76"/>
      <c r="AM708"/>
    </row>
    <row r="709" spans="1:39" ht="14.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customHeight="1" outlineLevel="1" x14ac:dyDescent="0.2">
      <c r="A713" s="389"/>
      <c r="B713" s="269" t="s">
        <v>274</v>
      </c>
      <c r="C713" s="509" t="str">
        <f>HYPERLINK("\\deqhq1\Rule_Development\Currrent Plan","i")</f>
        <v>i</v>
      </c>
      <c r="D713" s="292"/>
      <c r="E713" s="751"/>
      <c r="F713"/>
      <c r="G713" s="258"/>
      <c r="H713" s="436">
        <f>AH713</f>
        <v>42030</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42030</v>
      </c>
      <c r="AI713" s="391"/>
      <c r="AJ713" s="391"/>
      <c r="AK713" s="58" t="s">
        <v>0</v>
      </c>
      <c r="AL713" s="76"/>
    </row>
    <row r="714" spans="1:39" s="23" customFormat="1" ht="14.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1040" t="s">
        <v>606</v>
      </c>
      <c r="H754" s="1041"/>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41949</v>
      </c>
      <c r="H755" s="767">
        <f>AH755</f>
        <v>41961</v>
      </c>
      <c r="I755" s="746"/>
      <c r="AF755" s="361">
        <v>1</v>
      </c>
      <c r="AG755" s="567">
        <f>S.Notice.Submit.ToRG</f>
        <v>41949</v>
      </c>
      <c r="AH755" s="567">
        <f>WORKDAY(G755,7,S.DDL_DEQClosed)</f>
        <v>41961</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41962</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41963</v>
      </c>
      <c r="H761" s="256">
        <f t="shared" ref="H761" si="151">AH761</f>
        <v>41967</v>
      </c>
      <c r="I761" s="935"/>
      <c r="AF761" s="361">
        <v>1</v>
      </c>
      <c r="AG761" s="776">
        <f>WORKDAY(H755,2,S.DDL_DEQClosed)</f>
        <v>41963</v>
      </c>
      <c r="AH761" s="776">
        <f>WORKDAY(G761+2,1,S.DDL_DEQClosed)</f>
        <v>41967</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42037</v>
      </c>
      <c r="H766" s="291">
        <f t="shared" si="160"/>
        <v>42037</v>
      </c>
      <c r="I766" s="746"/>
      <c r="AF766" s="361">
        <f>IF(S.EQC.ApprovePacketLoop1="Y",1,0)</f>
        <v>1</v>
      </c>
      <c r="AG766" s="60">
        <f>IF(AF766=0,,H749)</f>
        <v>42037</v>
      </c>
      <c r="AH766" s="60">
        <f t="shared" ref="AH766:AH777" si="161">IF(AF766=0,,S.EQC.PacketBeginReview)</f>
        <v>42037</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42037</v>
      </c>
      <c r="H767" s="291">
        <f t="shared" si="160"/>
        <v>42037</v>
      </c>
      <c r="I767" s="746"/>
      <c r="J767"/>
      <c r="K767"/>
      <c r="L767"/>
      <c r="M767"/>
      <c r="N767"/>
      <c r="O767"/>
      <c r="P767"/>
      <c r="Q767"/>
      <c r="R767"/>
      <c r="S767"/>
      <c r="T767"/>
      <c r="U767"/>
      <c r="X767"/>
      <c r="AB767"/>
      <c r="AC767"/>
      <c r="AF767" s="361">
        <f>IF(S.EQC.ApprovePacketLoop1="Y",1,0)</f>
        <v>1</v>
      </c>
      <c r="AG767" s="60">
        <f>IF(AF767=0,,S.EQC.PacketBeginReview)</f>
        <v>42037</v>
      </c>
      <c r="AH767" s="60">
        <f t="shared" si="161"/>
        <v>42037</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42037</v>
      </c>
      <c r="H768" s="291">
        <f t="shared" ref="H768" si="163">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1"/>
        <v>42037</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42037</v>
      </c>
      <c r="H769" s="291">
        <f t="shared" ref="H769" si="165">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1"/>
        <v>42037</v>
      </c>
      <c r="AI769" s="59"/>
      <c r="AJ769" s="159"/>
      <c r="AK769" s="44"/>
      <c r="AL769" s="76"/>
    </row>
    <row r="770" spans="1:39" ht="14.1" customHeight="1" outlineLevel="3" thickBot="1" x14ac:dyDescent="0.25">
      <c r="A770" s="145"/>
      <c r="B770" s="468" t="s">
        <v>243</v>
      </c>
      <c r="C770" s="481" t="s">
        <v>16</v>
      </c>
      <c r="D770" s="283"/>
      <c r="E770" s="283"/>
      <c r="F770"/>
      <c r="G770" s="291">
        <f t="shared" si="160"/>
        <v>42037</v>
      </c>
      <c r="H770" s="291">
        <f t="shared" si="160"/>
        <v>42037</v>
      </c>
      <c r="I770" s="746"/>
      <c r="AF770" s="361">
        <f>IF(S.EQC.ApprovePacketLoop2="Y",1,0)</f>
        <v>1</v>
      </c>
      <c r="AG770" s="60">
        <f>IF(AF770=0,,H766)</f>
        <v>42037</v>
      </c>
      <c r="AH770" s="60">
        <f t="shared" si="161"/>
        <v>42037</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42037</v>
      </c>
      <c r="H771" s="291">
        <f t="shared" ref="H771:H773" si="167">AH771</f>
        <v>42037</v>
      </c>
      <c r="I771" s="746"/>
      <c r="J771"/>
      <c r="K771"/>
      <c r="L771"/>
      <c r="M771"/>
      <c r="N771"/>
      <c r="O771"/>
      <c r="P771"/>
      <c r="Q771"/>
      <c r="R771"/>
      <c r="S771"/>
      <c r="T771"/>
      <c r="U771"/>
      <c r="X771"/>
      <c r="AB771"/>
      <c r="AC771"/>
      <c r="AF771" s="361">
        <f>IF(S.EQC.ApprovePacketLoop2="Y",1,0)</f>
        <v>1</v>
      </c>
      <c r="AG771" s="60">
        <f>IF(AF771=0,,G770)</f>
        <v>42037</v>
      </c>
      <c r="AH771" s="60">
        <f t="shared" si="161"/>
        <v>42037</v>
      </c>
      <c r="AI771" s="59"/>
      <c r="AJ771" s="159"/>
      <c r="AK771" s="44"/>
      <c r="AL771" s="76"/>
    </row>
    <row r="772" spans="1:39" s="23" customFormat="1" ht="14.1" customHeight="1" outlineLevel="3" x14ac:dyDescent="0.2">
      <c r="A772" s="145"/>
      <c r="B772" s="469" t="s">
        <v>241</v>
      </c>
      <c r="C772" s="546" t="s">
        <v>0</v>
      </c>
      <c r="D772" s="716"/>
      <c r="E772" s="716"/>
      <c r="F772"/>
      <c r="G772" s="291">
        <f t="shared" si="166"/>
        <v>42037</v>
      </c>
      <c r="H772" s="291">
        <f t="shared" si="167"/>
        <v>42037</v>
      </c>
      <c r="I772" s="746"/>
      <c r="J772"/>
      <c r="K772"/>
      <c r="L772"/>
      <c r="M772"/>
      <c r="N772"/>
      <c r="O772"/>
      <c r="P772"/>
      <c r="Q772"/>
      <c r="R772"/>
      <c r="S772"/>
      <c r="T772"/>
      <c r="U772"/>
      <c r="X772"/>
      <c r="AB772"/>
      <c r="AC772"/>
      <c r="AF772" s="361">
        <f>IF(S.EQC.ApprovePacketLoop2="Y",1,0)</f>
        <v>1</v>
      </c>
      <c r="AG772" s="60">
        <f>IF(AF772=0,,G770)</f>
        <v>42037</v>
      </c>
      <c r="AH772" s="60">
        <f t="shared" si="161"/>
        <v>42037</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42037</v>
      </c>
      <c r="H773" s="291">
        <f t="shared" si="167"/>
        <v>42037</v>
      </c>
      <c r="I773" s="746"/>
      <c r="J773"/>
      <c r="K773"/>
      <c r="L773"/>
      <c r="M773"/>
      <c r="N773"/>
      <c r="O773"/>
      <c r="P773"/>
      <c r="Q773"/>
      <c r="R773"/>
      <c r="S773"/>
      <c r="T773"/>
      <c r="U773"/>
      <c r="X773"/>
      <c r="AB773"/>
      <c r="AC773"/>
      <c r="AF773" s="361">
        <f>IF(S.EQC.ApprovePacketLoop2="Y",1,0)</f>
        <v>1</v>
      </c>
      <c r="AG773" s="60">
        <f>IF(AF773=0,,G770)</f>
        <v>42037</v>
      </c>
      <c r="AH773" s="60">
        <f t="shared" si="161"/>
        <v>42037</v>
      </c>
      <c r="AI773" s="59"/>
      <c r="AJ773" s="159"/>
      <c r="AK773" s="44"/>
      <c r="AL773" s="76"/>
    </row>
    <row r="774" spans="1:39" ht="14.1" customHeight="1" outlineLevel="3" thickBot="1" x14ac:dyDescent="0.25">
      <c r="A774" s="145"/>
      <c r="B774" s="470" t="s">
        <v>244</v>
      </c>
      <c r="C774" s="481" t="s">
        <v>16</v>
      </c>
      <c r="D774" s="283"/>
      <c r="E774" s="283"/>
      <c r="F774"/>
      <c r="G774" s="291">
        <f t="shared" si="160"/>
        <v>42037</v>
      </c>
      <c r="H774" s="291">
        <f t="shared" si="160"/>
        <v>42037</v>
      </c>
      <c r="I774" s="746"/>
      <c r="AF774" s="361">
        <f>IF(S.EQC.ApprovePacketLoop3="Y",1,0)</f>
        <v>1</v>
      </c>
      <c r="AG774" s="60">
        <f>IF(AF774=0,,H770)</f>
        <v>42037</v>
      </c>
      <c r="AH774" s="60">
        <f t="shared" si="161"/>
        <v>42037</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42037</v>
      </c>
      <c r="H775" s="291">
        <f t="shared" si="160"/>
        <v>42037</v>
      </c>
      <c r="I775" s="746"/>
      <c r="J775"/>
      <c r="K775"/>
      <c r="L775"/>
      <c r="M775"/>
      <c r="N775"/>
      <c r="O775"/>
      <c r="P775"/>
      <c r="Q775"/>
      <c r="R775"/>
      <c r="S775"/>
      <c r="T775"/>
      <c r="U775"/>
      <c r="X775"/>
      <c r="AB775"/>
      <c r="AC775"/>
      <c r="AF775" s="361">
        <f>IF(S.EQC.ApprovePacketLoop3="Y",1,0)</f>
        <v>1</v>
      </c>
      <c r="AG775" s="60">
        <f>IF(AF775=0,,G774)</f>
        <v>42037</v>
      </c>
      <c r="AH775" s="60">
        <f t="shared" si="161"/>
        <v>42037</v>
      </c>
      <c r="AI775" s="59"/>
      <c r="AJ775" s="159"/>
      <c r="AK775" s="44"/>
      <c r="AL775" s="76"/>
    </row>
    <row r="776" spans="1:39" s="23" customFormat="1" ht="14.1" customHeight="1" outlineLevel="3" x14ac:dyDescent="0.2">
      <c r="A776" s="145"/>
      <c r="B776" s="471" t="s">
        <v>241</v>
      </c>
      <c r="C776" s="546" t="s">
        <v>0</v>
      </c>
      <c r="D776" s="716"/>
      <c r="E776" s="716"/>
      <c r="F776"/>
      <c r="G776" s="291">
        <f t="shared" si="160"/>
        <v>42037</v>
      </c>
      <c r="H776" s="291">
        <f t="shared" si="160"/>
        <v>42037</v>
      </c>
      <c r="I776" s="746"/>
      <c r="J776"/>
      <c r="K776"/>
      <c r="L776"/>
      <c r="M776"/>
      <c r="N776"/>
      <c r="O776"/>
      <c r="P776"/>
      <c r="Q776"/>
      <c r="R776"/>
      <c r="S776"/>
      <c r="T776"/>
      <c r="U776"/>
      <c r="X776"/>
      <c r="AB776"/>
      <c r="AC776"/>
      <c r="AF776" s="361">
        <f>IF(S.EQC.ApprovePacketLoop3="Y",1,0)</f>
        <v>1</v>
      </c>
      <c r="AG776" s="60">
        <f>IF(AF776=0,,G774)</f>
        <v>42037</v>
      </c>
      <c r="AH776" s="60">
        <f t="shared" si="161"/>
        <v>42037</v>
      </c>
      <c r="AI776" s="59"/>
      <c r="AJ776" s="159"/>
      <c r="AK776" s="44"/>
      <c r="AL776" s="76"/>
    </row>
    <row r="777" spans="1:39" s="23" customFormat="1" ht="14.1" customHeight="1" outlineLevel="3" x14ac:dyDescent="0.2">
      <c r="A777" s="145"/>
      <c r="B777" s="471" t="s">
        <v>241</v>
      </c>
      <c r="C777" s="546" t="s">
        <v>0</v>
      </c>
      <c r="D777" s="716"/>
      <c r="E777" s="716"/>
      <c r="F777"/>
      <c r="G777" s="291">
        <f t="shared" si="160"/>
        <v>42037</v>
      </c>
      <c r="H777" s="291">
        <f t="shared" si="160"/>
        <v>42037</v>
      </c>
      <c r="I777" s="746"/>
      <c r="J777"/>
      <c r="K777"/>
      <c r="L777"/>
      <c r="M777"/>
      <c r="N777"/>
      <c r="O777"/>
      <c r="P777"/>
      <c r="Q777"/>
      <c r="R777"/>
      <c r="S777"/>
      <c r="T777"/>
      <c r="U777"/>
      <c r="X777"/>
      <c r="AB777"/>
      <c r="AC777"/>
      <c r="AF777" s="361">
        <f>IF(S.EQC.ApprovePacketLoop3="Y",1,0)</f>
        <v>1</v>
      </c>
      <c r="AG777" s="60">
        <f>IF(AF777=0,,G774)</f>
        <v>42037</v>
      </c>
      <c r="AH777" s="60">
        <f t="shared" si="161"/>
        <v>42037</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1037" t="s">
        <v>348</v>
      </c>
      <c r="D780" s="1037"/>
      <c r="E780" s="1037"/>
      <c r="F780" s="1037"/>
      <c r="G780" s="1037"/>
      <c r="H780" s="1037"/>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1037" t="s">
        <v>295</v>
      </c>
      <c r="D781" s="1037"/>
      <c r="E781" s="1037"/>
      <c r="F781" s="1037"/>
      <c r="G781" s="1037"/>
      <c r="H781" s="1037"/>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1037" t="s">
        <v>296</v>
      </c>
      <c r="D782" s="1037"/>
      <c r="E782" s="1037"/>
      <c r="F782" s="1037"/>
      <c r="G782" s="1037"/>
      <c r="H782" s="1037"/>
      <c r="I782" s="1037"/>
      <c r="J782" s="1037"/>
      <c r="K782" s="1037"/>
      <c r="L782" s="1037"/>
      <c r="M782" s="1037"/>
      <c r="N782" s="1037"/>
      <c r="O782" s="1037"/>
      <c r="P782" s="1037"/>
      <c r="Q782" s="1037"/>
      <c r="R782" s="1037"/>
      <c r="S782" s="1037"/>
      <c r="T782" s="1037"/>
      <c r="U782" s="1037"/>
      <c r="V782" s="1037"/>
      <c r="W782" s="1037"/>
      <c r="X782" s="1037"/>
      <c r="Y782" s="1037"/>
      <c r="Z782" s="1037"/>
      <c r="AA782" s="1037"/>
      <c r="AB782" s="1037"/>
      <c r="AC782" s="1037"/>
      <c r="AD782" s="1037"/>
      <c r="AF782" s="361">
        <f t="shared" si="168"/>
        <v>0</v>
      </c>
      <c r="AG782" s="80"/>
      <c r="AH782" s="80"/>
      <c r="AI782" s="59"/>
      <c r="AJ782" s="44"/>
      <c r="AK782" s="44"/>
      <c r="AL782" s="76"/>
    </row>
    <row r="783" spans="1:39" s="23" customFormat="1" ht="14.1" customHeight="1" outlineLevel="2" x14ac:dyDescent="0.2">
      <c r="A783" s="145"/>
      <c r="B783" s="900" t="s">
        <v>714</v>
      </c>
      <c r="C783" s="1037" t="s">
        <v>297</v>
      </c>
      <c r="D783" s="1037"/>
      <c r="E783" s="1037"/>
      <c r="F783" s="1037"/>
      <c r="G783" s="1037"/>
      <c r="H783" s="1037"/>
      <c r="I783" s="1037"/>
      <c r="J783" s="1037"/>
      <c r="K783" s="1037"/>
      <c r="L783" s="1037"/>
      <c r="M783" s="1037"/>
      <c r="N783" s="1037"/>
      <c r="O783" s="1037"/>
      <c r="P783" s="1037"/>
      <c r="Q783" s="1037"/>
      <c r="R783" s="1037"/>
      <c r="S783" s="1037"/>
      <c r="T783" s="1037"/>
      <c r="U783" s="1037"/>
      <c r="V783" s="1037"/>
      <c r="W783" s="1037"/>
      <c r="X783" s="1037"/>
      <c r="Y783" s="1037"/>
      <c r="Z783" s="1037"/>
      <c r="AA783" s="1037"/>
      <c r="AB783" s="1037"/>
      <c r="AC783" s="1037"/>
      <c r="AD783" s="1037"/>
      <c r="AF783" s="361">
        <f t="shared" si="168"/>
        <v>0</v>
      </c>
      <c r="AG783" s="80"/>
      <c r="AH783" s="80"/>
      <c r="AI783" s="59"/>
      <c r="AJ783" s="44"/>
      <c r="AK783" s="44"/>
      <c r="AL783" s="76"/>
    </row>
    <row r="784" spans="1:39" s="23" customFormat="1" ht="14.1" customHeight="1" outlineLevel="2" x14ac:dyDescent="0.2">
      <c r="A784" s="145"/>
      <c r="B784" s="900" t="s">
        <v>714</v>
      </c>
      <c r="C784" s="1037" t="s">
        <v>298</v>
      </c>
      <c r="D784" s="1037"/>
      <c r="E784" s="1037"/>
      <c r="F784" s="1037"/>
      <c r="G784" s="1037"/>
      <c r="H784" s="1037"/>
      <c r="I784" s="1037"/>
      <c r="J784" s="1037"/>
      <c r="K784" s="1037"/>
      <c r="L784" s="1037"/>
      <c r="M784" s="1037"/>
      <c r="N784" s="1037"/>
      <c r="O784" s="1037"/>
      <c r="P784" s="1037"/>
      <c r="Q784" s="1037"/>
      <c r="R784" s="1037"/>
      <c r="S784" s="1037"/>
      <c r="T784" s="1037"/>
      <c r="U784" s="1037"/>
      <c r="V784" s="1037"/>
      <c r="W784" s="1037"/>
      <c r="X784" s="1037"/>
      <c r="Y784" s="1037"/>
      <c r="Z784" s="1037"/>
      <c r="AA784" s="1037"/>
      <c r="AB784" s="1037"/>
      <c r="AC784" s="1037"/>
      <c r="AD784" s="1037"/>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42037</v>
      </c>
      <c r="H794" s="437">
        <f t="shared" si="173"/>
        <v>42077</v>
      </c>
      <c r="I794" s="746"/>
      <c r="AF794" s="361">
        <v>1</v>
      </c>
      <c r="AG794" s="60">
        <f>H787</f>
        <v>42037</v>
      </c>
      <c r="AH794" s="60">
        <f>S.EQC.Meeting-1</f>
        <v>42077</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42077</v>
      </c>
      <c r="H795" s="437">
        <f t="shared" ref="H795:H796" si="175">AH795</f>
        <v>42077</v>
      </c>
      <c r="I795" s="746"/>
      <c r="AF795" s="361">
        <v>1</v>
      </c>
      <c r="AG795" s="60">
        <f>H788</f>
        <v>42077</v>
      </c>
      <c r="AH795" s="60">
        <f>S.EQC.Meeting-1</f>
        <v>42077</v>
      </c>
      <c r="AI795" s="59"/>
      <c r="AJ795" s="44"/>
      <c r="AK795" s="44" t="s">
        <v>0</v>
      </c>
      <c r="AL795" s="76"/>
      <c r="AM795"/>
    </row>
    <row r="796" spans="1:39" ht="14.1" customHeight="1" outlineLevel="2" x14ac:dyDescent="0.2">
      <c r="A796" s="145"/>
      <c r="B796" s="456" t="s">
        <v>237</v>
      </c>
      <c r="C796" s="268" t="s">
        <v>0</v>
      </c>
      <c r="D796" s="308"/>
      <c r="E796" s="308"/>
      <c r="F796"/>
      <c r="G796" s="437">
        <f t="shared" si="174"/>
        <v>42077</v>
      </c>
      <c r="H796" s="437">
        <f t="shared" si="175"/>
        <v>42077</v>
      </c>
      <c r="I796" s="746"/>
      <c r="AF796" s="361">
        <v>1</v>
      </c>
      <c r="AG796" s="60">
        <f>G795</f>
        <v>42077</v>
      </c>
      <c r="AH796" s="60">
        <f>S.EQC.Meeting-1</f>
        <v>42077</v>
      </c>
      <c r="AI796" s="59"/>
      <c r="AJ796" s="43"/>
      <c r="AK796" s="43"/>
      <c r="AL796" s="76"/>
      <c r="AM796"/>
    </row>
    <row r="797" spans="1:39" ht="14.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15" t="s">
        <v>199</v>
      </c>
      <c r="C801" s="1015"/>
      <c r="D801" s="1015"/>
      <c r="E801" s="1015"/>
      <c r="F801" s="1015"/>
      <c r="G801" s="1015"/>
      <c r="H801" s="1015"/>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42078</v>
      </c>
      <c r="I808" s="746"/>
      <c r="AF808" s="361">
        <v>1</v>
      </c>
      <c r="AG808" s="80"/>
      <c r="AH808" s="60">
        <f t="shared" ref="AH808" si="177">S.PostEQC.BANNER.Begin</f>
        <v>42078</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42078</v>
      </c>
      <c r="I815" s="746"/>
      <c r="AF815" s="361">
        <f>IF(S.PostEQC.NotifyStakeholders="N",,1)</f>
        <v>1</v>
      </c>
      <c r="AG815" s="80"/>
      <c r="AH815" s="60">
        <f>IF(AF815=0,,S.PostEQC.BANNER.Begin)</f>
        <v>42078</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42078</v>
      </c>
      <c r="I819" s="746"/>
      <c r="AF819" s="361">
        <v>1</v>
      </c>
      <c r="AG819" s="80"/>
      <c r="AH819" s="60">
        <f>S.PostEQC.BANNER.Begin</f>
        <v>42078</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42080</v>
      </c>
      <c r="I826" s="746"/>
      <c r="AF826" s="361">
        <v>1</v>
      </c>
      <c r="AG826" s="47"/>
      <c r="AH826" s="60">
        <f>S.PostEQC.FileRuleWithSOS</f>
        <v>42080</v>
      </c>
      <c r="AI826" s="59"/>
      <c r="AJ826" s="61"/>
      <c r="AK826" s="44"/>
      <c r="AL826" s="76"/>
      <c r="AM826"/>
    </row>
    <row r="827" spans="1:39" s="23" customFormat="1" ht="14.1" customHeight="1" outlineLevel="2" x14ac:dyDescent="0.2">
      <c r="A827" s="145"/>
      <c r="B827" s="310" t="s">
        <v>47</v>
      </c>
      <c r="C827" s="324"/>
      <c r="D827" s="357"/>
      <c r="E827" s="751"/>
      <c r="F827"/>
      <c r="G827"/>
      <c r="H827" s="256">
        <f t="shared" si="187"/>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42080</v>
      </c>
      <c r="H845" s="256">
        <f t="shared" ref="H845" si="190">AH845</f>
        <v>42080</v>
      </c>
      <c r="I845" s="746"/>
      <c r="J845"/>
      <c r="K845"/>
      <c r="L845"/>
      <c r="M845"/>
      <c r="N845"/>
      <c r="O845"/>
      <c r="P845"/>
      <c r="Q845"/>
      <c r="R845"/>
      <c r="S845"/>
      <c r="T845"/>
      <c r="U845"/>
      <c r="X845"/>
      <c r="AB845"/>
      <c r="AC845"/>
      <c r="AF845" s="361">
        <v>1</v>
      </c>
      <c r="AG845" s="60">
        <f>S.PostEQC.FileRuleWithSOS</f>
        <v>42080</v>
      </c>
      <c r="AH845" s="60">
        <f t="shared" ref="AH845" si="191">G845</f>
        <v>42080</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42095</v>
      </c>
      <c r="H853" s="256">
        <f t="shared" si="193"/>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42095</v>
      </c>
      <c r="H854" s="256">
        <f t="shared" si="193"/>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42078</v>
      </c>
      <c r="H855" s="256">
        <f t="shared" si="193"/>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64</v>
      </c>
      <c r="G857" s="299">
        <f t="shared" ref="G857:H857" si="195">AG857</f>
        <v>42080</v>
      </c>
      <c r="H857" s="299">
        <f t="shared" si="195"/>
        <v>42170</v>
      </c>
      <c r="I857" s="746"/>
      <c r="AF857" s="361">
        <v>1</v>
      </c>
      <c r="AG857" s="60">
        <f>AH845</f>
        <v>42080</v>
      </c>
      <c r="AH857" s="60">
        <f>S.PostEQC.BANNER.End</f>
        <v>42170</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64</v>
      </c>
      <c r="G864" s="299">
        <f t="shared" ref="G864" si="199">AG864</f>
        <v>42080</v>
      </c>
      <c r="H864" s="299">
        <f t="shared" ref="H864" si="200">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45" t="s">
        <v>40</v>
      </c>
      <c r="C2" s="1045"/>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45" t="s">
        <v>41</v>
      </c>
      <c r="C9" s="1045"/>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45" t="s">
        <v>51</v>
      </c>
      <c r="C14" s="1045"/>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46" t="s">
        <v>139</v>
      </c>
      <c r="C2" s="1046"/>
      <c r="D2" s="1046"/>
      <c r="E2" s="1046"/>
      <c r="F2" s="1046"/>
      <c r="G2" s="1046"/>
      <c r="H2" s="1046"/>
      <c r="I2" s="1046"/>
      <c r="J2" s="1046"/>
      <c r="K2" s="1046"/>
      <c r="L2" s="1046"/>
      <c r="M2" s="1046"/>
      <c r="N2" s="1046"/>
      <c r="O2" s="1046"/>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47" t="s">
        <v>140</v>
      </c>
      <c r="D4" s="1047"/>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2" t="str">
        <f>S.General.RulemakingTitle</f>
        <v>Grants Pass Limited Maintenance Plans for CO and PM10</v>
      </c>
      <c r="B1" s="1052"/>
      <c r="C1" s="1052"/>
      <c r="D1" s="637"/>
      <c r="E1" s="75"/>
      <c r="F1" s="1049" t="str">
        <f>S.General.CodeName</f>
        <v>GPLMP</v>
      </c>
      <c r="G1" s="1049"/>
      <c r="H1" s="1049"/>
      <c r="I1" s="1049"/>
      <c r="J1" s="1049"/>
      <c r="K1" s="75"/>
      <c r="L1" s="75"/>
      <c r="M1" s="75"/>
      <c r="N1" s="1055" t="s">
        <v>0</v>
      </c>
      <c r="O1" s="1055"/>
      <c r="P1" s="1055"/>
      <c r="Q1" s="1055"/>
      <c r="R1" s="105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3" t="s">
        <v>356</v>
      </c>
      <c r="B2" s="1053"/>
      <c r="C2" s="1053"/>
      <c r="D2" s="638"/>
      <c r="E2" s="596"/>
      <c r="F2" s="1048">
        <f ca="1">A3</f>
        <v>41950</v>
      </c>
      <c r="G2" s="1048"/>
      <c r="H2" s="1048"/>
      <c r="I2" s="1048"/>
      <c r="J2" s="1048"/>
      <c r="K2" s="1048"/>
      <c r="L2" s="1048"/>
      <c r="M2" s="1048">
        <f ca="1">M4</f>
        <v>41953</v>
      </c>
      <c r="N2" s="1048"/>
      <c r="O2" s="1048"/>
      <c r="P2" s="1048"/>
      <c r="Q2" s="1048"/>
      <c r="R2" s="1048"/>
      <c r="S2" s="1048"/>
      <c r="T2" s="1048">
        <f ca="1">T4</f>
        <v>41960</v>
      </c>
      <c r="U2" s="1048"/>
      <c r="V2" s="1048"/>
      <c r="W2" s="1048"/>
      <c r="X2" s="1048"/>
      <c r="Y2" s="1048"/>
      <c r="Z2" s="1048"/>
      <c r="AA2" s="1048">
        <f ca="1">AA4</f>
        <v>41967</v>
      </c>
      <c r="AB2" s="1048"/>
      <c r="AC2" s="1048"/>
      <c r="AD2" s="1048"/>
      <c r="AE2" s="1048"/>
      <c r="AF2" s="1048"/>
      <c r="AG2" s="1048"/>
      <c r="AH2" s="1048">
        <f ca="1">AH4</f>
        <v>41974</v>
      </c>
      <c r="AI2" s="1048"/>
      <c r="AJ2" s="1048"/>
      <c r="AK2" s="1048"/>
      <c r="AL2" s="1048"/>
      <c r="AM2" s="1048"/>
      <c r="AN2" s="1048"/>
      <c r="AO2" s="1048">
        <f ca="1">AO4</f>
        <v>41981</v>
      </c>
      <c r="AP2" s="1048"/>
      <c r="AQ2" s="1048"/>
      <c r="AR2" s="1048"/>
      <c r="AS2" s="1048"/>
      <c r="AT2" s="1048"/>
      <c r="AU2" s="1048"/>
      <c r="AV2" s="1048">
        <f ca="1">AV4</f>
        <v>41988</v>
      </c>
      <c r="AW2" s="1048"/>
      <c r="AX2" s="1048"/>
      <c r="AY2" s="1048"/>
      <c r="AZ2" s="1048"/>
      <c r="BA2" s="1048"/>
      <c r="BB2" s="1048"/>
      <c r="BC2" s="1048">
        <f ca="1">BC4</f>
        <v>41995</v>
      </c>
      <c r="BD2" s="1048"/>
      <c r="BE2" s="1048"/>
      <c r="BF2" s="1048"/>
      <c r="BG2" s="1048"/>
      <c r="BH2" s="1048"/>
      <c r="BI2" s="1048"/>
    </row>
    <row r="3" spans="1:61" ht="18.75" thickBot="1" x14ac:dyDescent="0.25">
      <c r="A3" s="1054">
        <f ca="1">TODAY()+E4</f>
        <v>41950</v>
      </c>
      <c r="B3" s="1054"/>
      <c r="C3" s="1054"/>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0" t="s">
        <v>355</v>
      </c>
      <c r="B4" s="1050"/>
      <c r="C4" s="1051"/>
      <c r="D4" s="636"/>
      <c r="E4" s="590">
        <v>0</v>
      </c>
      <c r="F4" s="591" t="str">
        <f ca="1">IF(WEEKDAY($A$3,3)&lt;&gt;0,"-",$A$3)</f>
        <v>-</v>
      </c>
      <c r="G4" s="591" t="str">
        <f ca="1">IF(WEEKDAY($A$3,3)=1,$A$3,IF(WEEKDAY($A$3,3)&lt;1,F4+1,"-"))</f>
        <v>-</v>
      </c>
      <c r="H4" s="591" t="str">
        <f ca="1">IF(WEEKDAY($A$3,3)=2,$A$3,IF(WEEKDAY($A$3,3)&lt;2,G4+1,"-"))</f>
        <v>-</v>
      </c>
      <c r="I4" s="591" t="str">
        <f ca="1">IF(WEEKDAY($A$3,3)=3,$A$3,IF(WEEKDAY($A$3,3)&lt;3,H4+1,"-"))</f>
        <v>-</v>
      </c>
      <c r="J4" s="591">
        <f ca="1">IF(WEEKDAY($A$3,3)=4,$A$3,IF(WEEKDAY($A$3,3)&lt;4,I4+1,"-"))</f>
        <v>41950</v>
      </c>
      <c r="K4" s="592">
        <f ca="1">IF(WEEKDAY($A$3,3)=5,$A$3,IF(WEEKDAY($A$3,3)&lt;5,J4+1,"-"))</f>
        <v>41951</v>
      </c>
      <c r="L4" s="592">
        <f ca="1">IF(WEEKDAY($A$3,3)=6,$A$3,IF(WEEKDAY($A$3,3)&lt;6,K4+1,"-"))</f>
        <v>41952</v>
      </c>
      <c r="M4" s="593">
        <f ca="1">L4+1</f>
        <v>41953</v>
      </c>
      <c r="N4" s="593">
        <f t="shared" ref="N4:AG4" ca="1" si="0">M4+1</f>
        <v>41954</v>
      </c>
      <c r="O4" s="593">
        <f t="shared" ca="1" si="0"/>
        <v>41955</v>
      </c>
      <c r="P4" s="593">
        <f t="shared" ca="1" si="0"/>
        <v>41956</v>
      </c>
      <c r="Q4" s="593">
        <f t="shared" ca="1" si="0"/>
        <v>41957</v>
      </c>
      <c r="R4" s="594">
        <f t="shared" ca="1" si="0"/>
        <v>41958</v>
      </c>
      <c r="S4" s="594">
        <f t="shared" ca="1" si="0"/>
        <v>41959</v>
      </c>
      <c r="T4" s="593">
        <f t="shared" ca="1" si="0"/>
        <v>41960</v>
      </c>
      <c r="U4" s="593">
        <f t="shared" ca="1" si="0"/>
        <v>41961</v>
      </c>
      <c r="V4" s="593">
        <f t="shared" ca="1" si="0"/>
        <v>41962</v>
      </c>
      <c r="W4" s="593">
        <f t="shared" ca="1" si="0"/>
        <v>41963</v>
      </c>
      <c r="X4" s="593">
        <f t="shared" ca="1" si="0"/>
        <v>41964</v>
      </c>
      <c r="Y4" s="594">
        <f t="shared" ca="1" si="0"/>
        <v>41965</v>
      </c>
      <c r="Z4" s="594">
        <f t="shared" ca="1" si="0"/>
        <v>41966</v>
      </c>
      <c r="AA4" s="593">
        <f t="shared" ca="1" si="0"/>
        <v>41967</v>
      </c>
      <c r="AB4" s="593">
        <f t="shared" ca="1" si="0"/>
        <v>41968</v>
      </c>
      <c r="AC4" s="593">
        <f t="shared" ca="1" si="0"/>
        <v>41969</v>
      </c>
      <c r="AD4" s="593">
        <f t="shared" ca="1" si="0"/>
        <v>41970</v>
      </c>
      <c r="AE4" s="593">
        <f t="shared" ca="1" si="0"/>
        <v>41971</v>
      </c>
      <c r="AF4" s="594">
        <f t="shared" ca="1" si="0"/>
        <v>41972</v>
      </c>
      <c r="AG4" s="594">
        <f t="shared" ca="1" si="0"/>
        <v>41973</v>
      </c>
      <c r="AH4" s="593">
        <f t="shared" ref="AH4:BI4" ca="1" si="1">AG4+1</f>
        <v>41974</v>
      </c>
      <c r="AI4" s="593">
        <f t="shared" ca="1" si="1"/>
        <v>41975</v>
      </c>
      <c r="AJ4" s="593">
        <f t="shared" ca="1" si="1"/>
        <v>41976</v>
      </c>
      <c r="AK4" s="593">
        <f t="shared" ca="1" si="1"/>
        <v>41977</v>
      </c>
      <c r="AL4" s="593">
        <f t="shared" ca="1" si="1"/>
        <v>41978</v>
      </c>
      <c r="AM4" s="594">
        <f t="shared" ca="1" si="1"/>
        <v>41979</v>
      </c>
      <c r="AN4" s="594">
        <f t="shared" ca="1" si="1"/>
        <v>41980</v>
      </c>
      <c r="AO4" s="593">
        <f t="shared" ca="1" si="1"/>
        <v>41981</v>
      </c>
      <c r="AP4" s="593">
        <f t="shared" ca="1" si="1"/>
        <v>41982</v>
      </c>
      <c r="AQ4" s="593">
        <f t="shared" ca="1" si="1"/>
        <v>41983</v>
      </c>
      <c r="AR4" s="593">
        <f t="shared" ca="1" si="1"/>
        <v>41984</v>
      </c>
      <c r="AS4" s="593">
        <f t="shared" ca="1" si="1"/>
        <v>41985</v>
      </c>
      <c r="AT4" s="594">
        <f t="shared" ca="1" si="1"/>
        <v>41986</v>
      </c>
      <c r="AU4" s="594">
        <f t="shared" ca="1" si="1"/>
        <v>41987</v>
      </c>
      <c r="AV4" s="593">
        <f t="shared" ca="1" si="1"/>
        <v>41988</v>
      </c>
      <c r="AW4" s="593">
        <f t="shared" ca="1" si="1"/>
        <v>41989</v>
      </c>
      <c r="AX4" s="593">
        <f t="shared" ca="1" si="1"/>
        <v>41990</v>
      </c>
      <c r="AY4" s="593">
        <f t="shared" ca="1" si="1"/>
        <v>41991</v>
      </c>
      <c r="AZ4" s="593">
        <f t="shared" ca="1" si="1"/>
        <v>41992</v>
      </c>
      <c r="BA4" s="594">
        <f t="shared" ca="1" si="1"/>
        <v>41993</v>
      </c>
      <c r="BB4" s="594">
        <f t="shared" ca="1" si="1"/>
        <v>41994</v>
      </c>
      <c r="BC4" s="593">
        <f t="shared" ca="1" si="1"/>
        <v>41995</v>
      </c>
      <c r="BD4" s="593">
        <f t="shared" ca="1" si="1"/>
        <v>41996</v>
      </c>
      <c r="BE4" s="593">
        <f t="shared" ca="1" si="1"/>
        <v>41997</v>
      </c>
      <c r="BF4" s="593">
        <f t="shared" ca="1" si="1"/>
        <v>41998</v>
      </c>
      <c r="BG4" s="593">
        <f t="shared" ca="1" si="1"/>
        <v>41999</v>
      </c>
      <c r="BH4" s="594">
        <f t="shared" ca="1" si="1"/>
        <v>42000</v>
      </c>
      <c r="BI4" s="594">
        <f t="shared" ca="1" si="1"/>
        <v>42001</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42027</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42024</v>
      </c>
      <c r="C49" s="608">
        <f>S.Notice.LastHearingDate</f>
        <v>42024</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58" t="s">
        <v>482</v>
      </c>
      <c r="C4" s="1058"/>
      <c r="D4" s="1058"/>
      <c r="E4" s="1058"/>
      <c r="F4" s="1058"/>
      <c r="G4" s="1058"/>
      <c r="H4" s="1058"/>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56" t="s">
        <v>342</v>
      </c>
      <c r="C31" s="1057"/>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56" t="s">
        <v>344</v>
      </c>
      <c r="C36" s="1057"/>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2" t="str">
        <f>S.General.RulemakingTitle</f>
        <v>Grants Pass Limited Maintenance Plans for CO and PM10</v>
      </c>
      <c r="C2" s="1062"/>
      <c r="D2" s="1062"/>
      <c r="E2" s="1062"/>
      <c r="F2" s="75"/>
      <c r="G2" s="527">
        <f ca="1">TODAY()</f>
        <v>41950</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59"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0"/>
      <c r="F5" s="75"/>
      <c r="G5" s="779"/>
      <c r="H5" s="75"/>
      <c r="I5" s="75"/>
      <c r="J5" s="75"/>
      <c r="K5" s="75"/>
      <c r="L5" s="75"/>
      <c r="M5" s="75"/>
      <c r="N5" s="75"/>
      <c r="O5" s="75"/>
    </row>
    <row r="6" spans="1:15" ht="15" thickTop="1" x14ac:dyDescent="0.2">
      <c r="A6" s="75"/>
      <c r="B6" s="451" t="str">
        <f>S.Hearing.1stCity</f>
        <v>Grants Pass</v>
      </c>
      <c r="C6" s="789">
        <f>S.Hearing.1stDate</f>
        <v>42024</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1" t="s">
        <v>230</v>
      </c>
      <c r="C17" s="1061"/>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NOTICE.AD2None</v>
      </c>
      <c r="C19" s="789">
        <f>S.Notice.AD.PubDate2</f>
        <v>41989</v>
      </c>
      <c r="D19" s="452"/>
      <c r="E19" s="75"/>
      <c r="F19" s="75"/>
      <c r="G19" s="499"/>
      <c r="H19" s="75"/>
      <c r="I19" s="75"/>
      <c r="J19" s="75"/>
      <c r="K19" s="75"/>
      <c r="L19" s="75"/>
      <c r="M19" s="75"/>
      <c r="N19" s="75"/>
      <c r="O19" s="75"/>
    </row>
    <row r="20" spans="1:15" x14ac:dyDescent="0.2">
      <c r="A20" s="75"/>
      <c r="B20" s="451" t="str">
        <f>S.Notice.AD.PubID3</f>
        <v>NOTICE.AD3None</v>
      </c>
      <c r="C20" s="789">
        <f>S.Notice.AD.PubDate3</f>
        <v>41989</v>
      </c>
      <c r="D20" s="452"/>
      <c r="E20" s="75"/>
      <c r="F20" s="75"/>
      <c r="G20" s="499"/>
      <c r="H20" s="75"/>
      <c r="I20" s="75"/>
      <c r="J20" s="75"/>
      <c r="K20" s="75"/>
      <c r="L20" s="75"/>
      <c r="M20" s="75"/>
      <c r="N20" s="75"/>
      <c r="O20" s="75"/>
    </row>
    <row r="21" spans="1:15" x14ac:dyDescent="0.2">
      <c r="A21" s="75"/>
      <c r="B21" s="451" t="str">
        <f>S.Notice.AD.PubID4</f>
        <v>NOTICE.AD4None</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4" t="s">
        <v>349</v>
      </c>
      <c r="H4" s="1064"/>
      <c r="I4" s="1064"/>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4"/>
      <c r="H5" s="1064"/>
      <c r="I5" s="1064"/>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4"/>
      <c r="H6" s="1064"/>
      <c r="I6" s="1064"/>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4"/>
      <c r="H7" s="1064"/>
      <c r="I7" s="1064"/>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3" t="s">
        <v>34</v>
      </c>
      <c r="K27" s="1063"/>
      <c r="L27" s="1063"/>
      <c r="M27" s="1063"/>
      <c r="N27" s="1063"/>
      <c r="O27" s="1063"/>
      <c r="P27" s="1063"/>
      <c r="Q27" s="53"/>
      <c r="R27" s="2"/>
      <c r="S27" s="2"/>
      <c r="T27" s="2"/>
    </row>
    <row r="28" spans="1:20" x14ac:dyDescent="0.25">
      <c r="A28" s="22">
        <v>41275</v>
      </c>
      <c r="B28" s="20" t="s">
        <v>5</v>
      </c>
      <c r="C28" s="30">
        <f>A28</f>
        <v>41275</v>
      </c>
      <c r="D28" s="30"/>
      <c r="E28" s="55"/>
      <c r="F28" s="55"/>
      <c r="G28" s="55"/>
      <c r="H28" s="55"/>
      <c r="I28" s="2"/>
      <c r="J28" s="1063"/>
      <c r="K28" s="1063"/>
      <c r="L28" s="1063"/>
      <c r="M28" s="1063"/>
      <c r="N28" s="1063"/>
      <c r="O28" s="1063"/>
      <c r="P28" s="1063"/>
      <c r="Q28" s="53"/>
      <c r="R28" s="2"/>
      <c r="S28" s="2"/>
      <c r="T28" s="2"/>
    </row>
    <row r="29" spans="1:20" x14ac:dyDescent="0.25">
      <c r="A29" s="22">
        <v>41292</v>
      </c>
      <c r="B29" s="20" t="s">
        <v>3</v>
      </c>
      <c r="C29" s="30">
        <f t="shared" ref="C29:C76" si="8">A29</f>
        <v>41292</v>
      </c>
      <c r="D29" s="30"/>
      <c r="E29" s="55"/>
      <c r="F29" s="55"/>
      <c r="G29" s="55"/>
      <c r="H29" s="55"/>
      <c r="I29" s="2"/>
      <c r="J29" s="1063"/>
      <c r="K29" s="1063"/>
      <c r="L29" s="1063"/>
      <c r="M29" s="1063"/>
      <c r="N29" s="1063"/>
      <c r="O29" s="1063"/>
      <c r="P29" s="1063"/>
      <c r="Q29" s="53"/>
      <c r="R29" s="2"/>
      <c r="S29" s="2"/>
      <c r="T29" s="2"/>
    </row>
    <row r="30" spans="1:20" x14ac:dyDescent="0.25">
      <c r="A30" s="22">
        <v>41295</v>
      </c>
      <c r="B30" s="20" t="s">
        <v>6</v>
      </c>
      <c r="C30" s="30">
        <f t="shared" si="8"/>
        <v>41295</v>
      </c>
      <c r="D30" s="30"/>
      <c r="E30" s="55"/>
      <c r="F30" s="55"/>
      <c r="G30" s="55"/>
      <c r="H30" s="55"/>
      <c r="I30" s="2"/>
      <c r="J30" s="1063"/>
      <c r="K30" s="1063"/>
      <c r="L30" s="1063"/>
      <c r="M30" s="1063"/>
      <c r="N30" s="1063"/>
      <c r="O30" s="1063"/>
      <c r="P30" s="1063"/>
      <c r="Q30" s="53"/>
      <c r="R30" s="2"/>
      <c r="S30" s="2"/>
      <c r="T30" s="2"/>
    </row>
    <row r="31" spans="1:20" x14ac:dyDescent="0.25">
      <c r="A31" s="22">
        <v>41323</v>
      </c>
      <c r="B31" s="20" t="s">
        <v>7</v>
      </c>
      <c r="C31" s="30">
        <f t="shared" si="8"/>
        <v>41323</v>
      </c>
      <c r="D31" s="30"/>
      <c r="E31" s="55"/>
      <c r="F31" s="55"/>
      <c r="G31" s="55"/>
      <c r="H31" s="55"/>
      <c r="I31" s="2"/>
      <c r="J31" s="1063"/>
      <c r="K31" s="1063"/>
      <c r="L31" s="1063"/>
      <c r="M31" s="1063"/>
      <c r="N31" s="1063"/>
      <c r="O31" s="1063"/>
      <c r="P31" s="1063"/>
      <c r="Q31" s="53"/>
      <c r="R31" s="2"/>
      <c r="S31" s="2"/>
      <c r="T31" s="2"/>
    </row>
    <row r="32" spans="1:20" x14ac:dyDescent="0.25">
      <c r="A32" s="22">
        <v>41383</v>
      </c>
      <c r="B32" s="20" t="s">
        <v>3</v>
      </c>
      <c r="C32" s="30">
        <f t="shared" si="8"/>
        <v>41383</v>
      </c>
      <c r="D32" s="30"/>
      <c r="E32" s="55"/>
      <c r="F32" s="55"/>
      <c r="G32" s="55"/>
      <c r="H32" s="55"/>
      <c r="I32" s="2"/>
      <c r="J32" s="1063"/>
      <c r="K32" s="1063"/>
      <c r="L32" s="1063"/>
      <c r="M32" s="1063"/>
      <c r="N32" s="1063"/>
      <c r="O32" s="1063"/>
      <c r="P32" s="1063"/>
      <c r="Q32" s="53"/>
      <c r="R32" s="2"/>
      <c r="S32" s="2"/>
      <c r="T32" s="2"/>
    </row>
    <row r="33" spans="1:20" x14ac:dyDescent="0.25">
      <c r="A33" s="22">
        <v>41418</v>
      </c>
      <c r="B33" s="20" t="s">
        <v>3</v>
      </c>
      <c r="C33" s="30">
        <f t="shared" si="8"/>
        <v>41418</v>
      </c>
      <c r="D33" s="30"/>
      <c r="E33" s="55"/>
      <c r="F33" s="55"/>
      <c r="G33" s="55"/>
      <c r="H33" s="55"/>
      <c r="I33" s="2"/>
      <c r="J33" s="1063"/>
      <c r="K33" s="1063"/>
      <c r="L33" s="1063"/>
      <c r="M33" s="1063"/>
      <c r="N33" s="1063"/>
      <c r="O33" s="1063"/>
      <c r="P33" s="1063"/>
      <c r="Q33" s="53"/>
      <c r="R33" s="2"/>
      <c r="S33" s="2"/>
      <c r="T33" s="2"/>
    </row>
    <row r="34" spans="1:20" x14ac:dyDescent="0.25">
      <c r="A34" s="22">
        <v>41421</v>
      </c>
      <c r="B34" s="20" t="s">
        <v>8</v>
      </c>
      <c r="C34" s="30">
        <f t="shared" si="8"/>
        <v>41421</v>
      </c>
      <c r="D34" s="30"/>
      <c r="E34" s="55"/>
      <c r="F34" s="55"/>
      <c r="G34" s="55"/>
      <c r="H34" s="55"/>
      <c r="I34" s="2"/>
      <c r="J34" s="1063"/>
      <c r="K34" s="1063"/>
      <c r="L34" s="1063"/>
      <c r="M34" s="1063"/>
      <c r="N34" s="1063"/>
      <c r="O34" s="1063"/>
      <c r="P34" s="1063"/>
      <c r="Q34" s="53"/>
      <c r="R34" s="2"/>
      <c r="S34" s="2"/>
      <c r="T34" s="2"/>
    </row>
    <row r="35" spans="1:20" x14ac:dyDescent="0.25">
      <c r="A35" s="22">
        <v>41459</v>
      </c>
      <c r="B35" s="20" t="s">
        <v>9</v>
      </c>
      <c r="C35" s="30">
        <f t="shared" si="8"/>
        <v>41459</v>
      </c>
      <c r="D35" s="30"/>
      <c r="E35" s="55"/>
      <c r="F35" s="55"/>
      <c r="G35" s="55"/>
      <c r="H35" s="55"/>
      <c r="I35" s="2"/>
      <c r="J35" s="1063"/>
      <c r="K35" s="1063"/>
      <c r="L35" s="1063"/>
      <c r="M35" s="1063"/>
      <c r="N35" s="1063"/>
      <c r="O35" s="1063"/>
      <c r="P35" s="1063"/>
      <c r="Q35" s="53"/>
      <c r="R35" s="2"/>
      <c r="S35" s="2"/>
      <c r="T35" s="2"/>
    </row>
    <row r="36" spans="1:20" x14ac:dyDescent="0.25">
      <c r="A36" s="22">
        <v>41519</v>
      </c>
      <c r="B36" s="20" t="s">
        <v>10</v>
      </c>
      <c r="C36" s="30">
        <f t="shared" si="8"/>
        <v>41519</v>
      </c>
      <c r="D36" s="30"/>
      <c r="E36" s="55"/>
      <c r="F36" s="55"/>
      <c r="G36" s="55"/>
      <c r="H36" s="55"/>
      <c r="I36" s="2"/>
      <c r="J36" s="1063"/>
      <c r="K36" s="1063"/>
      <c r="L36" s="1063"/>
      <c r="M36" s="1063"/>
      <c r="N36" s="1063"/>
      <c r="O36" s="1063"/>
      <c r="P36" s="1063"/>
      <c r="Q36" s="53"/>
      <c r="R36" s="2"/>
      <c r="S36" s="2"/>
      <c r="T36" s="2"/>
    </row>
    <row r="37" spans="1:20" x14ac:dyDescent="0.25">
      <c r="A37" s="22">
        <v>41589</v>
      </c>
      <c r="B37" s="20" t="s">
        <v>1</v>
      </c>
      <c r="C37" s="30">
        <f t="shared" si="8"/>
        <v>41589</v>
      </c>
      <c r="D37" s="30"/>
      <c r="E37" s="55"/>
      <c r="F37" s="55"/>
      <c r="G37" s="55"/>
      <c r="H37" s="55"/>
      <c r="I37" s="2"/>
      <c r="J37" s="1063"/>
      <c r="K37" s="1063"/>
      <c r="L37" s="1063"/>
      <c r="M37" s="1063"/>
      <c r="N37" s="1063"/>
      <c r="O37" s="1063"/>
      <c r="P37" s="1063"/>
      <c r="Q37" s="53"/>
      <c r="R37" s="2"/>
      <c r="S37" s="2"/>
      <c r="T37" s="2"/>
    </row>
    <row r="38" spans="1:20" x14ac:dyDescent="0.25">
      <c r="A38" s="22">
        <v>41606</v>
      </c>
      <c r="B38" s="20" t="s">
        <v>2</v>
      </c>
      <c r="C38" s="30">
        <f t="shared" si="8"/>
        <v>41606</v>
      </c>
      <c r="D38" s="30"/>
      <c r="E38" s="55"/>
      <c r="F38" s="55"/>
      <c r="G38" s="55"/>
      <c r="H38" s="55"/>
      <c r="I38" s="2"/>
      <c r="J38" s="1063"/>
      <c r="K38" s="1063"/>
      <c r="L38" s="1063"/>
      <c r="M38" s="1063"/>
      <c r="N38" s="1063"/>
      <c r="O38" s="1063"/>
      <c r="P38" s="1063"/>
      <c r="Q38" s="53"/>
      <c r="R38" s="2"/>
      <c r="S38" s="2"/>
      <c r="T38" s="2"/>
    </row>
    <row r="39" spans="1:20" x14ac:dyDescent="0.25">
      <c r="A39" s="22">
        <v>41633</v>
      </c>
      <c r="B39" s="20" t="s">
        <v>4</v>
      </c>
      <c r="C39" s="30">
        <f t="shared" si="8"/>
        <v>41633</v>
      </c>
      <c r="D39" s="30"/>
      <c r="E39" s="55"/>
      <c r="F39" s="55"/>
      <c r="G39" s="55"/>
      <c r="H39" s="55"/>
      <c r="I39" s="2"/>
      <c r="J39" s="1063"/>
      <c r="K39" s="1063"/>
      <c r="L39" s="1063"/>
      <c r="M39" s="1063"/>
      <c r="N39" s="1063"/>
      <c r="O39" s="1063"/>
      <c r="P39" s="1063"/>
      <c r="Q39" s="53"/>
      <c r="R39" s="2"/>
      <c r="S39" s="2"/>
      <c r="T39" s="2"/>
    </row>
    <row r="40" spans="1:20" x14ac:dyDescent="0.25">
      <c r="A40" s="22">
        <v>41640</v>
      </c>
      <c r="B40" s="20" t="s">
        <v>5</v>
      </c>
      <c r="C40" s="30">
        <f t="shared" si="8"/>
        <v>41640</v>
      </c>
      <c r="D40" s="30"/>
      <c r="E40" s="55"/>
      <c r="F40" s="55"/>
      <c r="G40" s="55"/>
      <c r="H40" s="55"/>
      <c r="I40" s="2"/>
      <c r="J40" s="1063"/>
      <c r="K40" s="1063"/>
      <c r="L40" s="1063"/>
      <c r="M40" s="1063"/>
      <c r="N40" s="1063"/>
      <c r="O40" s="1063"/>
      <c r="P40" s="1063"/>
      <c r="Q40" s="53"/>
      <c r="R40" s="2"/>
      <c r="S40" s="2"/>
      <c r="T40" s="2"/>
    </row>
    <row r="41" spans="1:20" x14ac:dyDescent="0.25">
      <c r="A41" s="22">
        <v>41659</v>
      </c>
      <c r="B41" s="20" t="s">
        <v>6</v>
      </c>
      <c r="C41" s="30">
        <f t="shared" si="8"/>
        <v>41659</v>
      </c>
      <c r="D41" s="30"/>
      <c r="E41" s="55"/>
      <c r="F41" s="55"/>
      <c r="G41" s="55"/>
      <c r="H41" s="55"/>
      <c r="I41" s="2"/>
      <c r="J41" s="1063"/>
      <c r="K41" s="1063"/>
      <c r="L41" s="1063"/>
      <c r="M41" s="1063"/>
      <c r="N41" s="1063"/>
      <c r="O41" s="1063"/>
      <c r="P41" s="1063"/>
      <c r="Q41" s="53"/>
      <c r="R41" s="2"/>
      <c r="S41" s="2"/>
      <c r="T41" s="2"/>
    </row>
    <row r="42" spans="1:20" x14ac:dyDescent="0.25">
      <c r="A42" s="22">
        <v>41687</v>
      </c>
      <c r="B42" s="20" t="s">
        <v>7</v>
      </c>
      <c r="C42" s="30">
        <f t="shared" si="8"/>
        <v>41687</v>
      </c>
      <c r="D42" s="30"/>
      <c r="E42" s="55"/>
      <c r="F42" s="55"/>
      <c r="G42" s="55"/>
      <c r="H42" s="55"/>
      <c r="I42" s="2"/>
      <c r="J42" s="1063"/>
      <c r="K42" s="1063"/>
      <c r="L42" s="1063"/>
      <c r="M42" s="1063"/>
      <c r="N42" s="1063"/>
      <c r="O42" s="1063"/>
      <c r="P42" s="1063"/>
      <c r="Q42" s="53"/>
      <c r="R42" s="2"/>
      <c r="S42" s="2"/>
      <c r="T42" s="2"/>
    </row>
    <row r="43" spans="1:20" x14ac:dyDescent="0.25">
      <c r="A43" s="22">
        <v>41785</v>
      </c>
      <c r="B43" s="20" t="s">
        <v>8</v>
      </c>
      <c r="C43" s="30">
        <f t="shared" si="8"/>
        <v>41785</v>
      </c>
      <c r="D43" s="30"/>
      <c r="E43" s="55"/>
      <c r="F43" s="55"/>
      <c r="G43" s="55"/>
      <c r="H43" s="55"/>
      <c r="I43" s="2"/>
      <c r="J43" s="1063"/>
      <c r="K43" s="1063"/>
      <c r="L43" s="1063"/>
      <c r="M43" s="1063"/>
      <c r="N43" s="1063"/>
      <c r="O43" s="1063"/>
      <c r="P43" s="1063"/>
      <c r="Q43" s="53"/>
      <c r="R43" s="2"/>
      <c r="S43" s="2"/>
      <c r="T43" s="2"/>
    </row>
    <row r="44" spans="1:20" x14ac:dyDescent="0.25">
      <c r="A44" s="22">
        <v>41824</v>
      </c>
      <c r="B44" s="20" t="s">
        <v>9</v>
      </c>
      <c r="C44" s="30">
        <f t="shared" si="8"/>
        <v>41824</v>
      </c>
      <c r="D44" s="30"/>
      <c r="E44" s="55"/>
      <c r="F44" s="55"/>
      <c r="G44" s="55"/>
      <c r="H44" s="55"/>
      <c r="I44" s="2"/>
      <c r="J44" s="1063"/>
      <c r="K44" s="1063"/>
      <c r="L44" s="1063"/>
      <c r="M44" s="1063"/>
      <c r="N44" s="1063"/>
      <c r="O44" s="1063"/>
      <c r="P44" s="1063"/>
      <c r="Q44" s="53"/>
      <c r="R44" s="2"/>
      <c r="S44" s="2"/>
      <c r="T44" s="2"/>
    </row>
    <row r="45" spans="1:20" x14ac:dyDescent="0.25">
      <c r="A45" s="22">
        <v>41884</v>
      </c>
      <c r="B45" s="20" t="s">
        <v>10</v>
      </c>
      <c r="C45" s="30">
        <f t="shared" si="8"/>
        <v>41884</v>
      </c>
      <c r="D45" s="30"/>
      <c r="E45" s="55"/>
      <c r="F45" s="55"/>
      <c r="G45" s="55"/>
      <c r="H45" s="55"/>
      <c r="I45" s="2"/>
      <c r="J45" s="1063"/>
      <c r="K45" s="1063"/>
      <c r="L45" s="1063"/>
      <c r="M45" s="1063"/>
      <c r="N45" s="1063"/>
      <c r="O45" s="1063"/>
      <c r="P45" s="1063"/>
      <c r="Q45" s="53"/>
      <c r="R45" s="2"/>
      <c r="S45" s="2"/>
      <c r="T45" s="2"/>
    </row>
    <row r="46" spans="1:20" x14ac:dyDescent="0.25">
      <c r="A46" s="22">
        <v>41954</v>
      </c>
      <c r="B46" s="20" t="s">
        <v>1</v>
      </c>
      <c r="C46" s="30">
        <f t="shared" si="8"/>
        <v>41954</v>
      </c>
      <c r="D46" s="30"/>
      <c r="E46" s="55"/>
      <c r="F46" s="55"/>
      <c r="G46" s="55"/>
      <c r="H46" s="55"/>
      <c r="I46" s="2"/>
      <c r="J46" s="1063"/>
      <c r="K46" s="1063"/>
      <c r="L46" s="1063"/>
      <c r="M46" s="1063"/>
      <c r="N46" s="1063"/>
      <c r="O46" s="1063"/>
      <c r="P46" s="1063"/>
      <c r="Q46" s="53"/>
      <c r="R46" s="2"/>
      <c r="S46" s="2"/>
      <c r="T46" s="2"/>
    </row>
    <row r="47" spans="1:20" x14ac:dyDescent="0.25">
      <c r="A47" s="22">
        <v>41970</v>
      </c>
      <c r="B47" s="20" t="s">
        <v>2</v>
      </c>
      <c r="C47" s="30">
        <f t="shared" si="8"/>
        <v>41970</v>
      </c>
      <c r="D47" s="30"/>
      <c r="E47" s="55"/>
      <c r="F47" s="55"/>
      <c r="G47" s="55"/>
      <c r="H47" s="55"/>
      <c r="I47" s="2"/>
      <c r="J47" s="1063"/>
      <c r="K47" s="1063"/>
      <c r="L47" s="1063"/>
      <c r="M47" s="1063"/>
      <c r="N47" s="1063"/>
      <c r="O47" s="1063"/>
      <c r="P47" s="1063"/>
      <c r="Q47" s="53"/>
      <c r="R47" s="2"/>
      <c r="S47" s="2"/>
      <c r="T47" s="2"/>
    </row>
    <row r="48" spans="1:20" x14ac:dyDescent="0.25">
      <c r="A48" s="22">
        <v>41998</v>
      </c>
      <c r="B48" s="20" t="s">
        <v>4</v>
      </c>
      <c r="C48" s="30">
        <f t="shared" si="8"/>
        <v>41998</v>
      </c>
      <c r="D48" s="30"/>
      <c r="E48" s="55"/>
      <c r="F48" s="55"/>
      <c r="G48" s="55"/>
      <c r="H48" s="55"/>
      <c r="I48" s="2"/>
      <c r="J48" s="1063"/>
      <c r="K48" s="1063"/>
      <c r="L48" s="1063"/>
      <c r="M48" s="1063"/>
      <c r="N48" s="1063"/>
      <c r="O48" s="1063"/>
      <c r="P48" s="1063"/>
      <c r="Q48" s="53"/>
      <c r="R48" s="2"/>
      <c r="S48" s="2"/>
      <c r="T48" s="2"/>
    </row>
    <row r="49" spans="1:20" x14ac:dyDescent="0.25">
      <c r="A49" s="22">
        <v>42005</v>
      </c>
      <c r="B49" s="20" t="s">
        <v>5</v>
      </c>
      <c r="C49" s="30">
        <f t="shared" si="8"/>
        <v>42005</v>
      </c>
      <c r="D49" s="30"/>
      <c r="E49" s="55"/>
      <c r="F49" s="55"/>
      <c r="G49" s="55"/>
      <c r="H49" s="55"/>
      <c r="I49" s="2"/>
      <c r="J49" s="1063"/>
      <c r="K49" s="1063"/>
      <c r="L49" s="1063"/>
      <c r="M49" s="1063"/>
      <c r="N49" s="1063"/>
      <c r="O49" s="1063"/>
      <c r="P49" s="1063"/>
      <c r="Q49" s="53"/>
      <c r="R49" s="2"/>
      <c r="S49" s="2"/>
      <c r="T49" s="2"/>
    </row>
    <row r="50" spans="1:20" x14ac:dyDescent="0.25">
      <c r="A50" s="22">
        <v>42023</v>
      </c>
      <c r="B50" s="20" t="s">
        <v>6</v>
      </c>
      <c r="C50" s="30">
        <f t="shared" si="8"/>
        <v>42023</v>
      </c>
      <c r="D50" s="30"/>
      <c r="E50" s="55"/>
      <c r="F50" s="55"/>
      <c r="G50" s="55"/>
      <c r="H50" s="55"/>
      <c r="I50" s="2"/>
      <c r="J50" s="1063"/>
      <c r="K50" s="1063"/>
      <c r="L50" s="1063"/>
      <c r="M50" s="1063"/>
      <c r="N50" s="1063"/>
      <c r="O50" s="1063"/>
      <c r="P50" s="1063"/>
      <c r="Q50" s="53"/>
      <c r="R50" s="2"/>
      <c r="S50" s="2"/>
      <c r="T50" s="2"/>
    </row>
    <row r="51" spans="1:20" x14ac:dyDescent="0.25">
      <c r="A51" s="22">
        <v>42051</v>
      </c>
      <c r="B51" s="20" t="s">
        <v>7</v>
      </c>
      <c r="C51" s="30">
        <f t="shared" si="8"/>
        <v>42051</v>
      </c>
      <c r="D51" s="30"/>
      <c r="E51" s="55"/>
      <c r="F51" s="55"/>
      <c r="G51" s="55"/>
      <c r="H51" s="55"/>
      <c r="I51" s="2"/>
      <c r="J51" s="1063"/>
      <c r="K51" s="1063"/>
      <c r="L51" s="1063"/>
      <c r="M51" s="1063"/>
      <c r="N51" s="1063"/>
      <c r="O51" s="1063"/>
      <c r="P51" s="1063"/>
      <c r="Q51" s="53"/>
      <c r="R51" s="2"/>
      <c r="S51" s="2"/>
      <c r="T51" s="2"/>
    </row>
    <row r="52" spans="1:20" x14ac:dyDescent="0.25">
      <c r="A52" s="22">
        <v>42149</v>
      </c>
      <c r="B52" s="20" t="s">
        <v>8</v>
      </c>
      <c r="C52" s="30">
        <f t="shared" si="8"/>
        <v>42149</v>
      </c>
      <c r="D52" s="30"/>
      <c r="E52" s="55"/>
      <c r="F52" s="55"/>
      <c r="G52" s="55"/>
      <c r="H52" s="55"/>
      <c r="I52" s="2"/>
      <c r="J52" s="1063"/>
      <c r="K52" s="1063"/>
      <c r="L52" s="1063"/>
      <c r="M52" s="1063"/>
      <c r="N52" s="1063"/>
      <c r="O52" s="1063"/>
      <c r="P52" s="1063"/>
      <c r="Q52" s="53"/>
      <c r="R52" s="2"/>
      <c r="S52" s="2"/>
      <c r="T52" s="2"/>
    </row>
    <row r="53" spans="1:20" x14ac:dyDescent="0.25">
      <c r="A53" s="22">
        <v>42188</v>
      </c>
      <c r="B53" s="20" t="s">
        <v>9</v>
      </c>
      <c r="C53" s="30">
        <f t="shared" si="8"/>
        <v>42188</v>
      </c>
      <c r="D53" s="30"/>
      <c r="E53" s="55"/>
      <c r="F53" s="55"/>
      <c r="G53" s="55"/>
      <c r="H53" s="55"/>
      <c r="I53" s="2"/>
      <c r="J53" s="1063"/>
      <c r="K53" s="1063"/>
      <c r="L53" s="1063"/>
      <c r="M53" s="1063"/>
      <c r="N53" s="1063"/>
      <c r="O53" s="1063"/>
      <c r="P53" s="1063"/>
      <c r="Q53" s="53"/>
      <c r="R53" s="2"/>
      <c r="S53" s="2"/>
      <c r="T53" s="2"/>
    </row>
    <row r="54" spans="1:20" x14ac:dyDescent="0.25">
      <c r="A54" s="22">
        <v>42254</v>
      </c>
      <c r="B54" s="20" t="s">
        <v>10</v>
      </c>
      <c r="C54" s="30">
        <f t="shared" si="8"/>
        <v>42254</v>
      </c>
      <c r="D54" s="30"/>
      <c r="E54" s="55"/>
      <c r="F54" s="55"/>
      <c r="G54" s="55"/>
      <c r="H54" s="55"/>
      <c r="I54" s="2"/>
      <c r="J54" s="1063"/>
      <c r="K54" s="1063"/>
      <c r="L54" s="1063"/>
      <c r="M54" s="1063"/>
      <c r="N54" s="1063"/>
      <c r="O54" s="1063"/>
      <c r="P54" s="1063"/>
      <c r="Q54" s="53"/>
      <c r="R54" s="2"/>
      <c r="S54" s="2"/>
      <c r="T54" s="2"/>
    </row>
    <row r="55" spans="1:20" x14ac:dyDescent="0.25">
      <c r="A55" s="22">
        <v>42319</v>
      </c>
      <c r="B55" s="20" t="s">
        <v>1</v>
      </c>
      <c r="C55" s="30">
        <f t="shared" si="8"/>
        <v>42319</v>
      </c>
      <c r="D55" s="30"/>
      <c r="E55" s="55"/>
      <c r="F55" s="55"/>
      <c r="G55" s="55"/>
      <c r="H55" s="55"/>
      <c r="I55" s="2"/>
      <c r="J55" s="1063"/>
      <c r="K55" s="1063"/>
      <c r="L55" s="1063"/>
      <c r="M55" s="1063"/>
      <c r="N55" s="1063"/>
      <c r="O55" s="1063"/>
      <c r="P55" s="1063"/>
      <c r="Q55" s="53"/>
      <c r="R55" s="2"/>
      <c r="S55" s="2"/>
      <c r="T55" s="2"/>
    </row>
    <row r="56" spans="1:20" x14ac:dyDescent="0.25">
      <c r="A56" s="22">
        <v>42334</v>
      </c>
      <c r="B56" s="20" t="s">
        <v>2</v>
      </c>
      <c r="C56" s="30">
        <f t="shared" si="8"/>
        <v>42334</v>
      </c>
      <c r="D56" s="30"/>
      <c r="E56" s="55"/>
      <c r="F56" s="55"/>
      <c r="G56" s="55"/>
      <c r="H56" s="55"/>
      <c r="I56" s="2"/>
      <c r="J56" s="1063"/>
      <c r="K56" s="1063"/>
      <c r="L56" s="1063"/>
      <c r="M56" s="1063"/>
      <c r="N56" s="1063"/>
      <c r="O56" s="1063"/>
      <c r="P56" s="1063"/>
      <c r="Q56" s="53"/>
      <c r="R56" s="2"/>
      <c r="S56" s="2"/>
      <c r="T56" s="2"/>
    </row>
    <row r="57" spans="1:20" x14ac:dyDescent="0.25">
      <c r="A57" s="22">
        <v>42363</v>
      </c>
      <c r="B57" s="20" t="s">
        <v>4</v>
      </c>
      <c r="C57" s="30">
        <f t="shared" si="8"/>
        <v>42363</v>
      </c>
      <c r="D57" s="30"/>
      <c r="E57" s="55"/>
      <c r="F57" s="55"/>
      <c r="G57" s="55"/>
      <c r="H57" s="55"/>
      <c r="I57" s="2"/>
      <c r="J57" s="1063"/>
      <c r="K57" s="1063"/>
      <c r="L57" s="1063"/>
      <c r="M57" s="1063"/>
      <c r="N57" s="1063"/>
      <c r="O57" s="1063"/>
      <c r="P57" s="1063"/>
      <c r="Q57" s="53"/>
      <c r="R57" s="2"/>
      <c r="S57" s="2"/>
      <c r="T57" s="2"/>
    </row>
    <row r="58" spans="1:20" x14ac:dyDescent="0.25">
      <c r="A58" s="22">
        <v>42370</v>
      </c>
      <c r="B58" s="20" t="s">
        <v>5</v>
      </c>
      <c r="C58" s="30">
        <f t="shared" ref="C58:C66" si="9">A58</f>
        <v>42370</v>
      </c>
      <c r="D58" s="30"/>
      <c r="E58" s="55"/>
      <c r="F58" s="55"/>
      <c r="G58" s="55"/>
      <c r="H58" s="55"/>
      <c r="I58" s="2"/>
      <c r="J58" s="1063"/>
      <c r="K58" s="1063"/>
      <c r="L58" s="1063"/>
      <c r="M58" s="1063"/>
      <c r="N58" s="1063"/>
      <c r="O58" s="1063"/>
      <c r="P58" s="1063"/>
      <c r="Q58" s="53"/>
      <c r="R58" s="2"/>
      <c r="S58" s="2"/>
      <c r="T58" s="2"/>
    </row>
    <row r="59" spans="1:20" x14ac:dyDescent="0.25">
      <c r="A59" s="22">
        <v>42387</v>
      </c>
      <c r="B59" s="20" t="s">
        <v>6</v>
      </c>
      <c r="C59" s="30">
        <f t="shared" si="9"/>
        <v>42387</v>
      </c>
      <c r="D59" s="30"/>
      <c r="E59" s="55"/>
      <c r="F59" s="55"/>
      <c r="G59" s="55"/>
      <c r="H59" s="55"/>
      <c r="I59" s="2"/>
      <c r="J59" s="1063"/>
      <c r="K59" s="1063"/>
      <c r="L59" s="1063"/>
      <c r="M59" s="1063"/>
      <c r="N59" s="1063"/>
      <c r="O59" s="1063"/>
      <c r="P59" s="1063"/>
      <c r="Q59" s="53"/>
      <c r="R59" s="2"/>
      <c r="S59" s="2"/>
      <c r="T59" s="2"/>
    </row>
    <row r="60" spans="1:20" x14ac:dyDescent="0.25">
      <c r="A60" s="22">
        <v>42415</v>
      </c>
      <c r="B60" s="20" t="s">
        <v>7</v>
      </c>
      <c r="C60" s="30">
        <f t="shared" si="9"/>
        <v>42415</v>
      </c>
      <c r="D60" s="30"/>
      <c r="E60" s="55"/>
      <c r="F60" s="55"/>
      <c r="G60" s="55"/>
      <c r="H60" s="55"/>
      <c r="I60" s="2"/>
      <c r="J60" s="1063"/>
      <c r="K60" s="1063"/>
      <c r="L60" s="1063"/>
      <c r="M60" s="1063"/>
      <c r="N60" s="1063"/>
      <c r="O60" s="1063"/>
      <c r="P60" s="1063"/>
      <c r="Q60" s="53"/>
      <c r="R60" s="2"/>
      <c r="S60" s="2"/>
      <c r="T60" s="2"/>
    </row>
    <row r="61" spans="1:20" x14ac:dyDescent="0.25">
      <c r="A61" s="22">
        <v>42520</v>
      </c>
      <c r="B61" s="20" t="s">
        <v>8</v>
      </c>
      <c r="C61" s="30">
        <f t="shared" si="9"/>
        <v>42520</v>
      </c>
      <c r="D61" s="30"/>
      <c r="E61" s="55"/>
      <c r="F61" s="55"/>
      <c r="G61" s="55"/>
      <c r="H61" s="55"/>
      <c r="I61" s="2"/>
      <c r="J61" s="1063"/>
      <c r="K61" s="1063"/>
      <c r="L61" s="1063"/>
      <c r="M61" s="1063"/>
      <c r="N61" s="1063"/>
      <c r="O61" s="1063"/>
      <c r="P61" s="1063"/>
      <c r="Q61" s="53"/>
      <c r="R61" s="2"/>
      <c r="S61" s="2"/>
      <c r="T61" s="2"/>
    </row>
    <row r="62" spans="1:20" x14ac:dyDescent="0.25">
      <c r="A62" s="22">
        <v>42555</v>
      </c>
      <c r="B62" s="20" t="s">
        <v>9</v>
      </c>
      <c r="C62" s="30">
        <f t="shared" si="9"/>
        <v>42555</v>
      </c>
      <c r="D62" s="30"/>
      <c r="E62" s="55"/>
      <c r="F62" s="55"/>
      <c r="G62" s="55"/>
      <c r="H62" s="55"/>
      <c r="I62" s="2"/>
      <c r="J62" s="1063"/>
      <c r="K62" s="1063"/>
      <c r="L62" s="1063"/>
      <c r="M62" s="1063"/>
      <c r="N62" s="1063"/>
      <c r="O62" s="1063"/>
      <c r="P62" s="1063"/>
      <c r="Q62" s="53"/>
      <c r="R62" s="2"/>
      <c r="S62" s="2"/>
      <c r="T62" s="2"/>
    </row>
    <row r="63" spans="1:20" x14ac:dyDescent="0.25">
      <c r="A63" s="22">
        <v>42618</v>
      </c>
      <c r="B63" s="20" t="s">
        <v>10</v>
      </c>
      <c r="C63" s="30">
        <f t="shared" si="9"/>
        <v>42618</v>
      </c>
      <c r="D63" s="30"/>
      <c r="E63" s="55"/>
      <c r="F63" s="55"/>
      <c r="G63" s="55"/>
      <c r="H63" s="55"/>
      <c r="I63" s="2"/>
      <c r="J63" s="1063"/>
      <c r="K63" s="1063"/>
      <c r="L63" s="1063"/>
      <c r="M63" s="1063"/>
      <c r="N63" s="1063"/>
      <c r="O63" s="1063"/>
      <c r="P63" s="1063"/>
      <c r="Q63" s="53"/>
      <c r="R63" s="2"/>
      <c r="S63" s="2"/>
      <c r="T63" s="2"/>
    </row>
    <row r="64" spans="1:20" x14ac:dyDescent="0.25">
      <c r="A64" s="22">
        <v>42685</v>
      </c>
      <c r="B64" s="20" t="s">
        <v>1</v>
      </c>
      <c r="C64" s="30">
        <f t="shared" si="9"/>
        <v>42685</v>
      </c>
      <c r="D64" s="30"/>
      <c r="E64" s="55"/>
      <c r="F64" s="55"/>
      <c r="G64" s="55"/>
      <c r="H64" s="55"/>
      <c r="I64" s="2"/>
      <c r="J64" s="1063"/>
      <c r="K64" s="1063"/>
      <c r="L64" s="1063"/>
      <c r="M64" s="1063"/>
      <c r="N64" s="1063"/>
      <c r="O64" s="1063"/>
      <c r="P64" s="1063"/>
      <c r="Q64" s="53"/>
      <c r="R64" s="2"/>
      <c r="S64" s="2"/>
      <c r="T64" s="2"/>
    </row>
    <row r="65" spans="1:20" x14ac:dyDescent="0.25">
      <c r="A65" s="22">
        <v>42698</v>
      </c>
      <c r="B65" s="20" t="s">
        <v>2</v>
      </c>
      <c r="C65" s="30">
        <f t="shared" si="9"/>
        <v>42698</v>
      </c>
      <c r="D65" s="30"/>
      <c r="E65" s="55"/>
      <c r="F65" s="55"/>
      <c r="G65" s="55"/>
      <c r="H65" s="55"/>
      <c r="I65" s="2"/>
      <c r="J65" s="1063"/>
      <c r="K65" s="1063"/>
      <c r="L65" s="1063"/>
      <c r="M65" s="1063"/>
      <c r="N65" s="1063"/>
      <c r="O65" s="1063"/>
      <c r="P65" s="1063"/>
      <c r="Q65" s="53"/>
      <c r="R65" s="2"/>
      <c r="S65" s="2"/>
      <c r="T65" s="2"/>
    </row>
    <row r="66" spans="1:20" x14ac:dyDescent="0.25">
      <c r="A66" s="22">
        <v>42730</v>
      </c>
      <c r="B66" s="20" t="s">
        <v>4</v>
      </c>
      <c r="C66" s="30">
        <f t="shared" si="9"/>
        <v>42730</v>
      </c>
      <c r="D66" s="30"/>
      <c r="E66" s="55"/>
      <c r="F66" s="55"/>
      <c r="G66" s="55"/>
      <c r="H66" s="55"/>
      <c r="I66" s="2"/>
      <c r="J66" s="1063"/>
      <c r="K66" s="1063"/>
      <c r="L66" s="1063"/>
      <c r="M66" s="1063"/>
      <c r="N66" s="1063"/>
      <c r="O66" s="1063"/>
      <c r="P66" s="1063"/>
      <c r="Q66" s="53"/>
      <c r="R66" s="2"/>
      <c r="S66" s="2"/>
      <c r="T66" s="2"/>
    </row>
    <row r="67" spans="1:20" x14ac:dyDescent="0.25">
      <c r="A67" s="22">
        <v>42737</v>
      </c>
      <c r="B67" s="20" t="s">
        <v>5</v>
      </c>
      <c r="C67" s="30">
        <f t="shared" ref="C67:C75" si="10">A67</f>
        <v>42737</v>
      </c>
      <c r="D67" s="30"/>
      <c r="E67" s="55"/>
      <c r="F67" s="55"/>
      <c r="G67" s="55"/>
      <c r="H67" s="55"/>
      <c r="I67" s="2"/>
      <c r="J67" s="1063"/>
      <c r="K67" s="1063"/>
      <c r="L67" s="1063"/>
      <c r="M67" s="1063"/>
      <c r="N67" s="1063"/>
      <c r="O67" s="1063"/>
      <c r="P67" s="1063"/>
      <c r="Q67" s="53"/>
      <c r="R67" s="2"/>
      <c r="S67" s="2"/>
      <c r="T67" s="2"/>
    </row>
    <row r="68" spans="1:20" x14ac:dyDescent="0.25">
      <c r="A68" s="22">
        <v>42751</v>
      </c>
      <c r="B68" s="20" t="s">
        <v>6</v>
      </c>
      <c r="C68" s="30">
        <f t="shared" si="10"/>
        <v>42751</v>
      </c>
      <c r="D68" s="30"/>
      <c r="E68" s="55"/>
      <c r="F68" s="55"/>
      <c r="G68" s="55"/>
      <c r="H68" s="55"/>
      <c r="I68" s="2"/>
      <c r="J68" s="1063"/>
      <c r="K68" s="1063"/>
      <c r="L68" s="1063"/>
      <c r="M68" s="1063"/>
      <c r="N68" s="1063"/>
      <c r="O68" s="1063"/>
      <c r="P68" s="1063"/>
      <c r="Q68" s="53"/>
      <c r="R68" s="2"/>
      <c r="S68" s="2"/>
      <c r="T68" s="2"/>
    </row>
    <row r="69" spans="1:20" x14ac:dyDescent="0.25">
      <c r="A69" s="22">
        <v>42786</v>
      </c>
      <c r="B69" s="20" t="s">
        <v>7</v>
      </c>
      <c r="C69" s="30">
        <f t="shared" si="10"/>
        <v>42786</v>
      </c>
      <c r="D69" s="30"/>
      <c r="E69" s="55"/>
      <c r="F69" s="55"/>
      <c r="G69" s="55"/>
      <c r="H69" s="55"/>
      <c r="I69" s="2"/>
      <c r="J69" s="1063"/>
      <c r="K69" s="1063"/>
      <c r="L69" s="1063"/>
      <c r="M69" s="1063"/>
      <c r="N69" s="1063"/>
      <c r="O69" s="1063"/>
      <c r="P69" s="1063"/>
      <c r="Q69" s="53"/>
      <c r="R69" s="2"/>
      <c r="S69" s="2"/>
      <c r="T69" s="2"/>
    </row>
    <row r="70" spans="1:20" x14ac:dyDescent="0.25">
      <c r="A70" s="22">
        <v>42884</v>
      </c>
      <c r="B70" s="20" t="s">
        <v>8</v>
      </c>
      <c r="C70" s="30">
        <f t="shared" si="10"/>
        <v>42884</v>
      </c>
      <c r="D70" s="30"/>
      <c r="E70" s="55"/>
      <c r="F70" s="55"/>
      <c r="G70" s="55"/>
      <c r="H70" s="55"/>
      <c r="I70" s="2"/>
      <c r="J70" s="1063"/>
      <c r="K70" s="1063"/>
      <c r="L70" s="1063"/>
      <c r="M70" s="1063"/>
      <c r="N70" s="1063"/>
      <c r="O70" s="1063"/>
      <c r="P70" s="1063"/>
      <c r="Q70" s="53"/>
      <c r="R70" s="2"/>
      <c r="S70" s="2"/>
      <c r="T70" s="2"/>
    </row>
    <row r="71" spans="1:20" x14ac:dyDescent="0.25">
      <c r="A71" s="22">
        <v>42920</v>
      </c>
      <c r="B71" s="20" t="s">
        <v>9</v>
      </c>
      <c r="C71" s="30">
        <f t="shared" si="10"/>
        <v>42920</v>
      </c>
      <c r="D71" s="30"/>
      <c r="E71" s="55"/>
      <c r="F71" s="55"/>
      <c r="G71" s="55"/>
      <c r="H71" s="55"/>
      <c r="I71" s="2"/>
      <c r="J71" s="1063"/>
      <c r="K71" s="1063"/>
      <c r="L71" s="1063"/>
      <c r="M71" s="1063"/>
      <c r="N71" s="1063"/>
      <c r="O71" s="1063"/>
      <c r="P71" s="1063"/>
      <c r="Q71" s="53"/>
      <c r="R71" s="2"/>
      <c r="S71" s="2"/>
      <c r="T71" s="2"/>
    </row>
    <row r="72" spans="1:20" x14ac:dyDescent="0.25">
      <c r="A72" s="22">
        <v>42982</v>
      </c>
      <c r="B72" s="20" t="s">
        <v>10</v>
      </c>
      <c r="C72" s="30">
        <f t="shared" si="10"/>
        <v>42982</v>
      </c>
      <c r="D72" s="30"/>
      <c r="E72" s="55"/>
      <c r="F72" s="55"/>
      <c r="G72" s="55"/>
      <c r="H72" s="55"/>
      <c r="I72" s="2"/>
      <c r="J72" s="1063"/>
      <c r="K72" s="1063"/>
      <c r="L72" s="1063"/>
      <c r="M72" s="1063"/>
      <c r="N72" s="1063"/>
      <c r="O72" s="1063"/>
      <c r="P72" s="1063"/>
      <c r="Q72" s="53"/>
      <c r="R72" s="2"/>
      <c r="S72" s="2"/>
      <c r="T72" s="2"/>
    </row>
    <row r="73" spans="1:20" x14ac:dyDescent="0.25">
      <c r="A73" s="22">
        <v>43049</v>
      </c>
      <c r="B73" s="20" t="s">
        <v>1</v>
      </c>
      <c r="C73" s="30">
        <f t="shared" si="10"/>
        <v>43049</v>
      </c>
      <c r="D73" s="30"/>
      <c r="E73" s="55"/>
      <c r="F73" s="55"/>
      <c r="G73" s="55"/>
      <c r="H73" s="55"/>
      <c r="I73" s="2"/>
      <c r="J73" s="1063"/>
      <c r="K73" s="1063"/>
      <c r="L73" s="1063"/>
      <c r="M73" s="1063"/>
      <c r="N73" s="1063"/>
      <c r="O73" s="1063"/>
      <c r="P73" s="1063"/>
      <c r="Q73" s="53"/>
      <c r="R73" s="2"/>
      <c r="S73" s="2"/>
      <c r="T73" s="2"/>
    </row>
    <row r="74" spans="1:20" x14ac:dyDescent="0.25">
      <c r="A74" s="22">
        <v>43062</v>
      </c>
      <c r="B74" s="20" t="s">
        <v>2</v>
      </c>
      <c r="C74" s="30">
        <f t="shared" si="10"/>
        <v>43062</v>
      </c>
      <c r="D74" s="30"/>
      <c r="E74" s="55"/>
      <c r="F74" s="55"/>
      <c r="G74" s="55"/>
      <c r="H74" s="55"/>
      <c r="I74" s="2"/>
      <c r="J74" s="1063"/>
      <c r="K74" s="1063"/>
      <c r="L74" s="1063"/>
      <c r="M74" s="1063"/>
      <c r="N74" s="1063"/>
      <c r="O74" s="1063"/>
      <c r="P74" s="1063"/>
      <c r="Q74" s="53"/>
      <c r="R74" s="2"/>
      <c r="S74" s="2"/>
      <c r="T74" s="2"/>
    </row>
    <row r="75" spans="1:20" x14ac:dyDescent="0.25">
      <c r="A75" s="22">
        <v>43094</v>
      </c>
      <c r="B75" s="20" t="s">
        <v>4</v>
      </c>
      <c r="C75" s="30">
        <f t="shared" si="10"/>
        <v>43094</v>
      </c>
      <c r="D75" s="30"/>
      <c r="E75" s="55"/>
      <c r="F75" s="55"/>
      <c r="G75" s="55"/>
      <c r="H75" s="55"/>
      <c r="I75" s="2"/>
      <c r="J75" s="1063"/>
      <c r="K75" s="1063"/>
      <c r="L75" s="1063"/>
      <c r="M75" s="1063"/>
      <c r="N75" s="1063"/>
      <c r="O75" s="1063"/>
      <c r="P75" s="1063"/>
      <c r="Q75" s="53"/>
      <c r="R75" s="2"/>
      <c r="S75" s="2"/>
      <c r="T75" s="2"/>
    </row>
    <row r="76" spans="1:20" x14ac:dyDescent="0.25">
      <c r="A76" s="22">
        <v>43101</v>
      </c>
      <c r="B76" s="20" t="s">
        <v>5</v>
      </c>
      <c r="C76" s="30">
        <f t="shared" si="8"/>
        <v>43101</v>
      </c>
      <c r="D76" s="30"/>
      <c r="E76" s="55"/>
      <c r="F76" s="55"/>
      <c r="G76" s="55"/>
      <c r="H76" s="55"/>
      <c r="I76" s="2"/>
      <c r="J76" s="1063"/>
      <c r="K76" s="1063"/>
      <c r="L76" s="1063"/>
      <c r="M76" s="1063"/>
      <c r="N76" s="1063"/>
      <c r="O76" s="1063"/>
      <c r="P76" s="1063"/>
      <c r="Q76" s="53"/>
      <c r="R76" s="2"/>
      <c r="S76" s="2"/>
      <c r="T76" s="2"/>
    </row>
    <row r="77" spans="1:20" x14ac:dyDescent="0.25">
      <c r="A77" s="18" t="s">
        <v>17</v>
      </c>
      <c r="B77" s="19"/>
      <c r="C77" s="7"/>
      <c r="D77" s="7"/>
      <c r="E77" s="56"/>
      <c r="F77" s="56"/>
      <c r="G77" s="56"/>
      <c r="H77" s="56"/>
      <c r="I77" s="2"/>
      <c r="J77" s="1063"/>
      <c r="K77" s="1063"/>
      <c r="L77" s="1063"/>
      <c r="M77" s="1063"/>
      <c r="N77" s="1063"/>
      <c r="O77" s="1063"/>
      <c r="P77" s="1063"/>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69" t="s">
        <v>362</v>
      </c>
      <c r="C2" s="1069"/>
      <c r="D2" s="1069"/>
      <c r="E2" s="1069"/>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1" t="s">
        <v>411</v>
      </c>
      <c r="C15" s="1071"/>
      <c r="D15" s="1071"/>
      <c r="E15" s="1071"/>
      <c r="F15" s="1071"/>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0" t="str">
        <f>S.Staff.Program.Mgr.FullName&amp;", "&amp;S.Staff.Program.Mgr.Div&amp;": "&amp;S.Staff.Program.Mgr.SectionName&amp;""</f>
        <v xml:space="preserve">, : </v>
      </c>
      <c r="D17" s="1070"/>
      <c r="E17" s="1070"/>
      <c r="F17" s="75"/>
      <c r="G17" s="75"/>
      <c r="H17" s="75"/>
      <c r="I17" s="75"/>
      <c r="J17" s="75"/>
      <c r="K17" s="75"/>
      <c r="L17" s="75"/>
      <c r="M17" s="75"/>
      <c r="N17" s="75"/>
    </row>
    <row r="18" spans="1:14" ht="25.5" customHeight="1" x14ac:dyDescent="0.25">
      <c r="B18" s="613" t="s">
        <v>475</v>
      </c>
      <c r="C18" s="1070" t="str">
        <f>S.Staff.Subject.Expert.FullName&amp;", "&amp;S.Staff.Program.Mgr.Div&amp;": "&amp;S.Staff.Program.Mgr.SectionName&amp;""</f>
        <v xml:space="preserve">, : </v>
      </c>
      <c r="D18" s="1070"/>
      <c r="E18" s="1070"/>
      <c r="F18" s="75"/>
      <c r="G18" s="75"/>
      <c r="H18" s="75"/>
      <c r="I18" s="75"/>
      <c r="J18" s="75"/>
      <c r="K18" s="75"/>
      <c r="L18" s="75"/>
      <c r="M18" s="75"/>
      <c r="N18" s="75"/>
    </row>
    <row r="19" spans="1:14" ht="25.5" customHeight="1" x14ac:dyDescent="0.25">
      <c r="B19" s="613" t="s">
        <v>476</v>
      </c>
      <c r="C19" s="1070" t="str">
        <f>S.Staff.RG.Lead.Full.Name&amp;", "&amp;S.Staff.RG.Lead.Div&amp;": "&amp;S.Staff.RG.Lead.SectionName&amp;""</f>
        <v xml:space="preserve">, : </v>
      </c>
      <c r="D19" s="1070"/>
      <c r="E19" s="1070"/>
      <c r="F19" s="75"/>
      <c r="G19" s="75"/>
      <c r="H19" s="75"/>
      <c r="I19" s="75"/>
      <c r="J19" s="75"/>
      <c r="K19" s="75"/>
      <c r="L19" s="75"/>
      <c r="M19" s="75"/>
      <c r="N19" s="75"/>
    </row>
    <row r="20" spans="1:14" ht="12" customHeight="1" x14ac:dyDescent="0.2">
      <c r="B20" s="1065" t="s">
        <v>514</v>
      </c>
      <c r="C20" s="1065"/>
      <c r="D20" s="1065"/>
      <c r="E20" s="1065"/>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66" t="s">
        <v>359</v>
      </c>
      <c r="B103" s="1066"/>
      <c r="C103" s="616"/>
      <c r="D103" s="616"/>
      <c r="E103" s="616"/>
      <c r="F103" s="75"/>
      <c r="G103" s="75"/>
      <c r="H103" s="75"/>
      <c r="I103" s="75"/>
      <c r="J103" s="75"/>
      <c r="K103" s="75"/>
      <c r="L103" s="75"/>
      <c r="M103" s="75"/>
      <c r="N103" s="75"/>
    </row>
    <row r="104" spans="1:14" s="23" customFormat="1" ht="20.25" x14ac:dyDescent="0.25">
      <c r="A104" s="617"/>
      <c r="B104" s="75"/>
      <c r="C104" s="1067" t="str">
        <f>S.Staff.Program.Mgr.FullName&amp;", "&amp;S.Staff.Program.Mgr.Div&amp;": "&amp;S.Staff.Program.Mgr.SectionName&amp;"     DATE"</f>
        <v>, :      DATE</v>
      </c>
      <c r="D104" s="1067"/>
      <c r="E104" s="1067"/>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66" t="s">
        <v>476</v>
      </c>
      <c r="B106" s="1066"/>
      <c r="C106" s="616"/>
      <c r="D106" s="616"/>
      <c r="E106" s="616"/>
      <c r="F106" s="75"/>
      <c r="G106" s="75"/>
      <c r="H106" s="75"/>
      <c r="I106" s="75"/>
      <c r="J106" s="75"/>
      <c r="K106" s="75"/>
      <c r="L106" s="75"/>
      <c r="M106" s="75"/>
      <c r="N106" s="75"/>
    </row>
    <row r="107" spans="1:14" s="23" customFormat="1" ht="30.75" customHeight="1" x14ac:dyDescent="0.2">
      <c r="A107" s="75"/>
      <c r="B107" s="75"/>
      <c r="C107" s="1068" t="str">
        <f>S.Staff.RG.Lead.Full.Name&amp;", "&amp;S.Staff.RG.Lead.Div&amp;": "&amp;S.Staff.RG.Lead.SectionName&amp;"     DATE"</f>
        <v>, :      DATE</v>
      </c>
      <c r="D107" s="1068"/>
      <c r="E107" s="1068"/>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ListId:doc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2014-11-07T23:16:39Z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