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K110" i="94"/>
  <c r="B14" i="84" l="1"/>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AH16"/>
  <c r="H16" s="1"/>
  <c r="AG220" l="1"/>
  <c r="G220" s="1"/>
  <c r="H31"/>
  <c r="C6" i="99" s="1"/>
  <c r="AG221" i="94"/>
  <c r="G221" s="1"/>
  <c r="C7" i="99"/>
  <c r="AH673" i="94"/>
  <c r="H673" s="1"/>
  <c r="AH626"/>
  <c r="H626" s="1"/>
  <c r="B42" i="102"/>
  <c r="C42" s="1"/>
  <c r="E42" s="1"/>
  <c r="AH472" i="94"/>
  <c r="H472" s="1"/>
  <c r="AH475" s="1"/>
  <c r="H475" s="1"/>
  <c r="AH476" s="1"/>
  <c r="H476" s="1"/>
  <c r="B23" i="102"/>
  <c r="C23" s="1"/>
  <c r="E23" s="1"/>
  <c r="B19"/>
  <c r="C19" s="1"/>
  <c r="E19" s="1"/>
  <c r="B39"/>
  <c r="C39" s="1"/>
  <c r="E39" s="1"/>
  <c r="AK19" i="94"/>
  <c r="B19" s="1"/>
  <c r="AG219"/>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AK20"/>
  <c r="H25"/>
  <c r="AG25" s="1"/>
  <c r="G25" s="1"/>
  <c r="AG593" l="1"/>
  <c r="AH23"/>
  <c r="H23" s="1"/>
  <c r="AG23" s="1"/>
  <c r="G23" s="1"/>
  <c r="AI38"/>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G24" s="1"/>
  <c r="AH573" l="1"/>
  <c r="H573" s="1"/>
  <c r="AG755"/>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569" l="1"/>
  <c r="H569" s="1"/>
  <c r="AH504"/>
  <c r="AG573"/>
  <c r="G573" s="1"/>
  <c r="G755"/>
  <c r="AH493"/>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K31" authorId="0">
      <text>
        <r>
          <rPr>
            <b/>
            <sz val="9"/>
            <color indexed="81"/>
            <rFont val="Tahoma"/>
            <family val="2"/>
          </rPr>
          <t>AGarten:</t>
        </r>
        <r>
          <rPr>
            <sz val="9"/>
            <color indexed="81"/>
            <rFont val="Tahoma"/>
            <family val="2"/>
          </rPr>
          <t xml:space="preserve">
Changed EPA requirement to EPA SIP requirement</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H332" authorId="0">
      <text>
        <r>
          <rPr>
            <b/>
            <sz val="9"/>
            <color indexed="81"/>
            <rFont val="Tahoma"/>
            <family val="2"/>
          </rPr>
          <t>AGarten:</t>
        </r>
        <r>
          <rPr>
            <sz val="9"/>
            <color indexed="81"/>
            <rFont val="Tahoma"/>
            <family val="2"/>
          </rPr>
          <t xml:space="preserve">
Fixed punctuation</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<sst xmlns="http://schemas.openxmlformats.org/spreadsheetml/2006/main" count="2000" uniqueCount="794">
  <si>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</si>
  <si>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</si>
  <si>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</si>
  <si>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</si>
  <si>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</si>
  <si>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</si>
  <si>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</si>
  <si>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</si>
  <si>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</si>
  <si>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</si>
  <si>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</si>
  <si>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</si>
  <si>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</si>
  <si>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</si>
  <si>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</si>
  <si>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</si>
  <si>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</si>
  <si>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</si>
  <si>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</si>
  <si>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</si>
  <si>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</si>
  <si>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</si>
  <si>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</si>
  <si>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</si>
  <si>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</si>
  <si>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</si>
  <si>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</si>
  <si>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</si>
  <si>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</si>
  <si>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</si>
  <si>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</si>
  <si>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</si>
  <si>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</si>
  <si>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</si>
  <si>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</si>
  <si>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</si>
  <si>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</si>
  <si>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</si>
  <si>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</si>
  <si>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</si>
  <si>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</si>
  <si>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</si>
  <si>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</si>
  <si>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</si>
  <si>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</si>
  <si>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</si>
  <si>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</si>
  <si>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</si>
  <si>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</si>
  <si>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</si>
  <si>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</si>
  <si>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</si>
  <si>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</si>
  <si>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</si>
  <si>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</si>
  <si>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</si>
  <si>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</si>
  <si>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</si>
  <si>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</si>
  <si>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</si>
  <si>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</si>
  <si>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</si>
  <si>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</si>
  <si>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</si>
  <si>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</si>
  <si>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</si>
  <si>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</si>
  <si>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</si>
  <si>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</si>
  <si>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</si>
  <si>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</si>
  <si>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</si>
  <si>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</si>
  <si>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</si>
  <si>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</si>
  <si>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</si>
  <si>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</si>
  <si>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</si>
  <si>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</si>
  <si>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</si>
  <si>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</si>
  <si>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</si>
  <si>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</si>
  <si>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</si>
  <si>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</si>
  <si>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</si>
  <si>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</si>
  <si>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</si>
  <si>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</si>
  <si>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</si>
  <si>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</si>
  <si>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</si>
  <si>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</si>
  <si>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</si>
  <si>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</si>
  <si>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</si>
  <si>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</si>
  <si>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</si>
  <si>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</si>
  <si>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</si>
  <si>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</si>
  <si>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</si>
  <si>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</si>
  <si>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</si>
  <si>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</si>
  <si>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</si>
  <si>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</si>
  <si>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</si>
  <si>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</si>
  <si>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</si>
  <si>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</si>
  <si>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</si>
  <si>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</si>
  <si>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</si>
  <si>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</si>
  <si>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</si>
  <si>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</si>
  <si>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</si>
  <si>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</si>
  <si>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</si>
  <si>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</si>
  <si>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</si>
  <si>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</si>
  <si>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</si>
  <si>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</si>
  <si>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</si>
  <si>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</si>
  <si>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</si>
  <si>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</si>
  <si>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</si>
  <si>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</si>
  <si>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</si>
  <si>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</si>
  <si>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</si>
  <si>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</si>
  <si>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</si>
  <si>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</si>
  <si>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</si>
  <si>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</si>
  <si>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</si>
  <si>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</si>
  <si>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</si>
  <si>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</si>
  <si>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</si>
  <si>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</si>
  <si>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</si>
  <si>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</si>
  <si>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</si>
  <si>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</si>
  <si>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</si>
  <si>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</si>
  <si>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</si>
  <si>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</si>
  <si>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</si>
  <si>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</si>
  <si>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</si>
  <si>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</si>
  <si>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</si>
  <si>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</si>
  <si>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</si>
  <si>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</si>
  <si>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</si>
  <si>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</si>
  <si>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</si>
  <si>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</si>
  <si>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</si>
  <si>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</si>
  <si>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</si>
  <si>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</si>
  <si>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</si>
  <si>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</si>
  <si>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</si>
  <si>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</si>
  <si>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</si>
  <si>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</si>
  <si>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</si>
  <si>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</si>
  <si>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</si>
  <si>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</si>
  <si>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</si>
  <si>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</si>
  <si>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</si>
  <si>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</si>
  <si>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</si>
  <si>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</si>
  <si>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</si>
  <si>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</si>
  <si>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</si>
  <si>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</si>
  <si>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</si>
  <si>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</si>
  <si>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</si>
  <si>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</si>
  <si>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</si>
  <si>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</si>
  <si>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</si>
  <si>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</si>
  <si>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</si>
  <si>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</si>
  <si>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</si>
  <si>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</si>
  <si>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</si>
  <si>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</si>
  <si>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</si>
  <si>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</si>
  <si>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</si>
  <si>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</si>
  <si>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</si>
  <si>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</si>
  <si>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</si>
  <si>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</si>
  <si>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</si>
  <si>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</si>
  <si>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</si>
  <si>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</si>
  <si>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</si>
  <si>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</si>
  <si>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</si>
  <si>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</si>
  <si>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</si>
  <si>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</si>
  <si>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</si>
  <si>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</si>
  <si>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</si>
  <si>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</si>
  <si>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</si>
  <si>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</si>
  <si>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</si>
  <si>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</si>
  <si>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</si>
  <si>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</si>
  <si>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</si>
  <si>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</si>
  <si>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</si>
  <si>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</si>
  <si>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</si>
  <si>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</si>
  <si>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</si>
  <si>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</si>
  <si>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</si>
  <si>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</si>
  <si>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</si>
  <si>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</si>
  <si>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</si>
  <si>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</si>
  <si>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</si>
  <si>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</si>
  <si>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</si>
  <si>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</si>
  <si>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</si>
  <si>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</si>
  <si>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</si>
  <si>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</si>
  <si>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</si>
  <si>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</si>
  <si>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</si>
  <si>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</si>
  <si>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</si>
  <si>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</si>
  <si>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</si>
  <si>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</si>
  <si>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</si>
  <si>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</si>
  <si>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</si>
  <si>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</si>
  <si>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</si>
  <si>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</si>
  <si>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</si>
  <si>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</si>
  <si>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</si>
  <si>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</si>
  <si>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</si>
  <si>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</si>
  <si>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</si>
  <si>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</si>
  <si>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</si>
  <si>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</si>
  <si>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</si>
  <si>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</si>
  <si>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</si>
  <si>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</si>
  <si>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</si>
  <si>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</si>
  <si>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</si>
  <si>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</si>
  <si>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</si>
  <si>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</si>
  <si>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</si>
  <si>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</si>
  <si>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</si>
  <si>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</si>
  <si>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</si>
  <si>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</si>
  <si>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</si>
  <si>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</si>
  <si>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</si>
  <si>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</si>
  <si>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</si>
  <si>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</si>
  <si>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</si>
  <si>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</si>
  <si>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</si>
  <si>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</si>
  <si>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</si>
  <si>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</si>
  <si>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</si>
  <si>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</si>
  <si>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</si>
  <si>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</si>
  <si>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</si>
  <si>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</si>
  <si>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</si>
  <si>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</si>
  <si>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</si>
  <si>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</si>
  <si>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</si>
  <si>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</si>
  <si>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</si>
  <si>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</si>
  <si>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</si>
  <si>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</si>
  <si>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</si>
  <si>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</si>
  <si>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</si>
  <si>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</si>
  <si>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</si>
  <si>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</si>
  <si>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</si>
  <si>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</si>
  <si>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</si>
  <si>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</si>
  <si>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</si>
  <si>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</si>
  <si>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</si>
  <si>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</si>
  <si>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</si>
  <si>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</si>
  <si>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</si>
  <si>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</si>
  <si>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</si>
  <si>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</si>
  <si>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</si>
  <si>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</si>
  <si>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</si>
  <si>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</si>
  <si>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</si>
  <si>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</si>
  <si>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</si>
  <si>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</si>
  <si>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</si>
  <si>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</si>
  <si>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</si>
  <si>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</si>
  <si>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</si>
  <si>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</si>
  <si>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</si>
  <si>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</si>
  <si>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</si>
  <si>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</si>
  <si>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</si>
  <si>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</si>
  <si>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</si>
  <si>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</si>
  <si>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</si>
  <si>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</si>
  <si>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</si>
  <si>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</si>
  <si>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</si>
  <si>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</si>
  <si>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</si>
  <si>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</si>
  <si>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</si>
  <si>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</si>
  <si>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</si>
  <si>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</si>
  <si>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</si>
  <si>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</si>
  <si>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</si>
  <si>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</si>
  <si>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</si>
  <si>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</si>
  <si>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</si>
  <si>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</si>
  <si>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</si>
  <si>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</si>
  <si>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</si>
  <si>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</si>
  <si>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</si>
  <si>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</si>
  <si>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</si>
  <si>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</si>
  <si>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</si>
  <si>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</si>
  <si>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</si>
  <si>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</si>
  <si>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</si>
  <si>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</si>
  <si>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</si>
  <si>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</si>
  <si>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</si>
  <si>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</si>
  <si>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</si>
  <si>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</si>
  <si>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</si>
  <si>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</si>
  <si>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</si>
  <si>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</si>
  <si>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</si>
  <si>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</si>
  <si>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</si>
  <si>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</si>
  <si>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</si>
  <si>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</si>
  <si>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</si>
  <si>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</si>
  <si>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</si>
  <si>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</si>
  <si>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</si>
  <si>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</si>
  <si>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</si>
  <si>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</si>
  <si>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</si>
  <si>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</si>
  <si>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</si>
  <si>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</si>
  <si>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</si>
  <si>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</si>
  <si>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</si>
  <si>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</si>
  <si>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</si>
  <si>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</si>
  <si>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</si>
  <si>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</si>
  <si>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</si>
  <si>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</si>
  <si>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</si>
  <si>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</si>
  <si>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</si>
  <si>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</si>
  <si>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</si>
  <si>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</si>
  <si>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</si>
  <si>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</si>
  <si>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</si>
  <si>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</si>
  <si>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</si>
  <si>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</si>
  <si>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</si>
  <si>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</si>
  <si>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</si>
  <si>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</si>
  <si>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</si>
  <si>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</si>
  <si>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</si>
  <si>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</si>
  <si>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</si>
  <si>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</si>
  <si>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</si>
  <si>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</si>
  <si>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</si>
  <si>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</si>
  <si>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</si>
  <si>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</si>
  <si>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</si>
  <si>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</si>
  <si>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</si>
  <si>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</si>
  <si>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</si>
  <si>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</si>
  <si>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</si>
  <si>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</si>
  <si>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</si>
  <si>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</si>
  <si>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</si>
  <si>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</si>
  <si>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</si>
  <si>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</si>
  <si>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</si>
  <si>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</si>
  <si>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</si>
  <si>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</si>
  <si>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</si>
  <si>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</si>
  <si>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</si>
  <si>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</si>
  <si>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</si>
  <si>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</si>
  <si>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</si>
  <si>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</si>
  <si>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</si>
  <si>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</si>
  <si>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</si>
  <si>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</si>
  <si>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</si>
  <si>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</si>
  <si>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</si>
  <si>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</si>
  <si>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</si>
  <si>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</si>
  <si>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</si>
  <si>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</si>
  <si>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</si>
  <si>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</si>
  <si>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</si>
  <si>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</si>
  <si>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</si>
  <si>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</si>
  <si>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</si>
  <si>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</si>
  <si>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</si>
  <si>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</si>
  <si>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</si>
  <si>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</si>
  <si>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</si>
  <si>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</si>
  <si>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</si>
  <si>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</si>
  <si>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</si>
  <si>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</si>
  <si>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</si>
  <si>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</si>
  <si>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</si>
  <si>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</si>
  <si>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</si>
  <si>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</si>
  <si>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</si>
  <si>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</si>
  <si>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</si>
  <si>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</si>
  <si>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</si>
  <si>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</si>
  <si>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</si>
  <si>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</si>
  <si>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</si>
  <si>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</si>
  <si>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</si>
  <si>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</si>
  <si>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</si>
  <si>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</si>
  <si>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</si>
  <si>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</si>
  <si>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</si>
  <si>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</si>
  <si>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</si>
  <si>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</si>
  <si>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</si>
  <si>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</si>
  <si>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</si>
  <si>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</si>
  <si>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</si>
  <si>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</si>
  <si>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</si>
  <si>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</si>
  <si>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</si>
  <si>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</si>
  <si>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</si>
  <si>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</si>
  <si>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</si>
  <si>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</si>
  <si>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</si>
  <si>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</si>
  <si>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</si>
  <si>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</si>
  <si>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</si>
  <si>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</si>
  <si>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</si>
  <si>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</si>
  <si>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</si>
  <si>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</si>
  <si>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</si>
  <si>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</si>
  <si>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</si>
  <si>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</si>
  <si>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</si>
  <si>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</si>
  <si>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</si>
  <si>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</si>
  <si>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</si>
  <si>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</si>
  <si>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</si>
  <si>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</si>
  <si>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</si>
  <si>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</si>
  <si>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</si>
  <si>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</si>
  <si>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</si>
  <si>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</si>
  <si>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</si>
  <si>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</si>
  <si>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</si>
  <si>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</si>
  <si>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</si>
  <si>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</si>
  <si>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</si>
  <si>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</si>
  <si>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</si>
  <si>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</si>
  <si>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</si>
  <si>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</si>
  <si>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</si>
  <si>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</si>
  <si>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</si>
  <si>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</si>
  <si>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</si>
  <si>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</si>
  <si>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</si>
  <si>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</si>
  <si>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</si>
  <si>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</si>
  <si>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</si>
  <si>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</si>
  <si>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</si>
  <si>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</si>
  <si>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</si>
  <si>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</si>
  <si>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</si>
  <si>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</si>
  <si>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</si>
  <si>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</si>
  <si>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</si>
  <si>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</si>
  <si>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</si>
  <si>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</si>
  <si>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</si>
  <si>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</si>
  <si>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</si>
  <si>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</si>
  <si>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</si>
  <si>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</si>
  <si>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</si>
  <si>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</si>
  <si>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</si>
  <si>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</si>
  <si>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</si>
  <si>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</si>
  <si>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</si>
  <si>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</si>
  <si>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</si>
  <si>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</si>
  <si>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</si>
  <si>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</si>
  <si>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</si>
  <si>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</si>
  <si>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</si>
  <si>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</si>
  <si>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</si>
  <si>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</si>
  <si>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</si>
  <si>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</si>
  <si>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</si>
  <si>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</si>
  <si>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</si>
  <si>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</si>
  <si>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</si>
  <si>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</si>
  <si>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</si>
  <si>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</si>
  <si>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</si>
  <si>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</si>
  <si>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</si>
  <si>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</si>
  <si>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</si>
  <si>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</si>
  <si>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</si>
  <si>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</si>
  <si>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</si>
  <si>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</si>
  <si>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</si>
  <si>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</si>
  <si>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</si>
  <si>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</si>
  <si>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</si>
  <si>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</si>
  <si>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</si>
  <si>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</si>
  <si>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</si>
  <si>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</si>
  <si>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</si>
  <si>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</si>
  <si>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</si>
  <si>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</si>
  <si>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</si>
  <si>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</si>
  <si>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</si>
  <si>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</si>
  <si>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</si>
  <si>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</si>
  <si>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</si>
  <si>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</si>
  <si>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</si>
  <si>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</si>
  <si>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</si>
  <si>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</si>
  <si>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</si>
  <si>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</si>
  <si>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</si>
  <si>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</si>
  <si>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</si>
  <si>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</si>
  <si>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</si>
  <si>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</si>
  <si>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</si>
  <si>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</si>
  <si>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</si>
  <si>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</si>
  <si>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</si>
  <si>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</si>
  <si>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</si>
  <si>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</si>
  <si>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</si>
  <si>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</si>
  <si>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</si>
  <si>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</si>
  <si>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</si>
  <si>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</si>
  <si>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</si>
  <si>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</si>
  <si>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</si>
  <si>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</si>
  <si>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</si>
  <si>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</si>
  <si>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</si>
  <si>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</si>
  <si>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</si>
  <si>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</si>
  <si>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</si>
  <si>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</si>
  <si>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</si>
  <si>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</si>
  <si>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</si>
  <si>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</si>
  <si>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</si>
  <si>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</si>
  <si>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</si>
  <si>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</si>
  <si>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</si>
  <si>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</si>
  <si>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</si>
  <si>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</si>
  <si>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</si>
  <si>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</si>
  <si>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</si>
  <si>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</si>
  <si>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</si>
  <si>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</si>
  <si>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</si>
  <si>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</si>
  <si>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</si>
  <si>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</si>
  <si>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</si>
  <si>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</si>
  <si>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</si>
  <si>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</si>
  <si>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</si>
  <si>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</si>
  <si>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</si>
  <si>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</si>
  <si>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</si>
  <si>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</si>
  <si>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</si>
  <si>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</si>
  <si>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</si>
  <si>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</si>
  <si>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</si>
  <si>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</si>
  <si>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</si>
  <si>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</si>
  <si>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</si>
  <si>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</si>
  <si>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</si>
  <si>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</si>
  <si>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</si>
  <si>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</si>
  <si>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</si>
  <si>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</si>
  <si>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</si>
  <si>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</si>
  <si>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</si>
  <si>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</si>
  <si>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</si>
  <si>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</si>
  <si>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</si>
  <si>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</si>
  <si>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</si>
  <si>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</si>
  <si>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</si>
  <si>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</si>
  <si>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</si>
  <si>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</si>
  <si>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</si>
  <si>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</si>
  <si>
    <t>Lydia</t>
  </si>
  <si>
    <t>http://deqsps/programs/rulemaking/aq/gplimited/default.aspx</t>
  </si>
  <si>
    <t>&amp;</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</si>
</sst>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
      <patternFill patternType="solid">
        <fgColor rgb="FF92D050"/>
        <bgColor indexed="64"/>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3">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6" fontId="80" fillId="0" borderId="73" xfId="0" applyNumberFormat="1" applyFont="1" applyFill="1" applyBorder="1" applyAlignment="1" applyProtection="1">
      <alignment horizontal="right" vertical="center"/>
      <protection locked="0"/>
    </xf>
    <xf numFmtId="164" fontId="73" fillId="44" borderId="0" xfId="0" applyNumberFormat="1" applyFont="1" applyFill="1" applyBorder="1" applyAlignment="1" applyProtection="1">
      <alignment horizontal="left" vertical="center" wrapText="1" indent="1"/>
    </xf>
    <xf numFmtId="164" fontId="73" fillId="44" borderId="0" xfId="1" applyNumberFormat="1" applyFont="1" applyFill="1" applyBorder="1" applyAlignment="1" applyProtection="1">
      <alignment horizontal="left" vertical="center" wrapText="1"/>
    </xf>
    <xf numFmtId="167" fontId="110" fillId="35" borderId="31" xfId="1" applyNumberFormat="1" applyAlignment="1" applyProtection="1">
      <alignment horizontal="left" vertical="center" wrapText="1" indent="2"/>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deq000/templates/General/Agenda%20Template.dotx" TargetMode="External"/><Relationship Id="rId21" Type="http://schemas.openxmlformats.org/officeDocument/2006/relationships/hyperlink" Target="mailto:RulePublications@deq.state.or.us"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74" Type="http://schemas.openxmlformats.org/officeDocument/2006/relationships/comments" Target="../comments1.xml"/><Relationship Id="rId5" Type="http://schemas.openxmlformats.org/officeDocument/2006/relationships/hyperlink" Target="http://deq05/intranet/contentmanagement/login.asp" TargetMode="External"/><Relationship Id="rId61" Type="http://schemas.openxmlformats.org/officeDocument/2006/relationships/hyperlink" Target="http://arcweb.sos.state.or.us/pages/rules/oars_300/oar_340/340_018.html"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drawing" Target="../drawings/drawing1.x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hyperlink" Target="file://DEQHQ1/default.asp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10" Type="http://schemas.openxmlformats.org/officeDocument/2006/relationships/hyperlink" Target="http://www.lc.state.or.us/arrs.htm"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vmlDrawing" Target="../drawings/vmlDrawing1.v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39" Type="http://schemas.openxmlformats.org/officeDocument/2006/relationships/hyperlink" Target="file://deq000/templates/General/Minutes%20Template.dotx" TargetMode="External"/><Relationship Id="rId34" Type="http://schemas.openxmlformats.org/officeDocument/2006/relationships/hyperlink" Target="http://deq05/intranet/communication/WebRequests.ht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7" Type="http://schemas.openxmlformats.org/officeDocument/2006/relationships/hyperlink" Target="http://deq05/intranet/communication/docs/DEQAgencyTemplate1.potx" TargetMode="External"/><Relationship Id="rId7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zoomScaleNormal="100" workbookViewId="0">
      <selection activeCell="G18" sqref="G18"/>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customWidth="1" outlineLevel="1" collapsed="1"/>
    <col min="33" max="33" width="7.375" customWidth="1" outlineLevel="1"/>
    <col min="34" max="34" width="7.625" style="23" customWidth="1" outlineLevel="1"/>
    <col min="35" max="35" width="8.625" style="37" customWidth="1" outlineLevel="1"/>
    <col min="36" max="36" width="5.75" style="23" customWidth="1" outlineLevel="1"/>
    <col min="37" max="37" width="50.25" customWidth="1" outlineLevel="1"/>
    <col min="38" max="38" width="4.5" customWidth="1" outlineLevel="1"/>
    <col min="39" max="39" width="18.25" style="23" customWidth="1"/>
  </cols>
  <sheetData>
    <row r="1" spans="1:51" ht="20.25" customHeight="1">
      <c r="A1" s="145" t="s">
        <v>0</v>
      </c>
      <c r="B1" s="105" t="s">
        <v>28</v>
      </c>
      <c r="C1" s="141"/>
      <c r="D1" s="690" t="s">
        <v>0</v>
      </c>
      <c r="E1" s="690"/>
      <c r="F1" s="820" t="s">
        <v>0</v>
      </c>
      <c r="G1" s="1022" t="s">
        <v>0</v>
      </c>
      <c r="H1" s="1022"/>
      <c r="I1" s="745"/>
      <c r="AF1" s="361" t="s">
        <v>21</v>
      </c>
      <c r="AG1" s="59"/>
      <c r="AH1" s="76"/>
      <c r="AI1" s="816"/>
      <c r="AJ1" s="1020"/>
      <c r="AK1" s="1020"/>
      <c r="AL1" s="1020"/>
      <c r="AM1" s="1020"/>
      <c r="AN1" s="1020"/>
      <c r="AO1" s="1020"/>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7" t="s">
        <v>0</v>
      </c>
      <c r="D3" s="1037"/>
      <c r="E3" s="1037"/>
      <c r="F3" s="1037"/>
      <c r="G3" s="799">
        <f ca="1">AG3</f>
        <v>41907</v>
      </c>
      <c r="H3" s="800">
        <f>AH3</f>
        <v>42170</v>
      </c>
      <c r="I3" s="745"/>
      <c r="J3"/>
      <c r="K3"/>
      <c r="L3"/>
      <c r="M3"/>
      <c r="N3"/>
      <c r="O3"/>
      <c r="P3"/>
      <c r="Q3"/>
      <c r="R3"/>
      <c r="S3"/>
      <c r="T3"/>
      <c r="U3"/>
      <c r="X3"/>
      <c r="AB3"/>
      <c r="AC3"/>
      <c r="AF3" s="361" t="s">
        <v>59</v>
      </c>
      <c r="AG3" s="60">
        <f ca="1">TODAY()</f>
        <v>41907</v>
      </c>
      <c r="AH3" s="60">
        <f>S.EndOfRulemaking</f>
        <v>42170</v>
      </c>
      <c r="AI3" s="479" t="s">
        <v>0</v>
      </c>
      <c r="AJ3" s="380"/>
      <c r="AK3" s="348" t="str">
        <f>"Last row = "&amp;ROW(S.General.LastCellSchedule)</f>
        <v>Last row = 866</v>
      </c>
      <c r="AL3" s="76"/>
      <c r="AS3" s="1031"/>
      <c r="AT3" s="1031"/>
      <c r="AU3" s="1031"/>
      <c r="AV3" s="1031"/>
      <c r="AW3" s="1031"/>
      <c r="AX3" s="1031"/>
      <c r="AY3" s="1031"/>
    </row>
    <row r="4" spans="1:51" ht="6" customHeight="1" thickBot="1">
      <c r="A4" s="163"/>
      <c r="B4" s="106" t="s">
        <v>793</v>
      </c>
      <c r="C4" s="98"/>
      <c r="D4" s="691"/>
      <c r="E4" s="691"/>
      <c r="F4" s="99"/>
      <c r="G4" s="98"/>
      <c r="H4" s="98"/>
      <c r="I4" s="745"/>
      <c r="AF4" s="361" t="s">
        <v>16</v>
      </c>
      <c r="AG4" s="58"/>
      <c r="AH4" s="58"/>
      <c r="AI4" s="58"/>
      <c r="AJ4" s="160"/>
      <c r="AK4" s="58"/>
      <c r="AL4" s="76"/>
      <c r="AM4"/>
    </row>
    <row r="5" spans="1:51" s="23" customFormat="1" ht="39.75" hidden="1" customHeight="1" thickBot="1">
      <c r="A5" s="163"/>
      <c r="B5" s="1034" t="s">
        <v>645</v>
      </c>
      <c r="C5" s="1034"/>
      <c r="D5" s="1034"/>
      <c r="E5" s="1034"/>
      <c r="F5" s="1034"/>
      <c r="G5" s="840"/>
      <c r="H5" s="840"/>
      <c r="I5" s="918"/>
      <c r="J5"/>
      <c r="K5"/>
      <c r="L5"/>
      <c r="M5"/>
      <c r="N5"/>
      <c r="O5"/>
      <c r="P5"/>
      <c r="Q5"/>
      <c r="R5"/>
      <c r="S5"/>
      <c r="T5"/>
      <c r="U5"/>
      <c r="X5"/>
      <c r="AB5"/>
      <c r="AC5"/>
      <c r="AF5" s="361">
        <v>0</v>
      </c>
      <c r="AG5" s="58"/>
      <c r="AH5" s="808" t="s">
        <v>647</v>
      </c>
      <c r="AI5" s="58" t="s">
        <v>0</v>
      </c>
      <c r="AJ5" s="160"/>
      <c r="AK5" s="497" t="s">
        <v>0</v>
      </c>
      <c r="AL5" s="76"/>
    </row>
    <row r="6" spans="1:51" s="23" customFormat="1" ht="14.1" customHeight="1" thickTop="1" thickBot="1">
      <c r="A6" s="163"/>
      <c r="B6" s="330" t="s">
        <v>646</v>
      </c>
      <c r="C6" s="481" t="s">
        <v>16</v>
      </c>
      <c r="F6" s="899"/>
      <c r="G6" s="333">
        <v>41820</v>
      </c>
      <c r="I6" s="919"/>
      <c r="AF6" s="362">
        <f>IF(C6="N",0,1)</f>
        <v>1</v>
      </c>
      <c r="AG6" s="58"/>
      <c r="AH6" s="809">
        <f>IF(C6="N",S.Overview.BANNER.Start,G6)</f>
        <v>41820</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5"/>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1035"/>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1035"/>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41806</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41806</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76" t="str">
        <f>AK20</f>
        <v>EPA - submit at least 45 days before submitting notice to Rules Publications</v>
      </c>
      <c r="D20" s="693"/>
      <c r="E20" s="693"/>
      <c r="F20" s="902">
        <f>IF(S.SIP.Involved="N",,IF(S.General.Complexity=1,0,45))</f>
        <v>45</v>
      </c>
      <c r="G20" s="843" t="s">
        <v>0</v>
      </c>
      <c r="H20" s="265">
        <f>AH20</f>
        <v>41897</v>
      </c>
      <c r="I20" s="922">
        <f>IF(S.SIP.Involved="N",,IF(S.General.Complexity=1,0,45))</f>
        <v>45</v>
      </c>
      <c r="AF20" s="362">
        <f>IF(S.SIP.Involved="Y",1,0)</f>
        <v>1</v>
      </c>
      <c r="AG20" s="48"/>
      <c r="AH20" s="916">
        <f>IF(S.SIP.Involved="N",,IF(S.Notice.Involved="N","ERROR",WORKDAY(S.Notice.SubmitToSOS-90,-1,S.DDL_DEQClosed)))</f>
        <v>41897</v>
      </c>
      <c r="AI20" s="868" t="s">
        <v>0</v>
      </c>
      <c r="AJ20" s="344"/>
      <c r="AK20" s="63" t="str">
        <f>IF(S.SIP.Involved="N","-blank-",IF(ISERROR(H20)=TRUE,"ERROR - Must enter 'Y' to involve public notice and hearing below","EPA - submit at least 45 days before submitting notice to Rules Publications"))</f>
        <v>EPA - submit at least 45 days before submitting notice to Rules Publications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767</v>
      </c>
      <c r="G22" s="977">
        <f>AG22</f>
        <v>41820</v>
      </c>
      <c r="H22" s="978">
        <f>AH22</f>
        <v>42024</v>
      </c>
      <c r="I22" s="922" t="s">
        <v>0</v>
      </c>
      <c r="J22"/>
      <c r="K22"/>
      <c r="L22"/>
      <c r="M22"/>
      <c r="N22"/>
      <c r="O22"/>
      <c r="P22"/>
      <c r="Q22"/>
      <c r="R22"/>
      <c r="S22"/>
      <c r="T22"/>
      <c r="U22"/>
      <c r="X22"/>
      <c r="AB22"/>
      <c r="AC22"/>
      <c r="AF22" s="361">
        <f>IF(S.Notice.Involved="N",0,1)</f>
        <v>1</v>
      </c>
      <c r="AG22" s="60">
        <f>IF(S.Notice.Involved="N",,S.DIRECTOR.Approves.ForDEQRulemakingPlan)</f>
        <v>41820</v>
      </c>
      <c r="AH22" s="60">
        <f>IF(S.Notice.Involved="N",,S.Notice.CloseComment)</f>
        <v>42024</v>
      </c>
      <c r="AI22" s="59" t="s">
        <v>768</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f>AG23</f>
        <v>41941</v>
      </c>
      <c r="H23" s="291">
        <f>AH23</f>
        <v>41946</v>
      </c>
      <c r="I23" s="922">
        <f>IF(S.Notice.Involved="N",0,10)</f>
        <v>10</v>
      </c>
      <c r="AF23" s="361">
        <f>IF(S.Notice.Involved="Y",1,0)</f>
        <v>1</v>
      </c>
      <c r="AG23" s="60">
        <f>IF(S.Notice.Involved="N",,WORKDAY(H23-F23+1,-1,S.DDL_DEQClosed))</f>
        <v>41941</v>
      </c>
      <c r="AH23" s="60">
        <f>IF(S.Notice.Involved="N",,WORKDAY(S.Notice.Submit.ToADA-20,-1,S.DDL_DEQClosed))</f>
        <v>41946</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f>AG24</f>
        <v>41943</v>
      </c>
      <c r="H24" s="309">
        <f t="shared" ref="H24" si="1">AH24</f>
        <v>41953</v>
      </c>
      <c r="I24" s="922">
        <f>IF(S.Notice.Involved="N",0,IF(S.General.Complexity=1,7,IF(S.General.Complexity=2,14,21)))</f>
        <v>14</v>
      </c>
      <c r="AF24" s="361">
        <f>IF(S.Notice.Involved="Y",1,0)</f>
        <v>1</v>
      </c>
      <c r="AG24" s="60">
        <f>IF(S.Notice.Involved="N",,WORKDAY(H24-F24+1,-1,S.DDL_DEQClosed))</f>
        <v>41943</v>
      </c>
      <c r="AH24" s="60">
        <f>IF(S.Notice.Involved="N",,WORKDAY(S.Notice.Submit.ToADA-13,-1,S.DDL_DEQClosed))</f>
        <v>41953</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7</v>
      </c>
      <c r="G25" s="913">
        <f>AG25</f>
        <v>41967</v>
      </c>
      <c r="H25" s="309">
        <f>AH25</f>
        <v>41974</v>
      </c>
      <c r="I25" s="922">
        <v>7</v>
      </c>
      <c r="J25"/>
      <c r="K25"/>
      <c r="L25"/>
      <c r="M25"/>
      <c r="N25"/>
      <c r="O25"/>
      <c r="P25"/>
      <c r="Q25"/>
      <c r="R25"/>
      <c r="S25"/>
      <c r="T25"/>
      <c r="U25"/>
      <c r="X25"/>
      <c r="AB25"/>
      <c r="AC25"/>
      <c r="AF25" s="361">
        <f>IF(S.Notice.Involved="Y",1,0)</f>
        <v>1</v>
      </c>
      <c r="AG25" s="60">
        <f>IF(S.Notice.Involved="N",,WORKDAY(H25-F25+1,-1,S.DDL_DEQClosed))</f>
        <v>41967</v>
      </c>
      <c r="AH25" s="60">
        <f>IF(S.Notice.Involved="N",,WORKDAY(S.Notice.SubmitToSOS-13,-1,S.DDL_DEQClosed))</f>
        <v>41974</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41988</v>
      </c>
      <c r="I26" s="745"/>
      <c r="AF26" s="361">
        <f>IF(S.Notice.Involved="Y",1,0)</f>
        <v>1</v>
      </c>
      <c r="AG26" s="48"/>
      <c r="AH26" s="60">
        <f>IF(S.Notice.Involved="N",,VLOOKUP(S.Notice.InOregonBulletin,VL_Bulletin,2,FALSE))</f>
        <v>41988</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8" t="s">
        <v>685</v>
      </c>
      <c r="D27" s="1038"/>
      <c r="E27" s="1038"/>
      <c r="F27" s="1038"/>
      <c r="G27" s="1039"/>
      <c r="H27" s="839">
        <v>42005</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41974</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41988</v>
      </c>
      <c r="H29" s="977">
        <f>AH29</f>
        <v>42037</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41988</v>
      </c>
      <c r="AH29" s="60">
        <f>IF(S.Notice.Involved="N",, S.EQC.SubmitStaffRpt)</f>
        <v>42037</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41989</v>
      </c>
      <c r="I30" s="925"/>
      <c r="J30"/>
      <c r="K30"/>
      <c r="L30"/>
      <c r="M30"/>
      <c r="N30"/>
      <c r="O30"/>
      <c r="P30"/>
      <c r="Q30"/>
      <c r="R30"/>
      <c r="S30"/>
      <c r="T30"/>
      <c r="U30"/>
      <c r="X30"/>
      <c r="AB30"/>
      <c r="AC30"/>
      <c r="AF30" s="361">
        <f>IF(S.Hearing.1stInvolve="N",0,1)</f>
        <v>1</v>
      </c>
      <c r="AG30" s="48"/>
      <c r="AH30" s="60">
        <f>IF(S.Hearing.1stInvolve="N",,WORKDAY(S.Notice.SubmitToSOS,1,S.DDL_DEQClosed))</f>
        <v>41989</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f>AH31</f>
        <v>42019</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42019</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42024</v>
      </c>
      <c r="I32" s="925"/>
      <c r="AF32" s="361">
        <f>IF(S.Hearing.1stInvolve="N",0,1)</f>
        <v>1</v>
      </c>
      <c r="AG32" s="48"/>
      <c r="AH32" s="60">
        <f>IF(AF32=0,,IF(S.Notice.Involved="N",S.DIRECTOR.Approves.ForDEQRulemakingPlan,WORKDAY(S.Notice.LastHearingDate+2,1,S.DDL_DEQClosed)))</f>
        <v>42024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41988</v>
      </c>
      <c r="H34" s="977">
        <f>AH34</f>
        <v>42037</v>
      </c>
      <c r="I34" s="925"/>
      <c r="J34"/>
      <c r="K34"/>
      <c r="L34"/>
      <c r="M34"/>
      <c r="N34"/>
      <c r="O34"/>
      <c r="P34"/>
      <c r="Q34"/>
      <c r="R34"/>
      <c r="S34"/>
      <c r="T34"/>
      <c r="U34"/>
      <c r="X34"/>
      <c r="AB34"/>
      <c r="AC34"/>
      <c r="AF34" s="361">
        <v>1</v>
      </c>
      <c r="AG34" s="60">
        <f>S.Notice.SubmitToSOS</f>
        <v>41988</v>
      </c>
      <c r="AH34" s="60">
        <f>S.EQC.SubmitStaffRpt</f>
        <v>42037</v>
      </c>
      <c r="AI34" s="59"/>
      <c r="AJ34" s="161"/>
      <c r="AK34" s="869" t="s">
        <v>692</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IF(S.EQC.DirReport="Y",S.DIRECTOR.Approves.ForDEQRulemakingPlan,)</f>
        <v>41820</v>
      </c>
      <c r="AH37" s="60">
        <f>IF(S.EQC.DirReport="Y",S.DIRECTOR.Approves.ForDEQRulemakingPlan,)</f>
        <v>41820</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42037</v>
      </c>
      <c r="I41" s="924">
        <f>S.EQC.Meeting-S.EQC.SubmitStaffRpt</f>
        <v>41</v>
      </c>
      <c r="J41"/>
      <c r="K41"/>
      <c r="L41"/>
      <c r="M41"/>
      <c r="N41"/>
      <c r="O41"/>
      <c r="P41"/>
      <c r="Q41"/>
      <c r="R41"/>
      <c r="S41"/>
      <c r="T41"/>
      <c r="U41"/>
      <c r="X41"/>
      <c r="AB41"/>
      <c r="AC41"/>
      <c r="AF41" s="361">
        <v>1</v>
      </c>
      <c r="AG41" s="48"/>
      <c r="AH41" s="60">
        <f>VLOOKUP(S.EQC.Meeting,VL_EQCActivities,2,FALSE)</f>
        <v>42037</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8" t="s">
        <v>685</v>
      </c>
      <c r="D42" s="1038"/>
      <c r="E42" s="1038"/>
      <c r="F42" s="1038"/>
      <c r="G42" s="1039"/>
      <c r="H42" s="983">
        <v>42078</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42172</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42" t="s">
        <v>0</v>
      </c>
      <c r="H43" s="1042"/>
      <c r="I43" s="928">
        <v>-55</v>
      </c>
      <c r="J43"/>
      <c r="K43"/>
      <c r="L43"/>
      <c r="M43"/>
      <c r="N43"/>
      <c r="O43"/>
      <c r="P43"/>
      <c r="Q43"/>
      <c r="R43"/>
      <c r="S43"/>
      <c r="T43"/>
      <c r="U43"/>
      <c r="X43"/>
      <c r="AB43"/>
      <c r="AC43"/>
      <c r="AF43" s="361">
        <v>1</v>
      </c>
      <c r="AG43" s="1036" t="s">
        <v>758</v>
      </c>
      <c r="AH43" s="1036"/>
      <c r="AI43" s="1036"/>
      <c r="AJ43" s="1036"/>
      <c r="AK43" s="1036"/>
      <c r="AL43" s="76"/>
    </row>
    <row r="44" spans="1:39" s="23" customFormat="1" ht="14.1" hidden="1" customHeight="1" thickTop="1">
      <c r="A44" s="145"/>
      <c r="C44" s="335"/>
      <c r="D44"/>
      <c r="G44" s="1042"/>
      <c r="H44" s="1042"/>
      <c r="I44" s="924">
        <f>SUM(I8:I42)</f>
        <v>326</v>
      </c>
      <c r="J44"/>
      <c r="K44"/>
      <c r="L44"/>
      <c r="M44"/>
      <c r="N44"/>
      <c r="O44"/>
      <c r="P44"/>
      <c r="Q44"/>
      <c r="R44"/>
      <c r="S44"/>
      <c r="T44"/>
      <c r="U44"/>
      <c r="X44"/>
      <c r="AB44"/>
      <c r="AC44"/>
      <c r="AF44" s="361">
        <v>1</v>
      </c>
      <c r="AG44" s="1036" t="s">
        <v>759</v>
      </c>
      <c r="AH44" s="1036"/>
      <c r="AI44" s="1036"/>
      <c r="AJ44" s="1036"/>
      <c r="AK44" s="1036"/>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42078</v>
      </c>
      <c r="H46" s="977">
        <f>AH46</f>
        <v>42170</v>
      </c>
      <c r="I46" s="745"/>
      <c r="J46"/>
      <c r="K46"/>
      <c r="L46"/>
      <c r="M46"/>
      <c r="N46"/>
      <c r="O46"/>
      <c r="P46"/>
      <c r="Q46"/>
      <c r="R46"/>
      <c r="S46"/>
      <c r="T46"/>
      <c r="U46"/>
      <c r="X46"/>
      <c r="AB46"/>
      <c r="AC46"/>
      <c r="AF46" s="361">
        <v>1</v>
      </c>
      <c r="AG46" s="60">
        <f>S.EQC.Meeting</f>
        <v>42078</v>
      </c>
      <c r="AH46" s="60">
        <f>WORKDAY(S.PostEQC.BANNER.Begin+89,1,S.DDL_DEQClosed)</f>
        <v>42170</v>
      </c>
      <c r="AI46" s="48"/>
      <c r="AJ46" s="345"/>
      <c r="AK46" s="573" t="s">
        <v>0</v>
      </c>
      <c r="AL46" s="76"/>
    </row>
    <row r="47" spans="1:39" s="23" customFormat="1" ht="15" customHeight="1" thickBot="1">
      <c r="A47" s="145"/>
      <c r="B47" s="204" t="s">
        <v>58</v>
      </c>
      <c r="C47" s="266"/>
      <c r="D47" s="702"/>
      <c r="E47" s="702"/>
      <c r="F47" s="260"/>
      <c r="G47" s="369" t="s">
        <v>0</v>
      </c>
      <c r="H47" s="291">
        <f>AH47</f>
        <v>42080</v>
      </c>
      <c r="I47" s="745"/>
      <c r="J47"/>
      <c r="K47"/>
      <c r="L47"/>
      <c r="M47"/>
      <c r="N47"/>
      <c r="O47"/>
      <c r="P47"/>
      <c r="Q47"/>
      <c r="R47"/>
      <c r="S47"/>
      <c r="T47"/>
      <c r="U47"/>
      <c r="X47"/>
      <c r="AB47"/>
      <c r="AC47"/>
      <c r="AF47" s="361">
        <v>1</v>
      </c>
      <c r="AG47" s="48"/>
      <c r="AH47" s="60">
        <f>WORKDAY(S.EQC.Meeting+1,1,S.DDL_DEQClosed)</f>
        <v>42080</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42083</v>
      </c>
      <c r="I48" s="745"/>
      <c r="J48"/>
      <c r="K48"/>
      <c r="L48"/>
      <c r="M48"/>
      <c r="N48"/>
      <c r="O48"/>
      <c r="P48"/>
      <c r="Q48"/>
      <c r="R48"/>
      <c r="S48"/>
      <c r="T48"/>
      <c r="U48"/>
      <c r="X48"/>
      <c r="AB48"/>
      <c r="AC48"/>
      <c r="AF48" s="361">
        <f>IF(S.Fee.Involved="Y",1,0)</f>
        <v>0</v>
      </c>
      <c r="AG48" s="76" t="s">
        <v>0</v>
      </c>
      <c r="AH48" s="60">
        <f>WORKDAY(S.EQC.Meeting+5,0,S.DDL_DEQClosed)</f>
        <v>42083</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42080</v>
      </c>
      <c r="I49" s="745"/>
      <c r="AF49" s="361">
        <v>1</v>
      </c>
      <c r="AG49" s="76" t="s">
        <v>0</v>
      </c>
      <c r="AH49" s="60">
        <f>S.PostEQC.FileRuleWithSOS</f>
        <v>42080</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42138</v>
      </c>
      <c r="I50" s="745"/>
      <c r="J50"/>
      <c r="K50"/>
      <c r="L50"/>
      <c r="M50"/>
      <c r="N50"/>
      <c r="O50"/>
      <c r="P50"/>
      <c r="Q50"/>
      <c r="R50"/>
      <c r="S50"/>
      <c r="T50"/>
      <c r="U50"/>
      <c r="X50"/>
      <c r="AB50"/>
      <c r="AC50"/>
      <c r="AF50" s="362">
        <f>IF(S.SIP.Involved="Y",1,0)</f>
        <v>1</v>
      </c>
      <c r="AG50" s="48"/>
      <c r="AH50" s="60">
        <f>IF(S.SIP.Involved="N",,WORKDAY(S.EQC.Meeting+59,1,S.DDL_DEQClosed))</f>
        <v>42138</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S.DIRECTOR.Approves.ForDEQRulemakingPlan</f>
        <v>41820</v>
      </c>
      <c r="H54" s="201">
        <f>AH54</f>
        <v>41862</v>
      </c>
      <c r="I54" s="745"/>
      <c r="AF54" s="361" t="s">
        <v>59</v>
      </c>
      <c r="AG54" s="60">
        <f>S.DIRECTOR.Approves.ForDEQRulemakingPlan</f>
        <v>41820</v>
      </c>
      <c r="AH54" s="60">
        <f>IF(S.General.RuleType="P",WORKDAY(S.Notice.BANNER.Begin+39,1),S.EQC.BANNER.Begin)</f>
        <v>41862</v>
      </c>
      <c r="AI54" s="60">
        <f>MAX(H120:H214)</f>
        <v>41820</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780</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533</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736</v>
      </c>
      <c r="C59" s="97"/>
      <c r="D59" s="183"/>
      <c r="E59" s="183"/>
      <c r="G59" s="350"/>
      <c r="H59" s="350"/>
      <c r="I59" s="745"/>
      <c r="AF59" s="361">
        <v>1</v>
      </c>
      <c r="AG59" s="47"/>
      <c r="AH59" s="47"/>
      <c r="AI59" s="59"/>
      <c r="AJ59" s="43"/>
      <c r="AK59" s="35"/>
      <c r="AL59" s="76"/>
    </row>
    <row r="60" spans="1:39" s="23" customFormat="1" ht="14.1" customHeight="1" outlineLevel="2">
      <c r="A60" s="145"/>
      <c r="B60" s="342" t="s">
        <v>747</v>
      </c>
      <c r="C60" s="97"/>
      <c r="D60" s="183"/>
      <c r="E60" s="183"/>
      <c r="G60" s="350"/>
      <c r="H60" s="350"/>
      <c r="I60" s="745"/>
      <c r="AF60" s="361">
        <v>1</v>
      </c>
      <c r="AG60" s="47"/>
      <c r="AH60" s="47"/>
      <c r="AI60" s="59"/>
      <c r="AJ60" s="43"/>
      <c r="AK60" s="35"/>
      <c r="AL60" s="76"/>
    </row>
    <row r="61" spans="1:39" s="23" customFormat="1" ht="14.1" customHeight="1" outlineLevel="2">
      <c r="A61" s="145"/>
      <c r="B61" s="477" t="s">
        <v>745</v>
      </c>
      <c r="C61" s="97"/>
      <c r="D61" s="183"/>
      <c r="E61" s="183"/>
      <c r="G61" s="350"/>
      <c r="H61" s="350"/>
      <c r="I61" s="745"/>
      <c r="AF61" s="361">
        <v>1</v>
      </c>
      <c r="AG61" s="47"/>
      <c r="AH61" s="47"/>
      <c r="AI61" s="59"/>
      <c r="AJ61" s="43"/>
      <c r="AK61" s="35"/>
      <c r="AL61" s="76"/>
    </row>
    <row r="62" spans="1:39" s="23" customFormat="1" ht="14.1" customHeight="1" outlineLevel="2">
      <c r="A62" s="145"/>
      <c r="B62" s="477" t="s">
        <v>746</v>
      </c>
      <c r="C62" s="97"/>
      <c r="D62" s="183"/>
      <c r="E62" s="183"/>
      <c r="G62" s="350"/>
      <c r="H62" s="350"/>
      <c r="I62" s="745"/>
      <c r="AF62" s="361">
        <v>1</v>
      </c>
      <c r="AG62" s="47"/>
      <c r="AH62" s="47"/>
      <c r="AI62" s="59"/>
      <c r="AJ62" s="43"/>
      <c r="AK62" s="35"/>
      <c r="AL62" s="76"/>
    </row>
    <row r="63" spans="1:39" s="23" customFormat="1" ht="14.1" customHeight="1" outlineLevel="2">
      <c r="A63" s="145"/>
      <c r="B63" s="477" t="s">
        <v>744</v>
      </c>
      <c r="C63" s="97"/>
      <c r="D63" s="183"/>
      <c r="E63" s="183"/>
      <c r="G63" s="350"/>
      <c r="H63" s="350"/>
      <c r="I63" s="745"/>
      <c r="AF63" s="361">
        <v>1</v>
      </c>
      <c r="AG63" s="47"/>
      <c r="AH63" s="47"/>
      <c r="AI63" s="59"/>
      <c r="AJ63" s="43"/>
      <c r="AK63" s="35"/>
      <c r="AL63" s="76"/>
    </row>
    <row r="64" spans="1:39" s="23" customFormat="1" ht="16.5" customHeight="1" outlineLevel="2">
      <c r="A64" s="145"/>
      <c r="B64" s="477" t="s">
        <v>748</v>
      </c>
      <c r="C64" s="97"/>
      <c r="D64" s="183"/>
      <c r="E64" s="183"/>
      <c r="G64" s="350"/>
      <c r="H64" s="350"/>
      <c r="I64" s="745"/>
      <c r="AF64" s="361">
        <v>1</v>
      </c>
      <c r="AG64" s="47"/>
      <c r="AH64" s="47"/>
      <c r="AI64" s="59"/>
      <c r="AJ64" s="43"/>
      <c r="AK64" s="35"/>
      <c r="AL64" s="76"/>
    </row>
    <row r="65" spans="1:38" s="23" customFormat="1" ht="14.1" customHeight="1" outlineLevel="2">
      <c r="A65" s="145"/>
      <c r="B65" s="342" t="s">
        <v>741</v>
      </c>
      <c r="C65" s="97"/>
      <c r="D65" s="183"/>
      <c r="E65" s="183"/>
      <c r="G65" s="350"/>
      <c r="H65" s="350"/>
      <c r="I65" s="745"/>
      <c r="AF65" s="361">
        <v>1</v>
      </c>
      <c r="AG65" s="47"/>
      <c r="AH65" s="47"/>
      <c r="AI65" s="59"/>
      <c r="AJ65" s="43"/>
      <c r="AK65" s="35"/>
      <c r="AL65" s="76"/>
    </row>
    <row r="66" spans="1:38" s="23" customFormat="1" ht="14.1" customHeight="1" outlineLevel="2">
      <c r="A66" s="145"/>
      <c r="B66" s="477" t="s">
        <v>742</v>
      </c>
      <c r="C66" s="97"/>
      <c r="D66" s="183"/>
      <c r="E66" s="183"/>
      <c r="G66" s="350"/>
      <c r="H66" s="350"/>
      <c r="I66" s="745"/>
      <c r="AF66" s="361">
        <v>1</v>
      </c>
      <c r="AG66" s="47"/>
      <c r="AH66" s="47"/>
      <c r="AI66" s="59"/>
      <c r="AJ66" s="43"/>
      <c r="AK66" s="35"/>
      <c r="AL66" s="76"/>
    </row>
    <row r="67" spans="1:38" s="23" customFormat="1" ht="14.1" customHeight="1" outlineLevel="2">
      <c r="A67" s="145"/>
      <c r="B67" s="477" t="s">
        <v>743</v>
      </c>
      <c r="C67" s="97"/>
      <c r="D67" s="183"/>
      <c r="E67" s="183"/>
      <c r="G67" s="350"/>
      <c r="H67" s="350"/>
      <c r="I67" s="745"/>
      <c r="AF67" s="361">
        <v>1</v>
      </c>
      <c r="AG67" s="47"/>
      <c r="AH67" s="47"/>
      <c r="AI67" s="59"/>
      <c r="AJ67" s="43"/>
      <c r="AK67" s="35"/>
      <c r="AL67" s="76"/>
    </row>
    <row r="68" spans="1:38" s="23" customFormat="1" ht="14.1" customHeight="1" outlineLevel="2">
      <c r="A68" s="145"/>
      <c r="B68" s="342" t="s">
        <v>749</v>
      </c>
      <c r="C68" s="97"/>
      <c r="D68" s="183"/>
      <c r="E68" s="183"/>
      <c r="G68" s="350"/>
      <c r="H68" s="350"/>
      <c r="I68" s="745"/>
      <c r="AF68" s="361">
        <v>1</v>
      </c>
      <c r="AG68" s="47"/>
      <c r="AH68" s="47"/>
      <c r="AI68" s="59"/>
      <c r="AJ68" s="43"/>
      <c r="AK68" s="35"/>
      <c r="AL68" s="76"/>
    </row>
    <row r="69" spans="1:38" s="23" customFormat="1" ht="14.1" customHeight="1" outlineLevel="2">
      <c r="A69" s="145"/>
      <c r="B69" s="477" t="s">
        <v>750</v>
      </c>
      <c r="F69" s="900"/>
      <c r="G69" s="796"/>
      <c r="I69" s="39"/>
      <c r="AF69" s="361">
        <f>IF(S.Notice.Involved="Y",1,0)</f>
        <v>1</v>
      </c>
      <c r="AG69" s="48"/>
      <c r="AH69" s="47"/>
      <c r="AI69" s="59"/>
      <c r="AJ69" s="345"/>
      <c r="AK69" s="35"/>
      <c r="AL69" s="76"/>
    </row>
    <row r="70" spans="1:38" s="23" customFormat="1" ht="14.1" customHeight="1" outlineLevel="2">
      <c r="A70" s="145"/>
      <c r="B70" s="359" t="str">
        <f>AK70</f>
        <v>- Uri &amp; Wendy as needed</v>
      </c>
      <c r="F70" s="900"/>
      <c r="G70" s="796"/>
      <c r="I70" s="39"/>
      <c r="AF70" s="361">
        <f>IF(S.Notice.Involved="Y",1,0)</f>
        <v>1</v>
      </c>
      <c r="AG70" s="48"/>
      <c r="AH70" s="47"/>
      <c r="AI70" s="59"/>
      <c r="AJ70" s="345"/>
      <c r="AK70" s="63" t="str">
        <f>"- "&amp;S.Staff.Assistant.DA.ShortName&amp;" &amp; "&amp;S.Staff.DA.ForProgram.FirstName&amp;" as needed"</f>
        <v>- Uri &amp; Wendy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737</v>
      </c>
      <c r="C72" s="97"/>
      <c r="D72" s="183"/>
      <c r="E72" s="183"/>
      <c r="G72" s="350"/>
      <c r="H72" s="350"/>
      <c r="I72" s="745"/>
      <c r="AF72" s="361">
        <v>1</v>
      </c>
      <c r="AG72" s="47"/>
      <c r="AH72" s="47"/>
      <c r="AI72" s="59"/>
      <c r="AJ72" s="43"/>
      <c r="AK72" s="63"/>
      <c r="AL72" s="76"/>
    </row>
    <row r="73" spans="1:38" s="23" customFormat="1" ht="14.1" customHeight="1" outlineLevel="2">
      <c r="A73" s="145"/>
      <c r="B73" s="342" t="s">
        <v>747</v>
      </c>
      <c r="C73" s="97"/>
      <c r="D73" s="183"/>
      <c r="E73" s="183"/>
      <c r="G73" s="350"/>
      <c r="H73" s="350"/>
      <c r="I73" s="745"/>
      <c r="AF73" s="361">
        <v>1</v>
      </c>
      <c r="AG73" s="47"/>
      <c r="AH73" s="47"/>
      <c r="AI73" s="59"/>
      <c r="AJ73" s="43"/>
      <c r="AK73" s="35"/>
      <c r="AL73" s="76"/>
    </row>
    <row r="74" spans="1:38" s="23" customFormat="1" ht="14.1" customHeight="1" outlineLevel="2">
      <c r="A74" s="145"/>
      <c r="B74" s="477" t="s">
        <v>752</v>
      </c>
      <c r="C74" s="97"/>
      <c r="D74" s="183"/>
      <c r="E74" s="183"/>
      <c r="G74" s="350"/>
      <c r="H74" s="350"/>
      <c r="I74" s="745"/>
      <c r="AF74" s="361">
        <v>1</v>
      </c>
      <c r="AG74" s="47"/>
      <c r="AH74" s="47"/>
      <c r="AI74" s="59"/>
      <c r="AJ74" s="43"/>
      <c r="AK74" s="35"/>
      <c r="AL74" s="76"/>
    </row>
    <row r="75" spans="1:38" s="23" customFormat="1" ht="14.1" customHeight="1" outlineLevel="2">
      <c r="A75" s="145"/>
      <c r="B75" s="339" t="s">
        <v>753</v>
      </c>
      <c r="C75" s="97"/>
      <c r="D75" s="183"/>
      <c r="E75" s="183"/>
      <c r="G75" s="350"/>
      <c r="H75" s="350"/>
      <c r="I75" s="745"/>
      <c r="AF75" s="361">
        <v>1</v>
      </c>
      <c r="AG75" s="47"/>
      <c r="AH75" s="47"/>
      <c r="AI75" s="59"/>
      <c r="AJ75" s="43"/>
      <c r="AK75" s="35"/>
      <c r="AL75" s="76"/>
    </row>
    <row r="76" spans="1:38" s="23" customFormat="1" ht="14.1" customHeight="1" outlineLevel="2">
      <c r="A76" s="145"/>
      <c r="B76" s="339" t="s">
        <v>754</v>
      </c>
      <c r="C76" s="97"/>
      <c r="D76" s="183"/>
      <c r="E76" s="183"/>
      <c r="G76" s="350"/>
      <c r="H76" s="350"/>
      <c r="I76" s="745"/>
      <c r="AF76" s="361">
        <v>1</v>
      </c>
      <c r="AG76" s="47"/>
      <c r="AH76" s="47"/>
      <c r="AI76" s="59"/>
      <c r="AJ76" s="43"/>
      <c r="AK76" s="35"/>
      <c r="AL76" s="76"/>
    </row>
    <row r="77" spans="1:38" s="23" customFormat="1" ht="14.1" customHeight="1" outlineLevel="2">
      <c r="A77" s="145"/>
      <c r="B77" s="339" t="s">
        <v>778</v>
      </c>
      <c r="C77" s="97"/>
      <c r="D77" s="183"/>
      <c r="E77" s="183"/>
      <c r="G77" s="350"/>
      <c r="H77" s="350"/>
      <c r="I77" s="745"/>
      <c r="AF77" s="361">
        <v>1</v>
      </c>
      <c r="AG77" s="47"/>
      <c r="AH77" s="47"/>
      <c r="AI77" s="59"/>
      <c r="AJ77" s="43"/>
      <c r="AK77" s="35"/>
      <c r="AL77" s="76"/>
    </row>
    <row r="78" spans="1:38" s="23" customFormat="1" ht="14.1" customHeight="1" outlineLevel="2">
      <c r="A78" s="145"/>
      <c r="B78" s="342" t="s">
        <v>741</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749</v>
      </c>
      <c r="C80" s="97"/>
      <c r="D80" s="183"/>
      <c r="E80" s="183"/>
      <c r="G80" s="350"/>
      <c r="H80" s="350"/>
      <c r="I80" s="745"/>
      <c r="AF80" s="361">
        <v>1</v>
      </c>
      <c r="AG80" s="47"/>
      <c r="AH80" s="47"/>
      <c r="AI80" s="59"/>
      <c r="AJ80" s="43"/>
      <c r="AK80" s="35"/>
      <c r="AL80" s="76"/>
    </row>
    <row r="81" spans="1:38" s="23" customFormat="1" ht="14.1" customHeight="1" outlineLevel="2">
      <c r="A81" s="145"/>
      <c r="B81" s="477" t="s">
        <v>750</v>
      </c>
      <c r="F81" s="900"/>
      <c r="G81" s="796"/>
      <c r="I81" s="39"/>
      <c r="AF81" s="361">
        <f>IF(S.Notice.Involved="Y",1,0)</f>
        <v>1</v>
      </c>
      <c r="AG81" s="48"/>
      <c r="AH81" s="47"/>
      <c r="AI81" s="59"/>
      <c r="AJ81" s="345"/>
      <c r="AK81" s="63" t="str">
        <f>"* briefs core team, "&amp;S.Staff.Assistant.DA.ShortName&amp;" &amp; "&amp;S.Staff.DA.ForProgram.FirstName&amp;" as needed"</f>
        <v>* briefs core team, Uri &amp; Wendy as needed</v>
      </c>
      <c r="AL81" s="76"/>
    </row>
    <row r="82" spans="1:38" s="23" customFormat="1" ht="14.1" customHeight="1" outlineLevel="2">
      <c r="A82" s="145"/>
      <c r="B82" s="359" t="str">
        <f>AK82</f>
        <v>- Uri &amp; Wendy as needed</v>
      </c>
      <c r="F82" s="900"/>
      <c r="G82" s="796"/>
      <c r="I82" s="39"/>
      <c r="AF82" s="361">
        <f>IF(S.Notice.Involved="Y",1,0)</f>
        <v>1</v>
      </c>
      <c r="AG82" s="48"/>
      <c r="AH82" s="47"/>
      <c r="AI82" s="59"/>
      <c r="AJ82" s="345"/>
      <c r="AK82" s="63" t="str">
        <f>"- "&amp;S.Staff.Assistant.DA.ShortName&amp;" &amp; "&amp;S.Staff.DA.ForProgram.FirstName&amp;" as needed"</f>
        <v>- Uri &amp; Wendy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738</v>
      </c>
      <c r="C84" s="97"/>
      <c r="D84" s="183"/>
      <c r="E84" s="183"/>
      <c r="G84" s="350"/>
      <c r="H84" s="350"/>
      <c r="I84" s="745"/>
      <c r="AF84" s="361">
        <v>1</v>
      </c>
      <c r="AG84" s="47"/>
      <c r="AH84" s="47"/>
      <c r="AI84" s="59"/>
      <c r="AJ84" s="43"/>
      <c r="AK84" s="63"/>
      <c r="AL84" s="76"/>
    </row>
    <row r="85" spans="1:38" s="23" customFormat="1" ht="14.1" customHeight="1" outlineLevel="2">
      <c r="A85" s="145"/>
      <c r="B85" s="342" t="s">
        <v>747</v>
      </c>
      <c r="C85" s="97"/>
      <c r="D85" s="183"/>
      <c r="E85" s="183"/>
      <c r="G85" s="350"/>
      <c r="H85" s="350"/>
      <c r="I85" s="745"/>
      <c r="AF85" s="361">
        <v>1</v>
      </c>
      <c r="AG85" s="47"/>
      <c r="AH85" s="47"/>
      <c r="AI85" s="59"/>
      <c r="AJ85" s="43"/>
      <c r="AK85" s="35"/>
      <c r="AL85" s="76"/>
    </row>
    <row r="86" spans="1:38" s="23" customFormat="1" ht="14.1" customHeight="1" outlineLevel="2">
      <c r="A86" s="145"/>
      <c r="B86" s="477" t="s">
        <v>756</v>
      </c>
      <c r="C86" s="97"/>
      <c r="D86" s="183"/>
      <c r="E86" s="183"/>
      <c r="G86" s="350"/>
      <c r="H86" s="350"/>
      <c r="I86" s="745"/>
      <c r="AF86" s="361">
        <v>1</v>
      </c>
      <c r="AG86" s="47"/>
      <c r="AH86" s="47"/>
      <c r="AI86" s="59"/>
      <c r="AJ86" s="43"/>
      <c r="AK86" s="63"/>
      <c r="AL86" s="76"/>
    </row>
    <row r="87" spans="1:38" s="23" customFormat="1" ht="14.1" customHeight="1" outlineLevel="2">
      <c r="A87" s="145"/>
      <c r="B87" s="477" t="s">
        <v>755</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739</v>
      </c>
      <c r="C88" s="97"/>
      <c r="D88" s="183"/>
      <c r="E88" s="183"/>
      <c r="G88" s="350"/>
      <c r="H88" s="350"/>
      <c r="I88" s="745"/>
      <c r="AF88" s="361">
        <v>1</v>
      </c>
      <c r="AG88" s="47"/>
      <c r="AH88" s="47"/>
      <c r="AI88" s="59"/>
      <c r="AJ88" s="43"/>
      <c r="AK88" s="63"/>
      <c r="AL88" s="76"/>
    </row>
    <row r="89" spans="1:38" s="23" customFormat="1" ht="14.1" customHeight="1" outlineLevel="2">
      <c r="A89" s="145"/>
      <c r="B89" s="975" t="s">
        <v>779</v>
      </c>
      <c r="C89" s="97"/>
      <c r="D89" s="183"/>
      <c r="E89" s="183"/>
      <c r="G89" s="350"/>
      <c r="H89" s="350"/>
      <c r="I89" s="745"/>
      <c r="AF89" s="361">
        <v>1</v>
      </c>
      <c r="AG89" s="47"/>
      <c r="AH89" s="47"/>
      <c r="AI89" s="59"/>
      <c r="AJ89" s="43"/>
      <c r="AK89" s="63"/>
      <c r="AL89" s="76"/>
    </row>
    <row r="90" spans="1:38" s="23" customFormat="1" ht="25.5" customHeight="1" outlineLevel="2">
      <c r="A90" s="145"/>
      <c r="B90" s="477" t="s">
        <v>733</v>
      </c>
      <c r="C90" s="97"/>
      <c r="D90" s="183"/>
      <c r="E90" s="183"/>
      <c r="G90" s="350"/>
      <c r="H90" s="350"/>
      <c r="I90" s="745"/>
      <c r="AF90" s="361">
        <v>1</v>
      </c>
      <c r="AG90" s="47"/>
      <c r="AH90" s="47"/>
      <c r="AI90" s="59"/>
      <c r="AJ90" s="43"/>
      <c r="AK90" s="63"/>
      <c r="AL90" s="76"/>
    </row>
    <row r="91" spans="1:38" s="23" customFormat="1" ht="14.1" customHeight="1" outlineLevel="2">
      <c r="A91" s="145"/>
      <c r="B91" s="1028" t="s">
        <v>751</v>
      </c>
      <c r="C91" s="1029"/>
      <c r="D91" s="183"/>
      <c r="E91" s="183"/>
      <c r="G91" s="350"/>
      <c r="H91" s="350"/>
      <c r="I91" s="745"/>
      <c r="AF91" s="361">
        <v>1</v>
      </c>
      <c r="AG91" s="47"/>
      <c r="AH91" s="47"/>
      <c r="AI91" s="59"/>
      <c r="AJ91" s="43"/>
      <c r="AK91" s="63"/>
      <c r="AL91" s="76"/>
    </row>
    <row r="92" spans="1:38" s="23" customFormat="1" ht="25.5" customHeight="1" outlineLevel="2">
      <c r="A92" s="145"/>
      <c r="B92" s="440" t="s">
        <v>734</v>
      </c>
      <c r="C92" s="97"/>
      <c r="D92" s="183"/>
      <c r="E92" s="183"/>
      <c r="G92" s="350"/>
      <c r="H92" s="350"/>
      <c r="I92" s="745"/>
      <c r="AF92" s="361">
        <v>1</v>
      </c>
      <c r="AG92" s="47"/>
      <c r="AH92" s="47"/>
      <c r="AI92" s="59"/>
      <c r="AJ92" s="43"/>
      <c r="AK92" s="63"/>
      <c r="AL92" s="76"/>
    </row>
    <row r="93" spans="1:38" s="23" customFormat="1" ht="14.1" customHeight="1" outlineLevel="2">
      <c r="A93" s="145"/>
      <c r="B93" s="477" t="s">
        <v>740</v>
      </c>
      <c r="C93" s="97"/>
      <c r="D93" s="183"/>
      <c r="E93" s="183"/>
      <c r="G93" s="350"/>
      <c r="H93" s="350"/>
      <c r="I93" s="745"/>
      <c r="AF93" s="361">
        <v>1</v>
      </c>
      <c r="AG93" s="47"/>
      <c r="AH93" s="47"/>
      <c r="AI93" s="59"/>
      <c r="AJ93" s="43"/>
      <c r="AK93" s="63"/>
      <c r="AL93" s="76"/>
    </row>
    <row r="94" spans="1:38" s="23" customFormat="1" ht="14.1" customHeight="1" outlineLevel="2">
      <c r="A94" s="145"/>
      <c r="B94" s="342" t="s">
        <v>735</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749</v>
      </c>
      <c r="C95" s="97"/>
      <c r="D95" s="183"/>
      <c r="E95" s="183"/>
      <c r="G95" s="350"/>
      <c r="H95" s="350"/>
      <c r="I95" s="745"/>
      <c r="AF95" s="361">
        <v>1</v>
      </c>
      <c r="AG95" s="47"/>
      <c r="AH95" s="47"/>
      <c r="AI95" s="59"/>
      <c r="AJ95" s="43"/>
      <c r="AK95" s="35"/>
      <c r="AL95" s="76"/>
    </row>
    <row r="96" spans="1:38" s="23" customFormat="1" ht="14.1" customHeight="1" outlineLevel="2">
      <c r="A96" s="145"/>
      <c r="B96" s="477" t="s">
        <v>750</v>
      </c>
      <c r="F96" s="900"/>
      <c r="G96" s="796"/>
      <c r="I96" s="39"/>
      <c r="AF96" s="361">
        <f>IF(S.Notice.Involved="Y",1,0)</f>
        <v>1</v>
      </c>
      <c r="AG96" s="48"/>
      <c r="AH96" s="47"/>
      <c r="AI96" s="59"/>
      <c r="AJ96" s="345"/>
      <c r="AK96" s="63" t="str">
        <f>"* briefs core team, "&amp;S.Staff.Assistant.DA.ShortName&amp;" &amp; "&amp;S.Staff.DA.ForProgram.FirstName&amp;" as needed"</f>
        <v>* briefs core team, Uri &amp; Wendy as needed</v>
      </c>
      <c r="AL96" s="76"/>
    </row>
    <row r="97" spans="1:38" s="23" customFormat="1" ht="14.1" customHeight="1" outlineLevel="2">
      <c r="A97" s="145"/>
      <c r="B97" s="359" t="str">
        <f>AK97</f>
        <v>- team &amp; Lydia as needed</v>
      </c>
      <c r="F97" s="900"/>
      <c r="G97" s="796"/>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Wendy</v>
      </c>
      <c r="C100" s="97" t="s">
        <v>0</v>
      </c>
      <c r="D100" s="183"/>
      <c r="E100" s="183"/>
      <c r="F100"/>
      <c r="G100" s="350"/>
      <c r="H100" s="350"/>
      <c r="I100" s="745"/>
      <c r="AF100" s="361">
        <v>1</v>
      </c>
      <c r="AG100" s="47"/>
      <c r="AH100" s="47"/>
      <c r="AI100" s="59"/>
      <c r="AJ100" s="43"/>
      <c r="AK100" s="63" t="str">
        <f>"DA - "&amp;S.Staff.DA.ForProgram.FirstName</f>
        <v>DA - Wendy</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729</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641</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986" t="s">
        <v>792</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642</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787</v>
      </c>
      <c r="AL107" s="76"/>
    </row>
    <row r="108" spans="1:38" s="23" customFormat="1" ht="14.1" customHeight="1" outlineLevel="2">
      <c r="A108" s="145"/>
      <c r="B108" s="785" t="s">
        <v>638</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637</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639</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640</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694</v>
      </c>
      <c r="E117" s="876"/>
      <c r="F117"/>
      <c r="G117" s="134"/>
      <c r="H117" s="349">
        <f>AH117</f>
        <v>41820</v>
      </c>
      <c r="I117" s="745"/>
      <c r="AF117" s="361">
        <v>1</v>
      </c>
      <c r="AG117" s="47"/>
      <c r="AH117" s="60">
        <f>S.DIRECTOR.Approves.ForDEQRulemakingPlan</f>
        <v>41820</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AH118</f>
        <v>41820</v>
      </c>
      <c r="I118" s="745"/>
      <c r="J118"/>
      <c r="K118"/>
      <c r="L118"/>
      <c r="M118"/>
      <c r="N118"/>
      <c r="O118"/>
      <c r="P118"/>
      <c r="Q118"/>
      <c r="R118"/>
      <c r="S118"/>
      <c r="T118"/>
      <c r="U118"/>
      <c r="X118"/>
      <c r="AB118"/>
      <c r="AC118"/>
      <c r="AF118" s="361">
        <v>1</v>
      </c>
      <c r="AG118" s="47"/>
      <c r="AH118" s="60">
        <f>S.DIRECTOR.Approves.ForDEQRulemakingPlan</f>
        <v>41820</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AH120</f>
        <v>41820</v>
      </c>
      <c r="I120" s="745"/>
      <c r="J120"/>
      <c r="K120"/>
      <c r="L120"/>
      <c r="M120"/>
      <c r="N120"/>
      <c r="O120"/>
      <c r="P120"/>
      <c r="Q120"/>
      <c r="R120"/>
      <c r="S120"/>
      <c r="T120"/>
      <c r="U120"/>
      <c r="X120"/>
      <c r="AB120"/>
      <c r="AC120"/>
      <c r="AF120" s="361">
        <v>1</v>
      </c>
      <c r="AG120" s="47"/>
      <c r="AH120" s="60">
        <f>H118</f>
        <v>41820</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AH122</f>
        <v>41820</v>
      </c>
      <c r="I122" s="745"/>
      <c r="AF122" s="361">
        <v>1</v>
      </c>
      <c r="AG122" s="47"/>
      <c r="AH122" s="60">
        <f>H118</f>
        <v>41820</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536</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725</v>
      </c>
      <c r="C125" s="195" t="s">
        <v>0</v>
      </c>
      <c r="D125" s="200" t="s">
        <v>48</v>
      </c>
      <c r="E125" s="876"/>
      <c r="F125"/>
      <c r="G125" s="351"/>
      <c r="H125" s="190">
        <f>AH125</f>
        <v>41820</v>
      </c>
      <c r="I125" s="745"/>
      <c r="J125"/>
      <c r="K125"/>
      <c r="L125"/>
      <c r="M125"/>
      <c r="N125"/>
      <c r="O125"/>
      <c r="P125"/>
      <c r="Q125"/>
      <c r="R125"/>
      <c r="S125"/>
      <c r="T125"/>
      <c r="U125"/>
      <c r="X125"/>
      <c r="AB125"/>
      <c r="AC125"/>
      <c r="AF125" s="361">
        <v>1</v>
      </c>
      <c r="AG125" s="47"/>
      <c r="AH125" s="60">
        <f>H118</f>
        <v>41820</v>
      </c>
      <c r="AI125" s="59"/>
      <c r="AJ125" s="43"/>
      <c r="AK125" s="34" t="s">
        <v>0</v>
      </c>
      <c r="AL125" s="76"/>
    </row>
    <row r="126" spans="1:38" s="23" customFormat="1" ht="14.1" hidden="1" customHeight="1" outlineLevel="2">
      <c r="A126" s="145"/>
      <c r="B126" s="269" t="s">
        <v>534</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535</v>
      </c>
      <c r="C127" s="910" t="s">
        <v>732</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AH129</f>
        <v>41820</v>
      </c>
      <c r="I129" s="745"/>
      <c r="AF129" s="361">
        <v>1</v>
      </c>
      <c r="AG129" s="48"/>
      <c r="AH129" s="60">
        <f>H125</f>
        <v>41820</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537</v>
      </c>
      <c r="C130" s="135"/>
      <c r="F130"/>
      <c r="G130" s="135"/>
      <c r="H130" s="135"/>
      <c r="I130" s="745"/>
      <c r="AF130" s="361">
        <v>1</v>
      </c>
      <c r="AG130" s="58"/>
      <c r="AH130" s="58"/>
      <c r="AI130" s="58"/>
      <c r="AJ130" s="43"/>
      <c r="AK130" s="34"/>
      <c r="AL130" s="76"/>
    </row>
    <row r="131" spans="1:51" s="23" customFormat="1" ht="14.1" hidden="1" customHeight="1" outlineLevel="2">
      <c r="A131" s="145"/>
      <c r="B131" s="420" t="s">
        <v>538</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539</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541</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540</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542</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543</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694</v>
      </c>
      <c r="E146" s="876"/>
      <c r="F146"/>
      <c r="G146" s="190">
        <f>AG146</f>
        <v>41820</v>
      </c>
      <c r="H146" s="190">
        <f>AH146</f>
        <v>41820</v>
      </c>
      <c r="I146" s="745"/>
      <c r="AF146" s="361">
        <v>1</v>
      </c>
      <c r="AG146" s="60">
        <f>H129</f>
        <v>41820</v>
      </c>
      <c r="AH146" s="60">
        <f>G146</f>
        <v>41820</v>
      </c>
      <c r="AI146" s="59"/>
      <c r="AJ146" s="43"/>
      <c r="AK146" s="78" t="str">
        <f>S.Staff.Subject.Expert.FirstName&amp;" drafts:"</f>
        <v>Brian drafts:</v>
      </c>
      <c r="AL146" s="76"/>
      <c r="AM146"/>
    </row>
    <row r="147" spans="1:51" s="23" customFormat="1" ht="14.1" hidden="1" customHeight="1" outlineLevel="2">
      <c r="A147" s="145"/>
      <c r="B147" s="302" t="s">
        <v>546</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548</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547</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AH150</f>
        <v>41820</v>
      </c>
      <c r="I150" s="745"/>
      <c r="AF150" s="361">
        <v>1</v>
      </c>
      <c r="AG150" s="58"/>
      <c r="AH150" s="60">
        <f>S.Planning.DraftWorkbooksEnd</f>
        <v>41820</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694</v>
      </c>
      <c r="E151" s="876"/>
      <c r="H151" s="190">
        <f>AH151</f>
        <v>41820</v>
      </c>
      <c r="I151" s="745"/>
      <c r="AF151" s="361">
        <v>1</v>
      </c>
      <c r="AG151" s="58"/>
      <c r="AH151" s="60">
        <f>S.Planning.DraftWorkbooksEnd</f>
        <v>41820</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Wendy and may stop/delay/advance concept</v>
      </c>
      <c r="C152" s="88"/>
      <c r="D152" s="194" t="s">
        <v>694</v>
      </c>
      <c r="E152" s="876"/>
      <c r="H152" s="190">
        <f>AH152</f>
        <v>41820</v>
      </c>
      <c r="I152" s="745"/>
      <c r="AF152" s="361">
        <v>1</v>
      </c>
      <c r="AG152" s="58"/>
      <c r="AH152" s="60">
        <f>S.Planning.DraftWorkbooksEnd</f>
        <v>41820</v>
      </c>
      <c r="AI152" s="59"/>
      <c r="AJ152" s="43"/>
      <c r="AK152" s="78" t="str">
        <f>S.Staff.Assistant.DA.ShortName&amp;" shares concept with "&amp;S.Staff.DA.ForProgram.FirstName&amp;" and may stop/delay/advance concept"</f>
        <v>Uri shares concept with Wendy and may stop/delay/advance concept</v>
      </c>
      <c r="AL152" s="76"/>
    </row>
    <row r="153" spans="1:51" s="23" customFormat="1" ht="14.1" hidden="1" customHeight="1" outlineLevel="2">
      <c r="A153" s="145"/>
      <c r="B153" s="267" t="str">
        <f>AK153</f>
        <v>If advanced, DavidC emails AndreaG to indicate her approval</v>
      </c>
      <c r="C153" s="88"/>
      <c r="D153" s="194" t="s">
        <v>694</v>
      </c>
      <c r="E153" s="876"/>
      <c r="H153" s="190">
        <f>AH153</f>
        <v>41820</v>
      </c>
      <c r="I153" s="745"/>
      <c r="AF153" s="361">
        <v>1</v>
      </c>
      <c r="AG153" s="58"/>
      <c r="AH153" s="60">
        <f>S.Planning.DraftWorkbooksEnd</f>
        <v>41820</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694</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727</v>
      </c>
      <c r="C155" s="563"/>
      <c r="D155" s="194" t="s">
        <v>694</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728</v>
      </c>
      <c r="C156" s="563"/>
      <c r="D156" s="194" t="s">
        <v>694</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AH157</f>
        <v>41820</v>
      </c>
      <c r="I157" s="745"/>
      <c r="AF157" s="361">
        <v>1</v>
      </c>
      <c r="AG157" s="58"/>
      <c r="AH157" s="60">
        <f>S.Planning.DraftWorkbooksEnd</f>
        <v>41820</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693</v>
      </c>
      <c r="C158" s="563"/>
      <c r="D158" s="194" t="s">
        <v>694</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AH159</f>
        <v>41820</v>
      </c>
      <c r="I159" s="745"/>
      <c r="AF159" s="361">
        <v>1</v>
      </c>
      <c r="AG159" s="58"/>
      <c r="AH159" s="60">
        <f>S.Planning.DraftWorkbooksEnd</f>
        <v>41820</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731</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AG161</f>
        <v>41820</v>
      </c>
      <c r="H161" s="190">
        <f>AH161</f>
        <v>41820</v>
      </c>
      <c r="I161" s="745"/>
      <c r="J161"/>
      <c r="K161"/>
      <c r="L161"/>
      <c r="M161"/>
      <c r="N161"/>
      <c r="O161"/>
      <c r="P161"/>
      <c r="Q161"/>
      <c r="R161"/>
      <c r="S161"/>
      <c r="T161"/>
      <c r="U161"/>
      <c r="X161"/>
      <c r="AB161"/>
      <c r="AC161"/>
      <c r="AF161" s="361">
        <v>1</v>
      </c>
      <c r="AG161" s="60">
        <f>H150</f>
        <v>41820</v>
      </c>
      <c r="AH161" s="60">
        <f>G161</f>
        <v>41820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545</v>
      </c>
      <c r="C163" s="189" t="s">
        <v>0</v>
      </c>
      <c r="D163" s="188" t="s">
        <v>0</v>
      </c>
      <c r="E163" s="879"/>
      <c r="F163"/>
      <c r="G163" s="733" t="s">
        <v>0</v>
      </c>
      <c r="H163" s="734">
        <f>AH163</f>
        <v>41820</v>
      </c>
      <c r="I163" s="745"/>
      <c r="J163"/>
      <c r="K163"/>
      <c r="L163"/>
      <c r="M163"/>
      <c r="N163"/>
      <c r="O163"/>
      <c r="P163"/>
      <c r="Q163"/>
      <c r="R163"/>
      <c r="S163"/>
      <c r="T163"/>
      <c r="U163"/>
      <c r="X163"/>
      <c r="AB163"/>
      <c r="AC163"/>
      <c r="AF163" s="361">
        <v>1</v>
      </c>
      <c r="AG163" s="47"/>
      <c r="AH163" s="60">
        <f>H161</f>
        <v>41820</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544</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726</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206</v>
      </c>
      <c r="D174" s="188" t="s">
        <v>694</v>
      </c>
      <c r="E174" s="879"/>
      <c r="F174"/>
      <c r="G174" s="90" t="s">
        <v>0</v>
      </c>
      <c r="H174" s="190">
        <f>AH174</f>
        <v>41820</v>
      </c>
      <c r="I174" s="745"/>
      <c r="J174"/>
      <c r="K174"/>
      <c r="L174"/>
      <c r="M174"/>
      <c r="N174"/>
      <c r="O174"/>
      <c r="P174"/>
      <c r="Q174"/>
      <c r="R174"/>
      <c r="S174"/>
      <c r="T174"/>
      <c r="U174"/>
      <c r="X174"/>
      <c r="AB174"/>
      <c r="AC174"/>
      <c r="AF174" s="361">
        <f>IF(S.Planning.DecisionToAddToPlan="A",1,0)</f>
        <v>1</v>
      </c>
      <c r="AG174" s="58"/>
      <c r="AH174" s="60">
        <f>S.Planning.AddConceptToPlanDate</f>
        <v>41820</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AH175</f>
        <v>41820</v>
      </c>
      <c r="I175" s="745"/>
      <c r="J175"/>
      <c r="K175"/>
      <c r="L175"/>
      <c r="M175"/>
      <c r="N175"/>
      <c r="O175"/>
      <c r="P175"/>
      <c r="Q175"/>
      <c r="R175"/>
      <c r="S175"/>
      <c r="T175"/>
      <c r="U175"/>
      <c r="X175"/>
      <c r="AB175"/>
      <c r="AC175"/>
      <c r="AF175" s="361">
        <f>IF(S.Planning.DecisionToAddToPlan="A",1,0)</f>
        <v>1</v>
      </c>
      <c r="AG175" s="58"/>
      <c r="AH175" s="60">
        <f>S.Planning.AddConceptToPlanDate</f>
        <v>41820</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302" t="s">
        <v>556</v>
      </c>
      <c r="C178" s="199"/>
      <c r="D178"/>
      <c r="F178"/>
      <c r="G178" s="192"/>
      <c r="H178" s="192"/>
      <c r="I178" s="745"/>
      <c r="J178"/>
      <c r="K178"/>
      <c r="L178"/>
      <c r="M178"/>
      <c r="N178"/>
      <c r="O178"/>
      <c r="P178"/>
      <c r="Q178"/>
      <c r="R178"/>
      <c r="S178"/>
      <c r="T178"/>
      <c r="U178"/>
      <c r="X178"/>
      <c r="AB178"/>
      <c r="AC178"/>
      <c r="AF178" s="361">
        <f>IF(S.Planning.ExpandTeam="N",0,IF(S.Planning.DecisionToAddToPlan="A",1,0))</f>
        <v>0</v>
      </c>
      <c r="AG178" s="58"/>
      <c r="AH178" s="58"/>
      <c r="AI178" s="59"/>
      <c r="AJ178" s="62"/>
      <c r="AK178" s="346"/>
      <c r="AL178" s="76"/>
    </row>
    <row r="179" spans="1:38" s="23" customFormat="1" ht="14.1" customHeight="1" outlineLevel="1">
      <c r="A179" s="145"/>
      <c r="B179" s="302" t="s">
        <v>554</v>
      </c>
      <c r="C179" s="199"/>
      <c r="D179"/>
      <c r="F179"/>
      <c r="G179" s="192"/>
      <c r="H179" s="192"/>
      <c r="I179" s="745"/>
      <c r="J179"/>
      <c r="K179"/>
      <c r="L179"/>
      <c r="M179"/>
      <c r="N179"/>
      <c r="O179"/>
      <c r="P179"/>
      <c r="Q179"/>
      <c r="R179"/>
      <c r="S179"/>
      <c r="T179"/>
      <c r="U179"/>
      <c r="X179"/>
      <c r="AB179"/>
      <c r="AC179"/>
      <c r="AF179" s="361">
        <f>IF(S.Planning.ExpandTeam="N",0,IF(S.Planning.DecisionToAddToPlan="A",1,0))</f>
        <v>0</v>
      </c>
      <c r="AG179" s="58"/>
      <c r="AH179" s="58"/>
      <c r="AI179" s="59"/>
      <c r="AJ179" s="62"/>
      <c r="AK179" s="346"/>
      <c r="AL179" s="76"/>
    </row>
    <row r="180" spans="1:38" s="23" customFormat="1" ht="14.1" customHeight="1" outlineLevel="1">
      <c r="A180" s="145" t="s">
        <v>0</v>
      </c>
      <c r="B180" s="302" t="s">
        <v>555</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AH181</f>
        <v>41820</v>
      </c>
      <c r="I181" s="745"/>
      <c r="AF181" s="361">
        <f t="shared" si="6"/>
        <v>1</v>
      </c>
      <c r="AG181" s="58"/>
      <c r="AH181" s="60">
        <f>S.Planning.AddConceptToPlanDate</f>
        <v>41820</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AH182</f>
        <v>41820</v>
      </c>
      <c r="I182" s="745"/>
      <c r="AF182" s="361">
        <f t="shared" si="6"/>
        <v>1</v>
      </c>
      <c r="AG182" s="58"/>
      <c r="AH182" s="60">
        <f>S.Planning.AddConceptToPlanDate</f>
        <v>41820</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AG183</f>
        <v>41820</v>
      </c>
      <c r="H183" s="190">
        <f>AH183</f>
        <v>41820</v>
      </c>
      <c r="I183" s="745"/>
      <c r="J183"/>
      <c r="K183"/>
      <c r="L183"/>
      <c r="M183"/>
      <c r="N183"/>
      <c r="O183"/>
      <c r="P183"/>
      <c r="Q183"/>
      <c r="R183"/>
      <c r="S183"/>
      <c r="T183"/>
      <c r="U183"/>
      <c r="X183"/>
      <c r="AB183"/>
      <c r="AC183"/>
      <c r="AF183" s="361">
        <f t="shared" si="6"/>
        <v>1</v>
      </c>
      <c r="AG183" s="60">
        <f>S.Planning.AddConceptToPlanDate</f>
        <v>41820</v>
      </c>
      <c r="AH183" s="60">
        <f>G183</f>
        <v>41820</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546</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548</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547</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557</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DavidC and</v>
      </c>
      <c r="C190" s="527"/>
      <c r="D190" s="528" t="s">
        <v>48</v>
      </c>
      <c r="E190" s="880"/>
      <c r="F190"/>
      <c r="G190" s="190">
        <f>AG190</f>
        <v>41820</v>
      </c>
      <c r="H190" s="190">
        <f>AH190</f>
        <v>41820</v>
      </c>
      <c r="I190" s="745"/>
      <c r="J190"/>
      <c r="K190"/>
      <c r="L190"/>
      <c r="M190"/>
      <c r="N190"/>
      <c r="O190"/>
      <c r="P190"/>
      <c r="Q190"/>
      <c r="R190"/>
      <c r="S190"/>
      <c r="T190"/>
      <c r="U190"/>
      <c r="X190"/>
      <c r="AB190"/>
      <c r="AC190"/>
      <c r="AF190" s="361">
        <f t="shared" si="6"/>
        <v>1</v>
      </c>
      <c r="AG190" s="60">
        <f>S.Planning.AddConceptToPlanDate</f>
        <v>41820</v>
      </c>
      <c r="AH190" s="60">
        <f>G190</f>
        <v>41820</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DavidC and</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586</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customHeight="1" outlineLevel="2" thickBot="1">
      <c r="A195" s="145"/>
      <c r="B195" s="729" t="s">
        <v>614</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643</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AG201</f>
        <v>41820</v>
      </c>
      <c r="H201" s="256">
        <f>AH201</f>
        <v>41820</v>
      </c>
      <c r="I201" s="745"/>
      <c r="J201"/>
      <c r="K201"/>
      <c r="L201"/>
      <c r="M201"/>
      <c r="N201"/>
      <c r="O201"/>
      <c r="P201"/>
      <c r="Q201"/>
      <c r="R201"/>
      <c r="S201"/>
      <c r="T201"/>
      <c r="U201"/>
      <c r="X201"/>
      <c r="AB201"/>
      <c r="AC201"/>
      <c r="AF201" s="361">
        <f>IF(S.Planning.CommunicationsPlan="Y",1,0)</f>
        <v>0</v>
      </c>
      <c r="AG201" s="60">
        <f>S.Planning.CommunicationMeeting</f>
        <v>41820</v>
      </c>
      <c r="AH201" s="60">
        <f>G201</f>
        <v>41820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549</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AG203</f>
        <v>41820</v>
      </c>
      <c r="H203" s="256">
        <f>AH203</f>
        <v>41820</v>
      </c>
      <c r="I203" s="745"/>
      <c r="AF203" s="362">
        <f>IF(S.Planning.MessageMap="Y",1,0)</f>
        <v>0</v>
      </c>
      <c r="AG203" s="60">
        <f>G201</f>
        <v>41820</v>
      </c>
      <c r="AH203" s="60">
        <f>G203</f>
        <v>41820</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AG204</f>
        <v>41820</v>
      </c>
      <c r="H204" s="256">
        <f>AH204</f>
        <v>41820</v>
      </c>
      <c r="I204" s="745"/>
      <c r="J204"/>
      <c r="K204"/>
      <c r="L204"/>
      <c r="M204"/>
      <c r="N204"/>
      <c r="O204"/>
      <c r="P204"/>
      <c r="Q204"/>
      <c r="R204"/>
      <c r="S204"/>
      <c r="T204"/>
      <c r="U204"/>
      <c r="X204"/>
      <c r="AB204"/>
      <c r="AC204"/>
      <c r="AF204" s="362">
        <f>IF(S.Planning.ProgramWebPage="Y",1,0)</f>
        <v>0</v>
      </c>
      <c r="AG204" s="60">
        <f>G203</f>
        <v>41820</v>
      </c>
      <c r="AH204" s="60">
        <f>G204</f>
        <v>41820</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si="7">AG206</f>
        <v>41820</v>
      </c>
      <c r="H206" s="256">
        <f t="shared" si="7"/>
        <v>41820</v>
      </c>
      <c r="I206" s="745"/>
      <c r="J206"/>
      <c r="K206"/>
      <c r="L206"/>
      <c r="M206"/>
      <c r="N206"/>
      <c r="O206"/>
      <c r="P206"/>
      <c r="Q206"/>
      <c r="R206"/>
      <c r="S206"/>
      <c r="T206"/>
      <c r="U206"/>
      <c r="X206"/>
      <c r="AB206"/>
      <c r="AC206"/>
      <c r="AF206" s="361">
        <f>IF(OR(S.Planning.CommunicationsPlan="Y",S.Planning.MessageMap="Y",S.Planning.ProgramWebPage="Y"),1,0)</f>
        <v>0</v>
      </c>
      <c r="AG206" s="60">
        <f>H204</f>
        <v>41820</v>
      </c>
      <c r="AH206" s="60">
        <f t="shared" ref="AH206:AH211" si="8">G206</f>
        <v>41820</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si="7"/>
        <v>41820</v>
      </c>
      <c r="H207" s="256">
        <f t="shared" si="7"/>
        <v>41820</v>
      </c>
      <c r="I207" s="745"/>
      <c r="J207"/>
      <c r="K207"/>
      <c r="L207"/>
      <c r="M207"/>
      <c r="N207"/>
      <c r="O207"/>
      <c r="P207"/>
      <c r="Q207"/>
      <c r="R207"/>
      <c r="S207"/>
      <c r="T207"/>
      <c r="U207"/>
      <c r="X207"/>
      <c r="AB207"/>
      <c r="AC207"/>
      <c r="AF207" s="361">
        <f>IF(OR(S.Planning.CommunicationsPlan="Y",S.Planning.MessageMap="Y",S.Planning.ProgramWebPage="Y"),1,0)</f>
        <v>0</v>
      </c>
      <c r="AG207" s="60">
        <f>H206</f>
        <v>41820</v>
      </c>
      <c r="AH207" s="60">
        <f t="shared" si="8"/>
        <v>41820</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551</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571</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23" t="s">
        <v>584</v>
      </c>
      <c r="E217" s="1023"/>
      <c r="F217" s="1023"/>
      <c r="G217" s="1023"/>
      <c r="H217" s="1023"/>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32" t="s">
        <v>583</v>
      </c>
      <c r="E218" s="1033"/>
      <c r="F218" s="1033"/>
      <c r="G218" s="749" t="s">
        <v>567</v>
      </c>
      <c r="H218" s="763" t="s">
        <v>568</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thickBot="1">
      <c r="A219" s="145"/>
      <c r="B219" s="758" t="s">
        <v>789</v>
      </c>
      <c r="C219" s="961" t="s">
        <v>16</v>
      </c>
      <c r="D219" s="1024">
        <v>1</v>
      </c>
      <c r="E219" s="1025"/>
      <c r="F219" s="1025"/>
      <c r="G219" s="253">
        <f t="shared" ref="G219:G227" si="9">AG219</f>
        <v>42019</v>
      </c>
      <c r="H219" s="760" t="s">
        <v>304</v>
      </c>
      <c r="I219" s="745"/>
      <c r="J219"/>
      <c r="K219"/>
      <c r="L219"/>
      <c r="M219"/>
      <c r="N219"/>
      <c r="O219"/>
      <c r="P219"/>
      <c r="Q219"/>
      <c r="R219"/>
      <c r="S219"/>
      <c r="T219"/>
      <c r="U219"/>
      <c r="X219"/>
      <c r="AB219"/>
      <c r="AC219"/>
      <c r="AF219" s="361">
        <f>IF(S.Hearing.1stInvolve="Y",1,0)</f>
        <v>1</v>
      </c>
      <c r="AG219" s="60">
        <f>S.Hearing.1stDate</f>
        <v>42019</v>
      </c>
      <c r="AH219" s="387" t="s">
        <v>67</v>
      </c>
      <c r="AI219" s="34"/>
      <c r="AJ219" s="43"/>
      <c r="AK219" s="43"/>
      <c r="AL219" s="76"/>
    </row>
    <row r="220" spans="1:38" s="23" customFormat="1" ht="15" hidden="1" customHeight="1" outlineLevel="1" thickBot="1">
      <c r="A220" s="145"/>
      <c r="B220" s="758"/>
      <c r="C220" s="962" t="s">
        <v>206</v>
      </c>
      <c r="D220" s="1024">
        <v>2</v>
      </c>
      <c r="E220" s="1025"/>
      <c r="F220" s="1025"/>
      <c r="G220" s="253">
        <f t="shared" si="9"/>
        <v>0</v>
      </c>
      <c r="H220" s="760" t="str">
        <f t="shared" ref="H220:H226" si="10">AH220</f>
        <v>6 p.m.</v>
      </c>
      <c r="I220" s="745"/>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1024">
        <v>3</v>
      </c>
      <c r="E221" s="1025"/>
      <c r="F221" s="1025"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1024">
        <v>4</v>
      </c>
      <c r="E222" s="1025"/>
      <c r="F222" s="1025"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1024">
        <v>5</v>
      </c>
      <c r="E223" s="1025"/>
      <c r="F223" s="1025"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1024">
        <v>6</v>
      </c>
      <c r="E224" s="1025"/>
      <c r="F224" s="1025"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1024">
        <v>7</v>
      </c>
      <c r="E225" s="1025"/>
      <c r="F225" s="1025"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1024" t="s">
        <v>0</v>
      </c>
      <c r="E226" s="1025"/>
      <c r="F226" s="1025"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569</v>
      </c>
      <c r="C227" s="759"/>
      <c r="D227" s="765"/>
      <c r="E227" s="882"/>
      <c r="F227" s="822" t="s">
        <v>0</v>
      </c>
      <c r="G227" s="764">
        <f t="shared" si="9"/>
        <v>42019</v>
      </c>
      <c r="H227" s="761"/>
      <c r="I227" s="745"/>
      <c r="J227"/>
      <c r="K227"/>
      <c r="L227"/>
      <c r="M227"/>
      <c r="N227"/>
      <c r="O227"/>
      <c r="P227"/>
      <c r="Q227"/>
      <c r="R227"/>
      <c r="S227"/>
      <c r="T227"/>
      <c r="U227"/>
      <c r="X227"/>
      <c r="AB227"/>
      <c r="AC227"/>
      <c r="AF227" s="361">
        <f>IF(S.Hearing.1stInvolve="Y",1,0)</f>
        <v>1</v>
      </c>
      <c r="AG227" s="60">
        <f>IF(AF227=0,,MAX(G219:G226))</f>
        <v>42019</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AG229</f>
        <v>41820</v>
      </c>
      <c r="H229" s="256">
        <f>AH229</f>
        <v>41962</v>
      </c>
      <c r="I229" s="745"/>
      <c r="J229"/>
      <c r="K229"/>
      <c r="L229"/>
      <c r="M229"/>
      <c r="N229"/>
      <c r="O229"/>
      <c r="P229"/>
      <c r="Q229"/>
      <c r="R229"/>
      <c r="S229"/>
      <c r="T229"/>
      <c r="U229"/>
      <c r="X229"/>
      <c r="AB229"/>
      <c r="AC229"/>
      <c r="AF229" s="361">
        <f>IF(S.Hearing.1stInvolve="Y",1,0)</f>
        <v>1</v>
      </c>
      <c r="AG229" s="60">
        <f>IF(AF229=0,,S.Notice.BANNER.Begin)</f>
        <v>41820</v>
      </c>
      <c r="AH229" s="60">
        <f>IF(AF239=0,,IF(S.Notice.AD.Involved="N",,WORKDAY(S.Notice.OpenComment,-18,S.DDL_DEQClosed)))</f>
        <v>41962</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582</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si="12">AG233</f>
        <v>41820</v>
      </c>
      <c r="H233" s="256">
        <f t="shared" ref="H233:H251" si="13">AH233</f>
        <v>41962</v>
      </c>
      <c r="I233" s="745"/>
      <c r="AF233" s="361">
        <f>IF(AND(S.Notice.Involved="Y",S.Notice.AD.Involved="Y"),1,0)</f>
        <v>1</v>
      </c>
      <c r="AG233" s="60">
        <f>IF(AF233=0,,IF(S.Notice.AD.Involved="N",,S.Notice.BANNER.Begin))</f>
        <v>41820</v>
      </c>
      <c r="AH233" s="60">
        <f>IF(AF233=0,,IF(S.Notice.AD.Involved="N",,WORKDAY(S.Notice.OpenComment,-18,S.DDL_DEQClosed)))</f>
        <v>41962</v>
      </c>
      <c r="AI233" s="59"/>
      <c r="AJ233" s="59"/>
      <c r="AK233" s="182" t="str">
        <f>S.Staff.Subject.Expert.FirstName&amp;":"</f>
        <v>Brian:</v>
      </c>
      <c r="AL233" s="76"/>
      <c r="AM233"/>
    </row>
    <row r="234" spans="1:39" s="23" customFormat="1" ht="15" customHeight="1" outlineLevel="1">
      <c r="A234" s="145"/>
      <c r="B234" s="220" t="s">
        <v>595</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1043" t="s">
        <v>596</v>
      </c>
      <c r="D235" s="1043"/>
      <c r="E235" s="1043"/>
      <c r="F235" s="1043"/>
      <c r="G235" s="1043"/>
      <c r="H235" s="1043"/>
      <c r="I235" s="745"/>
      <c r="AF235" s="361">
        <f>IF(AND(S.Notice.Involved="Y",S.Notice.AD.Involved="Y"),1,0)</f>
        <v>1</v>
      </c>
      <c r="AG235" s="59"/>
      <c r="AH235" s="59"/>
      <c r="AI235" s="59"/>
      <c r="AJ235" s="59"/>
      <c r="AK235" s="44"/>
      <c r="AL235" s="76"/>
    </row>
    <row r="236" spans="1:39" s="23" customFormat="1" ht="15" customHeight="1" outlineLevel="1" thickTop="1">
      <c r="A236" s="145"/>
      <c r="C236" s="768" t="s">
        <v>583</v>
      </c>
      <c r="D236" s="769" t="s">
        <v>403</v>
      </c>
      <c r="E236" s="769"/>
      <c r="F236" s="769"/>
      <c r="G236" s="769"/>
      <c r="H236" s="770" t="s">
        <v>607</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99" t="s">
        <v>599</v>
      </c>
      <c r="E237" s="1000"/>
      <c r="F237" s="1000"/>
      <c r="G237" s="1001"/>
      <c r="H237" s="766">
        <f t="shared" si="13"/>
        <v>41989</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41989</v>
      </c>
      <c r="AI237" s="59" t="s">
        <v>0</v>
      </c>
      <c r="AJ237" s="59"/>
      <c r="AK237" s="182" t="str">
        <f>"NOTICE.AD"&amp;C237&amp;D237</f>
        <v>NOTICE.AD1Oregonian</v>
      </c>
      <c r="AL237" s="76"/>
    </row>
    <row r="238" spans="1:39" s="23" customFormat="1" ht="15" customHeight="1" outlineLevel="1">
      <c r="A238" s="145"/>
      <c r="B238" s="754" t="str">
        <f t="shared" ref="B238:B244" si="16">AK238</f>
        <v>NOTICE.AD2Other</v>
      </c>
      <c r="C238" s="966">
        <v>2</v>
      </c>
      <c r="D238" s="999" t="s">
        <v>605</v>
      </c>
      <c r="E238" s="1000"/>
      <c r="F238" s="1000"/>
      <c r="G238" s="1001"/>
      <c r="H238" s="766">
        <f t="shared" si="13"/>
        <v>41989</v>
      </c>
      <c r="I238" s="745"/>
      <c r="J238"/>
      <c r="K238"/>
      <c r="L238"/>
      <c r="M238"/>
      <c r="N238"/>
      <c r="O238"/>
      <c r="P238"/>
      <c r="Q238"/>
      <c r="R238"/>
      <c r="S238"/>
      <c r="T238"/>
      <c r="U238"/>
      <c r="X238"/>
      <c r="AB238"/>
      <c r="AC238"/>
      <c r="AF238" s="361">
        <f t="shared" si="14"/>
        <v>1</v>
      </c>
      <c r="AG238" s="59"/>
      <c r="AH238" s="60">
        <f t="shared" si="15"/>
        <v>41989</v>
      </c>
      <c r="AI238" s="59"/>
      <c r="AJ238" s="59"/>
      <c r="AK238" s="182" t="str">
        <f t="shared" ref="AK238:AK244" si="17">"NOTICE.AD"&amp;C238&amp;D238</f>
        <v>NOTICE.AD2Other</v>
      </c>
      <c r="AL238" s="76"/>
    </row>
    <row r="239" spans="1:39" s="23" customFormat="1" ht="15" hidden="1" customHeight="1" outlineLevel="1">
      <c r="A239" s="145"/>
      <c r="B239" s="754" t="str">
        <f t="shared" si="16"/>
        <v>NOTICE.AD3None</v>
      </c>
      <c r="C239" s="966">
        <v>3</v>
      </c>
      <c r="D239" s="999" t="s">
        <v>606</v>
      </c>
      <c r="E239" s="1000"/>
      <c r="F239" s="1000"/>
      <c r="G239" s="1001"/>
      <c r="H239" s="766">
        <f t="shared" si="13"/>
        <v>41989</v>
      </c>
      <c r="I239" s="745"/>
      <c r="J239"/>
      <c r="K239"/>
      <c r="L239"/>
      <c r="M239"/>
      <c r="N239"/>
      <c r="O239"/>
      <c r="P239"/>
      <c r="Q239"/>
      <c r="R239"/>
      <c r="S239"/>
      <c r="T239"/>
      <c r="U239"/>
      <c r="X239"/>
      <c r="AB239"/>
      <c r="AC239"/>
      <c r="AF239" s="361">
        <f t="shared" si="14"/>
        <v>1</v>
      </c>
      <c r="AG239" s="59"/>
      <c r="AH239" s="60">
        <f t="shared" si="15"/>
        <v>41989</v>
      </c>
      <c r="AI239" s="59"/>
      <c r="AJ239" s="59"/>
      <c r="AK239" s="182" t="str">
        <f t="shared" si="17"/>
        <v>NOTICE.AD3None</v>
      </c>
      <c r="AL239" s="76"/>
    </row>
    <row r="240" spans="1:39" s="23" customFormat="1" ht="15" hidden="1" customHeight="1" outlineLevel="1">
      <c r="A240" s="145"/>
      <c r="B240" s="754" t="str">
        <f t="shared" si="16"/>
        <v>NOTICE.AD4None</v>
      </c>
      <c r="C240" s="966">
        <v>4</v>
      </c>
      <c r="D240" s="999" t="s">
        <v>606</v>
      </c>
      <c r="E240" s="1000"/>
      <c r="F240" s="1000"/>
      <c r="G240" s="1001"/>
      <c r="H240" s="766">
        <f t="shared" si="13"/>
        <v>41989</v>
      </c>
      <c r="I240" s="745"/>
      <c r="J240"/>
      <c r="K240"/>
      <c r="L240"/>
      <c r="M240"/>
      <c r="N240"/>
      <c r="O240"/>
      <c r="P240"/>
      <c r="Q240"/>
      <c r="R240"/>
      <c r="S240"/>
      <c r="T240"/>
      <c r="U240"/>
      <c r="X240"/>
      <c r="AB240"/>
      <c r="AC240"/>
      <c r="AF240" s="361">
        <f t="shared" si="14"/>
        <v>1</v>
      </c>
      <c r="AG240" s="59"/>
      <c r="AH240" s="60">
        <f t="shared" si="15"/>
        <v>41989</v>
      </c>
      <c r="AI240" s="59"/>
      <c r="AJ240" s="59"/>
      <c r="AK240" s="182" t="str">
        <f t="shared" si="17"/>
        <v>NOTICE.AD4None</v>
      </c>
      <c r="AL240" s="76"/>
    </row>
    <row r="241" spans="1:38" s="23" customFormat="1" ht="15" hidden="1" customHeight="1" outlineLevel="1">
      <c r="A241" s="145"/>
      <c r="B241" s="754" t="str">
        <f t="shared" si="16"/>
        <v>NOTICE.AD5None</v>
      </c>
      <c r="C241" s="966">
        <v>5</v>
      </c>
      <c r="D241" s="999" t="s">
        <v>606</v>
      </c>
      <c r="E241" s="1000"/>
      <c r="F241" s="1000"/>
      <c r="G241" s="1001"/>
      <c r="H241" s="766">
        <f t="shared" si="13"/>
        <v>41989</v>
      </c>
      <c r="I241" s="745"/>
      <c r="J241"/>
      <c r="K241"/>
      <c r="L241"/>
      <c r="M241"/>
      <c r="N241"/>
      <c r="O241"/>
      <c r="P241"/>
      <c r="Q241"/>
      <c r="R241"/>
      <c r="S241"/>
      <c r="T241"/>
      <c r="U241"/>
      <c r="X241"/>
      <c r="AB241"/>
      <c r="AC241"/>
      <c r="AF241" s="361">
        <f t="shared" si="14"/>
        <v>1</v>
      </c>
      <c r="AG241" s="59"/>
      <c r="AH241" s="60">
        <f t="shared" si="15"/>
        <v>41989</v>
      </c>
      <c r="AI241" s="59"/>
      <c r="AJ241" s="59"/>
      <c r="AK241" s="182" t="str">
        <f t="shared" si="17"/>
        <v>NOTICE.AD5None</v>
      </c>
      <c r="AL241" s="76"/>
    </row>
    <row r="242" spans="1:38" s="23" customFormat="1" ht="15" hidden="1" customHeight="1" outlineLevel="1">
      <c r="A242" s="145"/>
      <c r="B242" s="754" t="str">
        <f t="shared" si="16"/>
        <v>NOTICE.AD6None</v>
      </c>
      <c r="C242" s="966">
        <v>6</v>
      </c>
      <c r="D242" s="999" t="s">
        <v>606</v>
      </c>
      <c r="E242" s="1000"/>
      <c r="F242" s="1000"/>
      <c r="G242" s="1001"/>
      <c r="H242" s="766">
        <f t="shared" si="13"/>
        <v>41989</v>
      </c>
      <c r="I242" s="745"/>
      <c r="J242"/>
      <c r="K242"/>
      <c r="L242"/>
      <c r="M242"/>
      <c r="N242"/>
      <c r="O242"/>
      <c r="P242"/>
      <c r="Q242"/>
      <c r="R242"/>
      <c r="S242"/>
      <c r="T242"/>
      <c r="U242"/>
      <c r="X242"/>
      <c r="AB242"/>
      <c r="AC242"/>
      <c r="AF242" s="361">
        <f t="shared" si="14"/>
        <v>1</v>
      </c>
      <c r="AG242" s="59"/>
      <c r="AH242" s="60">
        <f t="shared" si="15"/>
        <v>41989</v>
      </c>
      <c r="AI242" s="59"/>
      <c r="AJ242" s="59"/>
      <c r="AK242" s="182" t="str">
        <f t="shared" si="17"/>
        <v>NOTICE.AD6None</v>
      </c>
      <c r="AL242" s="76"/>
    </row>
    <row r="243" spans="1:38" s="23" customFormat="1" ht="15" hidden="1" customHeight="1" outlineLevel="1">
      <c r="A243" s="145"/>
      <c r="B243" s="754" t="str">
        <f t="shared" si="16"/>
        <v>NOTICE.AD7None</v>
      </c>
      <c r="C243" s="966">
        <v>7</v>
      </c>
      <c r="D243" s="999" t="s">
        <v>606</v>
      </c>
      <c r="E243" s="1000"/>
      <c r="F243" s="1000"/>
      <c r="G243" s="1001"/>
      <c r="H243" s="766">
        <f t="shared" si="13"/>
        <v>41989</v>
      </c>
      <c r="I243" s="745"/>
      <c r="J243"/>
      <c r="K243"/>
      <c r="L243"/>
      <c r="M243"/>
      <c r="N243"/>
      <c r="O243"/>
      <c r="P243"/>
      <c r="Q243"/>
      <c r="R243"/>
      <c r="S243"/>
      <c r="T243"/>
      <c r="U243"/>
      <c r="X243"/>
      <c r="AB243"/>
      <c r="AC243"/>
      <c r="AF243" s="361">
        <f t="shared" si="14"/>
        <v>1</v>
      </c>
      <c r="AG243" s="59"/>
      <c r="AH243" s="60">
        <f t="shared" si="15"/>
        <v>41989</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26" t="s">
        <v>606</v>
      </c>
      <c r="E244" s="1026"/>
      <c r="F244" s="1026"/>
      <c r="G244" s="1027"/>
      <c r="H244" s="767">
        <f t="shared" si="13"/>
        <v>41989</v>
      </c>
      <c r="I244" s="745"/>
      <c r="J244"/>
      <c r="K244"/>
      <c r="L244"/>
      <c r="M244"/>
      <c r="N244"/>
      <c r="O244"/>
      <c r="P244"/>
      <c r="Q244"/>
      <c r="R244"/>
      <c r="S244"/>
      <c r="T244"/>
      <c r="U244"/>
      <c r="X244"/>
      <c r="AB244"/>
      <c r="AC244"/>
      <c r="AF244" s="361">
        <f t="shared" si="14"/>
        <v>1</v>
      </c>
      <c r="AG244" s="59"/>
      <c r="AH244" s="60">
        <f t="shared" si="15"/>
        <v>41989</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587</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588</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589</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590</v>
      </c>
      <c r="C249" s="1011" t="s">
        <v>615</v>
      </c>
      <c r="D249" s="1011"/>
      <c r="E249" s="1011"/>
      <c r="F249" s="1011"/>
      <c r="G249" s="1012"/>
      <c r="H249" s="256">
        <f>AH249</f>
        <v>41975</v>
      </c>
      <c r="I249" s="745"/>
      <c r="J249"/>
      <c r="K249"/>
      <c r="L249"/>
      <c r="M249"/>
      <c r="N249"/>
      <c r="O249"/>
      <c r="P249"/>
      <c r="Q249"/>
      <c r="R249"/>
      <c r="S249"/>
      <c r="T249"/>
      <c r="U249"/>
      <c r="X249"/>
      <c r="AB249"/>
      <c r="AC249"/>
      <c r="AF249" s="361">
        <f t="shared" si="18"/>
        <v>1</v>
      </c>
      <c r="AG249" s="48"/>
      <c r="AH249" s="60">
        <f>IF(AF249=0,,IF(S.Notice.AD.Involved="N",,WORKDAY(S.Notice.OpenComment,-10,S.DDL_DEQClosed)))</f>
        <v>41975</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si="19">AG250</f>
        <v>41820</v>
      </c>
      <c r="H250" s="256">
        <f t="shared" si="13"/>
        <v>41968</v>
      </c>
      <c r="I250" s="745"/>
      <c r="J250"/>
      <c r="K250"/>
      <c r="L250"/>
      <c r="M250"/>
      <c r="N250"/>
      <c r="O250"/>
      <c r="P250"/>
      <c r="Q250"/>
      <c r="R250"/>
      <c r="S250"/>
      <c r="T250"/>
      <c r="U250"/>
      <c r="X250"/>
      <c r="AB250"/>
      <c r="AC250"/>
      <c r="AF250" s="361">
        <f t="shared" si="18"/>
        <v>1</v>
      </c>
      <c r="AG250" s="60">
        <f>IF(AF250=0,,IF(S.Notice.AD.Involved="N",,S.Notice.BANNER.Begin))</f>
        <v>41820</v>
      </c>
      <c r="AH250" s="60">
        <f>IF(AF250=0,,IF(S.Notice.AD.Involved="N",,WORKDAY(MIN(S.Notice.OpenComment,S.Notice.SubmitToSOS),-13,S.DDL_DEQClosed)))</f>
        <v>41968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si="20">AG251</f>
        <v>41820</v>
      </c>
      <c r="H251" s="256">
        <f t="shared" si="13"/>
        <v>41968</v>
      </c>
      <c r="I251" s="745"/>
      <c r="J251"/>
      <c r="K251"/>
      <c r="L251"/>
      <c r="M251"/>
      <c r="N251"/>
      <c r="O251"/>
      <c r="P251"/>
      <c r="Q251"/>
      <c r="R251"/>
      <c r="S251"/>
      <c r="T251"/>
      <c r="U251"/>
      <c r="X251"/>
      <c r="AB251"/>
      <c r="AC251"/>
      <c r="AF251" s="361">
        <f t="shared" si="18"/>
        <v>1</v>
      </c>
      <c r="AG251" s="60">
        <f>IF(AF251=0,,IF(S.Notice.AD.Involved="N",,S.Notice.BANNER.Begin))</f>
        <v>41820</v>
      </c>
      <c r="AH251" s="60">
        <f>IF(AF251=0,,IF(S.Notice.AD.Involved="N",,WORKDAY(MIN(S.Notice.OpenComment,S.Notice.SubmitToSOS),-13,S.DDL_DEQClosed)))</f>
        <v>41968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585</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570</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577</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1044" t="str">
        <f>AK259</f>
        <v/>
      </c>
      <c r="G257" s="1045"/>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4"/>
      <c r="G258" s="1045"/>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4"/>
      <c r="G259" s="1045"/>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4"/>
      <c r="G260" s="1045"/>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4"/>
      <c r="G261" s="1045"/>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550</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AG264</f>
        <v>41820</v>
      </c>
      <c r="H264" s="256">
        <f>AH264</f>
        <v>41820</v>
      </c>
      <c r="I264" s="745"/>
      <c r="J264"/>
      <c r="K264"/>
      <c r="L264"/>
      <c r="M264"/>
      <c r="N264"/>
      <c r="O264"/>
      <c r="P264"/>
      <c r="Q264"/>
      <c r="R264"/>
      <c r="S264"/>
      <c r="T264"/>
      <c r="U264"/>
      <c r="X264"/>
      <c r="AB264"/>
      <c r="AC264"/>
      <c r="AF264" s="361">
        <f t="shared" si="22"/>
        <v>1</v>
      </c>
      <c r="AG264" s="60">
        <f>S.Planning.AddConceptToPlanDate</f>
        <v>41820</v>
      </c>
      <c r="AH264" s="60">
        <f>G264</f>
        <v>41820</v>
      </c>
      <c r="AI264" s="59"/>
      <c r="AJ264" s="43"/>
      <c r="AK264" s="78" t="str">
        <f>S.Staff.Subject.Expert.FirstName&amp;" coordinates with Team to:"</f>
        <v>Brian coordinates with Team to:</v>
      </c>
      <c r="AL264" s="76"/>
    </row>
    <row r="265" spans="1:38" s="23" customFormat="1" ht="15.75" customHeight="1" outlineLevel="1">
      <c r="A265" s="145"/>
      <c r="B265" s="269" t="s">
        <v>559</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553</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558</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552</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AH271</f>
        <v>41820</v>
      </c>
      <c r="I271" s="745"/>
      <c r="AF271" s="361">
        <f t="shared" si="22"/>
        <v>1</v>
      </c>
      <c r="AG271" s="59"/>
      <c r="AH271" s="60">
        <f>S.Planning.AddConceptToPlanDate</f>
        <v>41820</v>
      </c>
      <c r="AI271" s="59"/>
      <c r="AJ271" s="43"/>
      <c r="AK271" s="346"/>
      <c r="AL271" s="76"/>
    </row>
    <row r="272" spans="1:38" s="23" customFormat="1" ht="15.75" customHeight="1" outlineLevel="1">
      <c r="A272" s="145"/>
      <c r="B272" s="318" t="s">
        <v>655</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561</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560</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773</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984" t="s">
        <v>562</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985" t="s">
        <v>563</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AH279</f>
        <v>41820</v>
      </c>
      <c r="I279" s="745"/>
      <c r="J279"/>
      <c r="K279"/>
      <c r="L279"/>
      <c r="M279"/>
      <c r="N279"/>
      <c r="O279"/>
      <c r="P279"/>
      <c r="Q279"/>
      <c r="R279"/>
      <c r="S279"/>
      <c r="T279"/>
      <c r="U279"/>
      <c r="X279"/>
      <c r="AB279"/>
      <c r="AC279"/>
      <c r="AF279" s="361">
        <f t="shared" si="22"/>
        <v>1</v>
      </c>
      <c r="AG279" s="58"/>
      <c r="AH279" s="60">
        <f>S.Planning.AddConceptToPlanDate</f>
        <v>41820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565</v>
      </c>
      <c r="C281" s="184" t="s">
        <v>0</v>
      </c>
      <c r="D281" s="187"/>
      <c r="E281" s="884"/>
      <c r="F281" s="191"/>
      <c r="G281"/>
      <c r="H281" s="190">
        <f>AH281</f>
        <v>41820</v>
      </c>
      <c r="I281" s="745"/>
      <c r="J281"/>
      <c r="K281"/>
      <c r="L281"/>
      <c r="M281"/>
      <c r="N281"/>
      <c r="O281"/>
      <c r="P281"/>
      <c r="Q281"/>
      <c r="R281"/>
      <c r="S281"/>
      <c r="T281"/>
      <c r="U281"/>
      <c r="X281"/>
      <c r="AB281"/>
      <c r="AC281"/>
      <c r="AF281" s="361">
        <f t="shared" si="22"/>
        <v>1</v>
      </c>
      <c r="AG281" s="58"/>
      <c r="AH281" s="60">
        <f>S.Planning.AddConceptToPlanDate</f>
        <v>41820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564</v>
      </c>
      <c r="C282" s="184" t="s">
        <v>0</v>
      </c>
      <c r="D282" s="187"/>
      <c r="E282" s="884"/>
      <c r="F282"/>
      <c r="H282" s="190">
        <f>AH282</f>
        <v>41820</v>
      </c>
      <c r="I282" s="745"/>
      <c r="J282"/>
      <c r="K282"/>
      <c r="L282"/>
      <c r="M282"/>
      <c r="N282"/>
      <c r="O282"/>
      <c r="P282"/>
      <c r="Q282"/>
      <c r="R282"/>
      <c r="S282"/>
      <c r="T282"/>
      <c r="U282"/>
      <c r="X282"/>
      <c r="AB282"/>
      <c r="AC282"/>
      <c r="AF282" s="361">
        <f t="shared" si="22"/>
        <v>1</v>
      </c>
      <c r="AG282" s="58"/>
      <c r="AH282" s="60">
        <f>S.Planning.AddConceptToPlanDate</f>
        <v>41820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IF(S.SIP.Involved="Y",S.DIRECTOR.Approves.ForDEQRulemakingPlan,)</f>
        <v>41820</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566</v>
      </c>
      <c r="C284" s="509" t="str">
        <f>HYPERLINK("\\deqhq1\Rule_Development\Currrent Plan","i")</f>
        <v>i</v>
      </c>
      <c r="D284" s="187"/>
      <c r="E284" s="884"/>
      <c r="F284"/>
      <c r="H284" s="190">
        <f>AH284</f>
        <v>41820</v>
      </c>
      <c r="I284" s="745"/>
      <c r="J284"/>
      <c r="K284"/>
      <c r="L284"/>
      <c r="M284"/>
      <c r="N284"/>
      <c r="O284"/>
      <c r="P284"/>
      <c r="Q284"/>
      <c r="R284"/>
      <c r="S284"/>
      <c r="T284"/>
      <c r="U284"/>
      <c r="X284"/>
      <c r="AB284"/>
      <c r="AC284"/>
      <c r="AF284" s="361">
        <f>IF(S.Planning.DecisionToAddToPlan="A",1,0)</f>
        <v>1</v>
      </c>
      <c r="AG284" s="58"/>
      <c r="AH284" s="60">
        <f>S.Planning.AddConceptToPlanDate</f>
        <v>41820</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5" t="str">
        <f>AK12</f>
        <v>Advisory Committee - not involved</v>
      </c>
      <c r="C287" s="1005"/>
      <c r="D287" s="1005"/>
      <c r="E287" s="1005"/>
      <c r="F287" s="1005"/>
      <c r="G287" s="1005"/>
      <c r="H287" s="1005"/>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703</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704</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706</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705</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697</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695</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696</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698</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699</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700</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707</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708</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701</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702</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709</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710</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772</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683</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772</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1040" t="s">
        <v>220</v>
      </c>
      <c r="E377" s="1040"/>
      <c r="F377" s="1040"/>
      <c r="G377" s="1041"/>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772</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1040" t="s">
        <v>219</v>
      </c>
      <c r="E400" s="1040"/>
      <c r="F400" s="1040"/>
      <c r="G400" s="1041"/>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1040" t="s">
        <v>217</v>
      </c>
      <c r="E423" s="1040"/>
      <c r="F423" s="1040"/>
      <c r="G423" s="1041"/>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1040" t="s">
        <v>218</v>
      </c>
      <c r="E446" s="1040"/>
      <c r="F446" s="1040"/>
      <c r="G446" s="1041"/>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30" t="str">
        <f>AK14</f>
        <v>Fees - not involved</v>
      </c>
      <c r="C452" s="1030"/>
      <c r="D452" s="1030"/>
      <c r="E452" s="1030"/>
      <c r="F452" s="1030"/>
      <c r="G452" s="1030"/>
      <c r="H452" s="1030"/>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4" t="str">
        <f>AK22</f>
        <v>Public Notice</v>
      </c>
      <c r="C487" s="1004"/>
      <c r="D487" s="1004"/>
      <c r="E487" s="1004"/>
      <c r="F487" s="1004"/>
      <c r="G487" s="1004"/>
      <c r="H487" s="1004"/>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21" t="s">
        <v>0</v>
      </c>
      <c r="C489" s="1021"/>
      <c r="D489" s="1021"/>
      <c r="E489" s="1021"/>
      <c r="F489" s="1021"/>
      <c r="G489" s="175">
        <f>AG489</f>
        <v>41820</v>
      </c>
      <c r="H489" s="126">
        <f>AH489</f>
        <v>42024</v>
      </c>
      <c r="I489" s="745"/>
      <c r="AF489" s="361">
        <f>IF(S.Notice.Involved="Y",1,0)</f>
        <v>1</v>
      </c>
      <c r="AG489" s="60">
        <f>S.Notice.BANNER.Begin</f>
        <v>41820</v>
      </c>
      <c r="AH489" s="60">
        <f>S.Notice.BANNER.End</f>
        <v>42024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780</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572</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si="66">AG493</f>
        <v>41820</v>
      </c>
      <c r="H493" s="939">
        <f t="shared" ref="H493" si="67">AH493</f>
        <v>41939</v>
      </c>
      <c r="I493" s="745"/>
      <c r="AF493" s="361">
        <f t="shared" si="65"/>
        <v>1</v>
      </c>
      <c r="AG493" s="566">
        <f>IF(AF493=0,,S.Notice.BANNER.Begin)</f>
        <v>41820</v>
      </c>
      <c r="AH493" s="566">
        <f>IF(AF493=0,,WORKDAY(S.Notice.Submit.ToSponsoringMgr-1,-1,S.DDL_DEQClosed))</f>
        <v>41939</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573</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591</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579</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580</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616</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617</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618</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619</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620</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621</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622</v>
      </c>
      <c r="C504" s="282" t="s">
        <v>0</v>
      </c>
      <c r="D504"/>
      <c r="G504" s="940"/>
      <c r="H504" s="941"/>
      <c r="I504" s="745"/>
      <c r="AF504" s="361">
        <f t="shared" si="65"/>
        <v>1</v>
      </c>
      <c r="AG504" s="58"/>
      <c r="AH504" s="566">
        <f>S.Notice.Submit.ToRG</f>
        <v>41943</v>
      </c>
      <c r="AI504" s="59"/>
      <c r="AJ504" s="59"/>
      <c r="AK504" s="44"/>
      <c r="AL504" s="76"/>
    </row>
    <row r="505" spans="1:38" s="23" customFormat="1" ht="14.1" customHeight="1" outlineLevel="1">
      <c r="A505" s="145"/>
      <c r="B505" s="772" t="s">
        <v>623</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581</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si="68">AG507</f>
        <v>41820</v>
      </c>
      <c r="H507" s="943">
        <f t="shared" ref="H507:H520" si="69">AH507</f>
        <v>41939</v>
      </c>
      <c r="I507" s="745"/>
      <c r="AF507" s="361">
        <f t="shared" si="65"/>
        <v>1</v>
      </c>
      <c r="AG507" s="566">
        <f>IF(AF507=0,,S.Notice.BANNER.Begin)</f>
        <v>41820</v>
      </c>
      <c r="AH507" s="566">
        <f>IF(AF507=0,,WORKDAY(S.Notice.Submit.ToSponsoringMgr-1,-1,S.DDL_DEQClosed))</f>
        <v>41939</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613</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si="68"/>
        <v>41820</v>
      </c>
      <c r="H509" s="947">
        <f t="shared" si="69"/>
        <v>41939</v>
      </c>
      <c r="I509" s="745"/>
      <c r="J509"/>
      <c r="K509"/>
      <c r="L509"/>
      <c r="M509"/>
      <c r="N509"/>
      <c r="O509"/>
      <c r="P509"/>
      <c r="Q509"/>
      <c r="R509"/>
      <c r="S509"/>
      <c r="T509"/>
      <c r="U509"/>
      <c r="X509"/>
      <c r="AB509"/>
      <c r="AC509"/>
      <c r="AF509" s="361">
        <f t="shared" si="65"/>
        <v>1</v>
      </c>
      <c r="AG509" s="566">
        <f>$G$507</f>
        <v>41820</v>
      </c>
      <c r="AH509" s="566">
        <f>$H$507</f>
        <v>41939</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624</v>
      </c>
      <c r="C510" s="282" t="s">
        <v>0</v>
      </c>
      <c r="D510" s="713"/>
      <c r="E510" s="887"/>
      <c r="F510"/>
      <c r="G510" s="946">
        <f t="shared" si="68"/>
        <v>41820</v>
      </c>
      <c r="H510" s="947">
        <f t="shared" si="69"/>
        <v>41939</v>
      </c>
      <c r="I510" s="745"/>
      <c r="J510"/>
      <c r="K510"/>
      <c r="L510"/>
      <c r="M510"/>
      <c r="N510"/>
      <c r="O510"/>
      <c r="P510"/>
      <c r="Q510"/>
      <c r="R510"/>
      <c r="S510"/>
      <c r="T510"/>
      <c r="U510"/>
      <c r="X510"/>
      <c r="AB510"/>
      <c r="AC510"/>
      <c r="AF510" s="361">
        <f t="shared" si="65"/>
        <v>1</v>
      </c>
      <c r="AG510" s="566">
        <f t="shared" ref="AG510:AG512" si="70">$G$507</f>
        <v>41820</v>
      </c>
      <c r="AH510" s="566">
        <f t="shared" ref="AH510:AH512" si="71">$H$507</f>
        <v>41939</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si="68"/>
        <v>41820</v>
      </c>
      <c r="H511" s="947">
        <f t="shared" si="69"/>
        <v>41939</v>
      </c>
      <c r="I511" s="745"/>
      <c r="J511"/>
      <c r="K511"/>
      <c r="L511"/>
      <c r="M511"/>
      <c r="N511"/>
      <c r="O511"/>
      <c r="P511"/>
      <c r="Q511"/>
      <c r="R511"/>
      <c r="S511"/>
      <c r="T511"/>
      <c r="U511"/>
      <c r="X511"/>
      <c r="AB511"/>
      <c r="AC511"/>
      <c r="AF511" s="361">
        <f>IF(AND(S.SIP.Involved="Y",S.Notice.Involved="Y"),1,0)</f>
        <v>1</v>
      </c>
      <c r="AG511" s="566">
        <f t="shared" si="70"/>
        <v>41820</v>
      </c>
      <c r="AH511" s="566">
        <f t="shared" si="71"/>
        <v>41939</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si="68"/>
        <v>41820</v>
      </c>
      <c r="H512" s="947">
        <f t="shared" si="69"/>
        <v>41939</v>
      </c>
      <c r="I512" s="745"/>
      <c r="AF512" s="361">
        <f t="shared" ref="AF512:AF538" si="73">IF(S.Notice.Involved="Y",1,0)</f>
        <v>1</v>
      </c>
      <c r="AG512" s="566">
        <f t="shared" si="70"/>
        <v>41820</v>
      </c>
      <c r="AH512" s="566">
        <f t="shared" si="71"/>
        <v>41939</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629</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630</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si="68"/>
        <v>41820</v>
      </c>
      <c r="H515" s="947">
        <f t="shared" si="69"/>
        <v>41939</v>
      </c>
      <c r="I515" s="745"/>
      <c r="AF515" s="361">
        <f t="shared" si="73"/>
        <v>1</v>
      </c>
      <c r="AG515" s="566">
        <f t="shared" ref="AG515:AG530" si="75">$G$507</f>
        <v>41820</v>
      </c>
      <c r="AH515" s="566">
        <f t="shared" ref="AH515:AH530" si="76">$H$507</f>
        <v>41939</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si="68"/>
        <v>41820</v>
      </c>
      <c r="H516" s="947">
        <f t="shared" si="69"/>
        <v>41939</v>
      </c>
      <c r="I516" s="745"/>
      <c r="AF516" s="361">
        <f t="shared" si="73"/>
        <v>1</v>
      </c>
      <c r="AG516" s="566">
        <f t="shared" si="75"/>
        <v>41820</v>
      </c>
      <c r="AH516" s="566">
        <f t="shared" si="76"/>
        <v>41939</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si="68"/>
        <v>41820</v>
      </c>
      <c r="H517" s="947">
        <f t="shared" si="69"/>
        <v>41939</v>
      </c>
      <c r="I517" s="745"/>
      <c r="AF517" s="361">
        <f t="shared" si="73"/>
        <v>1</v>
      </c>
      <c r="AG517" s="566">
        <f t="shared" si="75"/>
        <v>41820</v>
      </c>
      <c r="AH517" s="566">
        <f t="shared" si="76"/>
        <v>41939</v>
      </c>
      <c r="AI517" s="59"/>
      <c r="AJ517" s="59"/>
      <c r="AK517" s="67" t="str">
        <f>"* "&amp;S.Staff.AAG&amp;", if needed for legal consultation"</f>
        <v>* PaulG, if needed for legal consultation</v>
      </c>
      <c r="AL517" s="76"/>
    </row>
    <row r="518" spans="1:38" s="23" customFormat="1" ht="14.1" hidden="1" customHeight="1" outlineLevel="1">
      <c r="A518" s="145"/>
      <c r="B518" s="743" t="s">
        <v>574</v>
      </c>
      <c r="C518" s="545" t="s">
        <v>0</v>
      </c>
      <c r="D518" s="713"/>
      <c r="E518" s="887"/>
      <c r="F518"/>
      <c r="G518" s="946">
        <f t="shared" si="68"/>
        <v>41820</v>
      </c>
      <c r="H518" s="947">
        <f t="shared" si="69"/>
        <v>41939</v>
      </c>
      <c r="I518" s="745"/>
      <c r="J518"/>
      <c r="K518"/>
      <c r="L518"/>
      <c r="M518"/>
      <c r="N518"/>
      <c r="O518"/>
      <c r="P518"/>
      <c r="Q518"/>
      <c r="R518"/>
      <c r="S518"/>
      <c r="T518"/>
      <c r="U518"/>
      <c r="X518"/>
      <c r="AB518"/>
      <c r="AC518"/>
      <c r="AF518" s="361">
        <f t="shared" si="73"/>
        <v>1</v>
      </c>
      <c r="AG518" s="566">
        <f t="shared" si="75"/>
        <v>41820</v>
      </c>
      <c r="AH518" s="566">
        <f t="shared" si="76"/>
        <v>41939</v>
      </c>
      <c r="AI518" s="59"/>
      <c r="AJ518" s="59"/>
      <c r="AK518" s="44"/>
      <c r="AL518" s="76"/>
    </row>
    <row r="519" spans="1:38" s="23" customFormat="1" ht="14.1" hidden="1" customHeight="1" outlineLevel="1">
      <c r="A519" s="145"/>
      <c r="B519" s="743" t="s">
        <v>574</v>
      </c>
      <c r="C519" s="545" t="s">
        <v>0</v>
      </c>
      <c r="D519" s="713"/>
      <c r="E519" s="887"/>
      <c r="F519"/>
      <c r="G519" s="946">
        <f t="shared" si="68"/>
        <v>41820</v>
      </c>
      <c r="H519" s="947">
        <f t="shared" si="69"/>
        <v>41939</v>
      </c>
      <c r="I519" s="745"/>
      <c r="J519"/>
      <c r="K519"/>
      <c r="L519"/>
      <c r="M519"/>
      <c r="N519"/>
      <c r="O519"/>
      <c r="P519"/>
      <c r="Q519"/>
      <c r="R519"/>
      <c r="S519"/>
      <c r="T519"/>
      <c r="U519"/>
      <c r="X519"/>
      <c r="AB519"/>
      <c r="AC519"/>
      <c r="AF519" s="361">
        <f t="shared" si="73"/>
        <v>1</v>
      </c>
      <c r="AG519" s="566">
        <f t="shared" si="75"/>
        <v>41820</v>
      </c>
      <c r="AH519" s="566">
        <f t="shared" si="76"/>
        <v>41939</v>
      </c>
      <c r="AI519" s="59"/>
      <c r="AJ519" s="59"/>
      <c r="AK519" s="44"/>
      <c r="AL519" s="76"/>
    </row>
    <row r="520" spans="1:38" s="23" customFormat="1" ht="14.1" hidden="1" customHeight="1" outlineLevel="1">
      <c r="A520" s="145"/>
      <c r="B520" s="743" t="s">
        <v>574</v>
      </c>
      <c r="C520" s="545" t="s">
        <v>0</v>
      </c>
      <c r="D520" s="713"/>
      <c r="E520" s="887"/>
      <c r="F520"/>
      <c r="G520" s="946">
        <f t="shared" si="68"/>
        <v>41820</v>
      </c>
      <c r="H520" s="947">
        <f t="shared" si="69"/>
        <v>41939</v>
      </c>
      <c r="I520" s="745"/>
      <c r="J520"/>
      <c r="K520"/>
      <c r="L520"/>
      <c r="M520"/>
      <c r="N520"/>
      <c r="O520"/>
      <c r="P520"/>
      <c r="Q520"/>
      <c r="R520"/>
      <c r="S520"/>
      <c r="T520"/>
      <c r="U520"/>
      <c r="X520"/>
      <c r="AB520"/>
      <c r="AC520"/>
      <c r="AF520" s="361">
        <f t="shared" si="73"/>
        <v>1</v>
      </c>
      <c r="AG520" s="566">
        <f t="shared" si="75"/>
        <v>41820</v>
      </c>
      <c r="AH520" s="566">
        <f t="shared" si="76"/>
        <v>41939</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AG521</f>
        <v>41820</v>
      </c>
      <c r="H521" s="949">
        <f t="shared" ref="H521" si="79">AH521</f>
        <v>41939</v>
      </c>
      <c r="I521" s="745"/>
      <c r="AF521" s="361">
        <f t="shared" ref="AF521:AF572" si="80">IF(S.Notice.Involved="Y",1,0)</f>
        <v>1</v>
      </c>
      <c r="AG521" s="566">
        <f t="shared" si="75"/>
        <v>41820</v>
      </c>
      <c r="AH521" s="566">
        <f t="shared" si="76"/>
        <v>41939</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648</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650</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651</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AG530</f>
        <v>41820</v>
      </c>
      <c r="H530" s="949">
        <f t="shared" ref="H530" si="83">AH530</f>
        <v>41939</v>
      </c>
      <c r="I530" s="745"/>
      <c r="AF530" s="361">
        <f t="shared" si="80"/>
        <v>1</v>
      </c>
      <c r="AG530" s="566">
        <f t="shared" si="75"/>
        <v>41820</v>
      </c>
      <c r="AH530" s="566">
        <f t="shared" si="76"/>
        <v>41939</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769</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592</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593</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575</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576</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578</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987" t="s">
        <v>627</v>
      </c>
      <c r="D539" s="987"/>
      <c r="E539" s="987"/>
      <c r="F539" s="987"/>
      <c r="G539" s="988"/>
      <c r="H539" s="256">
        <f t="shared" ref="H539" si="86">AH539</f>
        <v>41907</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41907</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987" t="s">
        <v>626</v>
      </c>
      <c r="D540" s="1013"/>
      <c r="E540" s="1013"/>
      <c r="F540" s="1013"/>
      <c r="G540" s="1014"/>
      <c r="H540" s="263">
        <f>AH540</f>
        <v>41964</v>
      </c>
      <c r="I540" s="745"/>
      <c r="J540"/>
      <c r="K540"/>
      <c r="L540"/>
      <c r="M540"/>
      <c r="N540"/>
      <c r="O540"/>
      <c r="P540"/>
      <c r="Q540"/>
      <c r="R540"/>
      <c r="S540"/>
      <c r="T540"/>
      <c r="U540"/>
      <c r="X540"/>
      <c r="AB540"/>
      <c r="AC540"/>
      <c r="AF540" s="361">
        <f t="shared" si="87"/>
        <v>1</v>
      </c>
      <c r="AG540" s="58"/>
      <c r="AH540" s="60">
        <f>IF(AF540=0,,WORKDAY(S.Notice.Submit.ToADA,-1,S.DDL_DEQClosed))</f>
        <v>41964</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987" t="s">
        <v>625</v>
      </c>
      <c r="D541" s="987"/>
      <c r="E541" s="987"/>
      <c r="F541" s="987"/>
      <c r="G541" s="988"/>
      <c r="H541" s="263">
        <f>AH541</f>
        <v>41967</v>
      </c>
      <c r="I541" s="745"/>
      <c r="J541"/>
      <c r="K541"/>
      <c r="L541"/>
      <c r="M541"/>
      <c r="N541"/>
      <c r="O541"/>
      <c r="P541"/>
      <c r="Q541"/>
      <c r="R541"/>
      <c r="S541"/>
      <c r="T541"/>
      <c r="U541"/>
      <c r="X541"/>
      <c r="AB541"/>
      <c r="AC541"/>
      <c r="AF541" s="361">
        <f t="shared" si="87"/>
        <v>1</v>
      </c>
      <c r="AG541" s="58"/>
      <c r="AH541" s="60">
        <f>IF(AF541=0,,S.Notice.Submit.ToADA)</f>
        <v>41967</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987" t="s">
        <v>625</v>
      </c>
      <c r="D543" s="987"/>
      <c r="E543" s="987"/>
      <c r="F543" s="987"/>
      <c r="G543" s="988"/>
      <c r="H543" s="263">
        <f>AH543</f>
        <v>41941</v>
      </c>
      <c r="I543" s="745"/>
      <c r="AF543" s="361">
        <f t="shared" si="87"/>
        <v>1</v>
      </c>
      <c r="AG543" s="58"/>
      <c r="AH543" s="60">
        <f>IF(AF543=0,,S.Notice.Submit.ToSponsoringMgr)</f>
        <v>41941</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Wendy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Wendy informed about potential risks &amp; delays</v>
      </c>
      <c r="AL545" s="76"/>
    </row>
    <row r="546" spans="1:38" s="23" customFormat="1" ht="14.1" customHeight="1">
      <c r="A546" s="145"/>
      <c r="B546" s="221" t="str">
        <f t="shared" si="85"/>
        <v>AndreaG keeps Lydia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23" t="s">
        <v>594</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770</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06" t="s">
        <v>686</v>
      </c>
      <c r="H562" s="1007"/>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763</v>
      </c>
      <c r="C563" s="282" t="s">
        <v>0</v>
      </c>
      <c r="D563" s="283"/>
      <c r="E563" s="750"/>
      <c r="F563" s="40"/>
      <c r="G563" s="932">
        <f>AG563</f>
        <v>41941</v>
      </c>
      <c r="H563" s="933">
        <f>AH563</f>
        <v>41946</v>
      </c>
      <c r="I563" s="745"/>
      <c r="AE563" s="859"/>
      <c r="AF563" s="361">
        <f t="shared" si="80"/>
        <v>1</v>
      </c>
      <c r="AG563" s="60">
        <f>S.Notice.Submit.ToSponsoringMgr</f>
        <v>41941</v>
      </c>
      <c r="AH563" s="60">
        <f>H23</f>
        <v>41946</v>
      </c>
      <c r="AI563" s="59"/>
      <c r="AJ563" s="59"/>
      <c r="AK563" s="44"/>
      <c r="AL563" s="76"/>
    </row>
    <row r="564" spans="1:38" s="23" customFormat="1" ht="14.1" customHeight="1">
      <c r="A564" s="145"/>
      <c r="B564" s="269" t="s">
        <v>764</v>
      </c>
      <c r="C564" s="282" t="s">
        <v>0</v>
      </c>
      <c r="G564" s="934" t="s">
        <v>762</v>
      </c>
      <c r="H564" s="935" t="s">
        <v>761</v>
      </c>
      <c r="I564" s="745"/>
      <c r="AE564" s="859"/>
      <c r="AF564" s="361">
        <f t="shared" si="80"/>
        <v>1</v>
      </c>
      <c r="AG564" s="59"/>
      <c r="AH564" s="59"/>
      <c r="AI564" s="59"/>
      <c r="AJ564" s="59"/>
      <c r="AK564" s="44"/>
      <c r="AL564" s="76"/>
    </row>
    <row r="565" spans="1:38" s="23" customFormat="1" ht="14.1" customHeight="1" thickBot="1">
      <c r="A565" s="145"/>
      <c r="B565" s="269" t="s">
        <v>757</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771</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41947</v>
      </c>
      <c r="H569" s="953">
        <f>AH569</f>
        <v>41942</v>
      </c>
      <c r="I569" s="745"/>
      <c r="AF569" s="361">
        <f t="shared" si="80"/>
        <v>1</v>
      </c>
      <c r="AG569" s="60">
        <f>WORKDAY(H563,1,S.DDL_DEQClosed)</f>
        <v>41947</v>
      </c>
      <c r="AH569" s="60">
        <f>IF(AF569=0,,WORKDAY(S.Notice.Submit.ToRG,-1,S.DDL_DEQClosed))</f>
        <v>41942</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02" t="s">
        <v>611</v>
      </c>
      <c r="H572" s="1003"/>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682</v>
      </c>
      <c r="C573" s="268"/>
      <c r="D573" s="714"/>
      <c r="E573" s="886"/>
      <c r="F573"/>
      <c r="G573" s="950">
        <f>AG573</f>
        <v>41943</v>
      </c>
      <c r="H573" s="933">
        <f>AH573</f>
        <v>41953</v>
      </c>
      <c r="I573" s="745"/>
      <c r="AF573" s="361">
        <f t="shared" ref="AF573:AF580" si="94">IF(S.Notice.Involved="Y",1,0)</f>
        <v>1</v>
      </c>
      <c r="AG573" s="566">
        <f>S.Notice.Submit.ToRG</f>
        <v>41943</v>
      </c>
      <c r="AH573" s="566">
        <f>H24</f>
        <v>41953</v>
      </c>
      <c r="AI573" s="58"/>
      <c r="AJ573" s="44"/>
      <c r="AK573" s="44"/>
      <c r="AL573" s="76"/>
    </row>
    <row r="574" spans="1:38" s="23" customFormat="1" ht="14.1" customHeight="1" thickBot="1">
      <c r="A574" s="145"/>
      <c r="B574" s="269" t="s">
        <v>608</v>
      </c>
      <c r="C574" s="268"/>
      <c r="D574"/>
      <c r="F574"/>
      <c r="G574" s="958" t="s">
        <v>762</v>
      </c>
      <c r="H574" s="959" t="s">
        <v>761</v>
      </c>
      <c r="I574" s="745"/>
      <c r="AF574" s="361">
        <f t="shared" si="94"/>
        <v>1</v>
      </c>
      <c r="AG574" s="58"/>
      <c r="AH574" s="58"/>
      <c r="AI574" s="58"/>
      <c r="AJ574" s="44"/>
      <c r="AK574" s="44"/>
      <c r="AL574" s="76"/>
    </row>
    <row r="575" spans="1:38" s="23" customFormat="1" ht="14.1" customHeight="1" thickTop="1" thickBot="1">
      <c r="A575" s="145"/>
      <c r="B575" s="289" t="s">
        <v>766</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669</v>
      </c>
      <c r="C577" s="282"/>
      <c r="G577" s="40"/>
      <c r="H577" s="40"/>
      <c r="I577" s="745"/>
      <c r="AF577" s="361">
        <f t="shared" si="94"/>
        <v>1</v>
      </c>
      <c r="AG577" s="59"/>
      <c r="AH577" s="59"/>
      <c r="AI577" s="59"/>
      <c r="AJ577" s="59"/>
      <c r="AK577" s="44"/>
      <c r="AL577" s="76"/>
    </row>
    <row r="578" spans="1:39" s="23" customFormat="1" ht="14.1" customHeight="1">
      <c r="A578" s="145"/>
      <c r="B578" s="320" t="s">
        <v>649</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41955</v>
      </c>
      <c r="H579" s="256">
        <f t="shared" ref="H579:H584" si="97">AH579</f>
        <v>41960</v>
      </c>
      <c r="I579" s="930"/>
      <c r="AF579" s="361">
        <f t="shared" si="94"/>
        <v>1</v>
      </c>
      <c r="AG579" s="775">
        <f>WORKDAY(H573,1,S.DDL_DEQClosed)</f>
        <v>41955</v>
      </c>
      <c r="AH579" s="775">
        <f>WORKDAY(G579,3,S.DDL_DEQClosed)</f>
        <v>41960</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41961</v>
      </c>
      <c r="H580" s="256">
        <f t="shared" si="97"/>
        <v>41962</v>
      </c>
      <c r="I580" s="745"/>
      <c r="AF580" s="361">
        <f t="shared" si="94"/>
        <v>1</v>
      </c>
      <c r="AG580" s="60">
        <f>IF(AF580=0,,WORKDAY(H579,1,S.DDL_DEQClosed))</f>
        <v>41961</v>
      </c>
      <c r="AH580" s="60">
        <f>IF(AF580=0,,WORKDAY(G580,1,S.DDL_DEQClosed))</f>
        <v>41962</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41963</v>
      </c>
      <c r="H584" s="256">
        <f t="shared" si="97"/>
        <v>41964</v>
      </c>
      <c r="I584" s="745"/>
      <c r="AF584" s="361">
        <f t="shared" ref="AF584:AF592" si="100">IF(S.Notice.Involved="Y",1,0)</f>
        <v>1</v>
      </c>
      <c r="AG584" s="60">
        <f>WORKDAY(MAX(H562:H583),1,S.DDL_DEQClosed)</f>
        <v>41963</v>
      </c>
      <c r="AH584" s="60">
        <f>IF(AF584=0,,WORKDAY(G584,1,S.DDL_DEQClosed))</f>
        <v>41964</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774</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41964</v>
      </c>
      <c r="I586" s="745"/>
      <c r="AF586" s="361">
        <f t="shared" si="100"/>
        <v>1</v>
      </c>
      <c r="AG586" s="59"/>
      <c r="AH586" s="60">
        <f>IF(AF586=0,,H584)</f>
        <v>41964</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760</v>
      </c>
      <c r="H589" s="256">
        <f>AH589</f>
        <v>41964</v>
      </c>
      <c r="I589" s="745"/>
      <c r="J589"/>
      <c r="K589"/>
      <c r="L589"/>
      <c r="M589"/>
      <c r="N589"/>
      <c r="O589"/>
      <c r="P589"/>
      <c r="Q589"/>
      <c r="R589"/>
      <c r="S589"/>
      <c r="T589"/>
      <c r="U589"/>
      <c r="X589"/>
      <c r="AB589"/>
      <c r="AC589"/>
      <c r="AF589" s="361">
        <f t="shared" si="100"/>
        <v>1</v>
      </c>
      <c r="AG589" s="59"/>
      <c r="AH589" s="60">
        <f>IF(AF540=0,,WORKDAY(S.Notice.Submit.ToADA,-1,S.DDL_DEQClosed))</f>
        <v>41964</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5" t="s">
        <v>634</v>
      </c>
      <c r="H591" s="1016"/>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Wendy,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c r="A593" s="145"/>
      <c r="B593" s="530" t="s">
        <v>775</v>
      </c>
      <c r="C593" s="541" t="s">
        <v>0</v>
      </c>
      <c r="D593" s="265"/>
      <c r="E593" s="890"/>
      <c r="F593" s="781"/>
      <c r="G593" s="956">
        <f>AG593</f>
        <v>41967</v>
      </c>
      <c r="H593" s="957">
        <f>AH593</f>
        <v>41974</v>
      </c>
      <c r="I593" s="745"/>
      <c r="J593"/>
      <c r="K593"/>
      <c r="L593"/>
      <c r="M593"/>
      <c r="N593"/>
      <c r="O593"/>
      <c r="P593"/>
      <c r="Q593"/>
      <c r="R593"/>
      <c r="S593"/>
      <c r="T593"/>
      <c r="U593"/>
      <c r="X593"/>
      <c r="AB593"/>
      <c r="AC593"/>
      <c r="AE593" s="780"/>
      <c r="AF593" s="361">
        <f t="shared" ref="AF593:AF602" si="102">IF(S.Notice.Involved="Y",1,0)</f>
        <v>1</v>
      </c>
      <c r="AG593" s="60">
        <f>S.Notice.Submit.ToADA</f>
        <v>41967</v>
      </c>
      <c r="AH593" s="60">
        <f>IF(AF593=0,,AH25)</f>
        <v>41974</v>
      </c>
      <c r="AI593" s="59"/>
      <c r="AJ593" s="59"/>
      <c r="AK593" s="44"/>
      <c r="AL593" s="76"/>
    </row>
    <row r="594" spans="1:39" s="23" customFormat="1" ht="14.1" customHeight="1" thickBot="1">
      <c r="A594" s="145"/>
      <c r="C594" s="545" t="s">
        <v>0</v>
      </c>
      <c r="D594" s="583"/>
      <c r="E594" s="40"/>
      <c r="F594" s="781"/>
      <c r="G594" s="1017" t="s">
        <v>635</v>
      </c>
      <c r="H594" s="1018"/>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41967</v>
      </c>
      <c r="H596" s="265">
        <f>AH596</f>
        <v>41978</v>
      </c>
      <c r="I596" s="745"/>
      <c r="J596"/>
      <c r="K596"/>
      <c r="L596"/>
      <c r="M596"/>
      <c r="N596"/>
      <c r="O596"/>
      <c r="P596"/>
      <c r="Q596"/>
      <c r="R596"/>
      <c r="S596"/>
      <c r="T596"/>
      <c r="U596"/>
      <c r="X596"/>
      <c r="AB596"/>
      <c r="AC596"/>
      <c r="AF596" s="361">
        <f t="shared" si="102"/>
        <v>1</v>
      </c>
      <c r="AG596" s="60">
        <f>IF(AF596=0,,S.Notice.PreviewBegin)</f>
        <v>41967</v>
      </c>
      <c r="AH596" s="60">
        <f>IF(AF596=0,,WORKDAY(AH593+6,-1,S.DDL_DEQClosed))</f>
        <v>41978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636</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41978</v>
      </c>
      <c r="I603" s="745"/>
      <c r="J603"/>
      <c r="K603"/>
      <c r="L603"/>
      <c r="M603"/>
      <c r="N603"/>
      <c r="O603"/>
      <c r="P603"/>
      <c r="Q603"/>
      <c r="R603"/>
      <c r="S603"/>
      <c r="T603"/>
      <c r="U603"/>
      <c r="X603"/>
      <c r="AB603"/>
      <c r="AC603"/>
      <c r="AF603" s="361">
        <f>IF(AND(C603="Y",S.Notice.Involved="Y"),1,0)</f>
        <v>0</v>
      </c>
      <c r="AG603" s="60">
        <f>IF(AF603=0,,AH593)</f>
        <v>0</v>
      </c>
      <c r="AH603" s="60">
        <f>H596</f>
        <v>41978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996" t="s">
        <v>0</v>
      </c>
      <c r="D605" s="996"/>
      <c r="E605" s="996"/>
      <c r="F605" s="996"/>
      <c r="G605" s="996"/>
      <c r="H605" s="811">
        <f t="shared" ref="H605" si="105">AH605</f>
        <v>41978</v>
      </c>
      <c r="I605" s="745"/>
      <c r="J605"/>
      <c r="K605"/>
      <c r="L605"/>
      <c r="M605"/>
      <c r="N605"/>
      <c r="O605"/>
      <c r="P605"/>
      <c r="Q605"/>
      <c r="R605"/>
      <c r="S605"/>
      <c r="T605"/>
      <c r="U605"/>
      <c r="X605"/>
      <c r="AB605"/>
      <c r="AC605"/>
      <c r="AF605" s="361">
        <f>IF(S.Notice.Involved="Y",1,0)</f>
        <v>1</v>
      </c>
      <c r="AG605" s="59"/>
      <c r="AH605" s="60">
        <f>WORKDAY(AH603+2,-1,S.DDL_DEQClosed)</f>
        <v>41978</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41981</v>
      </c>
      <c r="I606" s="745"/>
      <c r="J606"/>
      <c r="K606"/>
      <c r="L606"/>
      <c r="M606"/>
      <c r="N606"/>
      <c r="O606"/>
      <c r="P606"/>
      <c r="Q606"/>
      <c r="R606"/>
      <c r="S606"/>
      <c r="T606"/>
      <c r="U606"/>
      <c r="X606"/>
      <c r="AB606"/>
      <c r="AC606"/>
      <c r="AF606" s="361">
        <f t="shared" ref="AF606:AF622" si="107">IF(S.Notice.Involved="Y",1,0)</f>
        <v>1</v>
      </c>
      <c r="AG606" s="60">
        <f>WORKDAY(S.Notice.MgrNoticeApproval,1,S.DDL_DEQClosed)</f>
        <v>41981</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687</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691</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19"/>
      <c r="E609" s="1019"/>
      <c r="F609" s="1019"/>
      <c r="G609" s="1019"/>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994" t="s">
        <v>689</v>
      </c>
      <c r="D610" s="994"/>
      <c r="E610" s="994"/>
      <c r="F610" s="994"/>
      <c r="G610" s="995"/>
      <c r="H610" s="256">
        <f>AH610</f>
        <v>41984</v>
      </c>
      <c r="I610" s="745"/>
      <c r="AF610" s="361">
        <f t="shared" si="107"/>
        <v>1</v>
      </c>
      <c r="AG610" s="58"/>
      <c r="AH610" s="60">
        <f>WORKDAY(G606,3,S.DDL_DEQClosed)</f>
        <v>41984</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612</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690</v>
      </c>
      <c r="C615" s="545" t="s">
        <v>0</v>
      </c>
      <c r="D615" s="283"/>
      <c r="E615" s="750"/>
      <c r="H615" s="256">
        <f t="shared" ref="H615" si="109">AH615</f>
        <v>41984</v>
      </c>
      <c r="I615" s="745"/>
      <c r="AF615" s="361">
        <f>IF(S.SIP.Involved="Y",1,0)</f>
        <v>1</v>
      </c>
      <c r="AG615" s="48"/>
      <c r="AH615" s="60">
        <f>S.Notice.OK.ToPublish</f>
        <v>41984</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41981</v>
      </c>
      <c r="I616" s="745"/>
      <c r="AF616" s="361">
        <f t="shared" si="107"/>
        <v>1</v>
      </c>
      <c r="AG616" s="60">
        <f>WORKDAY(S.Notice.MgrNoticeApproval,1,S.DDL_DEQClosed)</f>
        <v>41981</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653</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654</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765</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658</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656</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657</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684</v>
      </c>
      <c r="C626" s="545" t="s">
        <v>0</v>
      </c>
      <c r="D626" s="1009" t="s">
        <v>652</v>
      </c>
      <c r="E626" s="1009"/>
      <c r="F626" s="1009"/>
      <c r="G626" s="1010"/>
      <c r="H626" s="973">
        <f>AH626</f>
        <v>41975</v>
      </c>
      <c r="I626" s="745"/>
      <c r="AF626" s="361">
        <f>IF(AND(S.Notice.AD.Involved="Y",S.Notice.Involved="Y"),1,0)</f>
        <v>1</v>
      </c>
      <c r="AG626" s="59"/>
      <c r="AH626" s="60">
        <f>IF(AF626=0,,S.Notice.AD.ToContractServices)</f>
        <v>41975</v>
      </c>
      <c r="AI626" s="59"/>
      <c r="AJ626" s="59"/>
      <c r="AK626" s="182" t="str">
        <f>"* modifies documents as needed"</f>
        <v>* modifies documents as needed</v>
      </c>
      <c r="AL626" s="76"/>
    </row>
    <row r="627" spans="1:39" s="23" customFormat="1" ht="14.1" customHeight="1" thickBot="1">
      <c r="A627" s="145"/>
      <c r="B627" s="289" t="s">
        <v>659</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661</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660</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688</v>
      </c>
      <c r="C630" s="545" t="s">
        <v>0</v>
      </c>
      <c r="D630" s="1008" t="s">
        <v>0</v>
      </c>
      <c r="E630" s="1009"/>
      <c r="F630" s="1009"/>
      <c r="G630" s="1010"/>
      <c r="H630" s="263">
        <f>AH630</f>
        <v>41989</v>
      </c>
      <c r="I630" s="745"/>
      <c r="AF630" s="361">
        <f t="shared" si="112"/>
        <v>1</v>
      </c>
      <c r="AG630" s="59"/>
      <c r="AH630" s="60">
        <f>IF(AF630=0,,S.Notice.OpenComment)</f>
        <v>41989</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665</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666</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662</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41982</v>
      </c>
      <c r="I637" s="745"/>
      <c r="J637"/>
      <c r="K637"/>
      <c r="L637"/>
      <c r="M637"/>
      <c r="N637"/>
      <c r="O637"/>
      <c r="P637"/>
      <c r="Q637"/>
      <c r="R637"/>
      <c r="S637"/>
      <c r="T637"/>
      <c r="U637"/>
      <c r="X637"/>
      <c r="AB637"/>
      <c r="AC637"/>
      <c r="AF637" s="361">
        <f t="shared" si="113"/>
        <v>1</v>
      </c>
      <c r="AG637" s="60">
        <f>H251</f>
        <v>41968</v>
      </c>
      <c r="AH637" s="60">
        <f>IF(AF637=0,,WORKDAY(S.Notice.OpenComment,-5,S.DDL_DEQClosed))</f>
        <v>41982</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667</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668</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41989</v>
      </c>
      <c r="I642" s="745"/>
      <c r="J642"/>
      <c r="K642"/>
      <c r="L642"/>
      <c r="M642"/>
      <c r="N642"/>
      <c r="O642"/>
      <c r="P642"/>
      <c r="Q642"/>
      <c r="R642"/>
      <c r="S642"/>
      <c r="T642"/>
      <c r="U642"/>
      <c r="X642"/>
      <c r="AB642"/>
      <c r="AC642"/>
      <c r="AF642" s="361">
        <f t="shared" si="113"/>
        <v>1</v>
      </c>
      <c r="AG642" s="60" t="s">
        <v>230</v>
      </c>
      <c r="AH642" s="60">
        <f>IF(AF642=0,,S.Notice.OpenComment)</f>
        <v>41989</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663</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41989</v>
      </c>
      <c r="H645" s="263">
        <f t="shared" ref="H645" si="115">AH645</f>
        <v>42024</v>
      </c>
      <c r="I645" s="745"/>
      <c r="J645"/>
      <c r="K645"/>
      <c r="L645"/>
      <c r="M645"/>
      <c r="N645"/>
      <c r="O645"/>
      <c r="P645"/>
      <c r="Q645"/>
      <c r="R645"/>
      <c r="S645"/>
      <c r="T645"/>
      <c r="U645"/>
      <c r="X645"/>
      <c r="AB645"/>
      <c r="AC645"/>
      <c r="AF645" s="361">
        <f t="shared" si="113"/>
        <v>1</v>
      </c>
      <c r="AG645" s="60">
        <f>IF(AF645=0,,S.Notice.OpenComment)</f>
        <v>41989</v>
      </c>
      <c r="AH645" s="60">
        <f>IF(AF645=0,,S.Notice.BANNER.End)</f>
        <v>42024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AG646</f>
        <v>41820</v>
      </c>
      <c r="H646" s="256">
        <f>AH646</f>
        <v>42024</v>
      </c>
      <c r="I646" s="745"/>
      <c r="J646"/>
      <c r="K646"/>
      <c r="L646"/>
      <c r="M646"/>
      <c r="N646"/>
      <c r="O646"/>
      <c r="P646"/>
      <c r="Q646"/>
      <c r="R646"/>
      <c r="S646"/>
      <c r="T646"/>
      <c r="U646"/>
      <c r="X646"/>
      <c r="AB646"/>
      <c r="AC646"/>
      <c r="AF646" s="361">
        <f t="shared" si="113"/>
        <v>1</v>
      </c>
      <c r="AG646" s="60">
        <f>IF(AF646=0,,S.Notice.BANNER.Begin)</f>
        <v>41820</v>
      </c>
      <c r="AH646" s="60">
        <f>IF(AF646=0,,S.Notice.BANNER.End)</f>
        <v>42024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664</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8" t="str">
        <f>AK29</f>
        <v>Public Comment and Testimony</v>
      </c>
      <c r="C649" s="998"/>
      <c r="D649" s="998"/>
      <c r="E649" s="998"/>
      <c r="F649" s="998"/>
      <c r="G649" s="998"/>
      <c r="H649" s="998"/>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AG651</f>
        <v>41820</v>
      </c>
      <c r="H651" s="201">
        <f>AH651</f>
        <v>42037</v>
      </c>
      <c r="I651" s="745"/>
      <c r="AF651" s="361" t="s">
        <v>59</v>
      </c>
      <c r="AG651" s="60">
        <f>IF(S.Notice.Involved="N",,S.Notice.BANNER.Begin)</f>
        <v>41820</v>
      </c>
      <c r="AH651" s="60">
        <f>IF(S.Notice.Involved="N",, S.EQC.PacketEndReview)</f>
        <v>42037</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41988</v>
      </c>
      <c r="H654" s="299">
        <f>AH654</f>
        <v>42019</v>
      </c>
      <c r="I654" s="745"/>
      <c r="AF654" s="361">
        <f>IF(AND(S.Notice.Involved="Y",S.Hearing.1stInvolve="Y"),1,0)</f>
        <v>1</v>
      </c>
      <c r="AG654" s="60">
        <f>IF(AF654=0,,S.Hearing.BANNER.Begin)</f>
        <v>41988</v>
      </c>
      <c r="AH654" s="60">
        <f>S.Hearing.1stDate</f>
        <v>42019</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41988</v>
      </c>
      <c r="H656" s="299">
        <f t="shared" ref="H656" si="117">AH656</f>
        <v>41988</v>
      </c>
      <c r="I656" s="745"/>
      <c r="J656"/>
      <c r="K656"/>
      <c r="L656"/>
      <c r="M656"/>
      <c r="N656"/>
      <c r="O656"/>
      <c r="P656"/>
      <c r="Q656"/>
      <c r="R656"/>
      <c r="S656"/>
      <c r="T656"/>
      <c r="U656"/>
      <c r="X656"/>
      <c r="AB656"/>
      <c r="AC656"/>
      <c r="AF656" s="361">
        <f>IF(AND(S.Notice.Involved="Y",S.Notice.AD.Involved="Y"),1,0)</f>
        <v>1</v>
      </c>
      <c r="AG656" s="60">
        <f t="shared" ref="AG656:AG661" si="118">IF(AF656=0,,S.Hearing.BANNER.Begin)</f>
        <v>41988</v>
      </c>
      <c r="AH656" s="60">
        <f>G656</f>
        <v>41988</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41988</v>
      </c>
      <c r="H662" s="299">
        <f t="shared" ref="H662" si="122">AH662</f>
        <v>41988</v>
      </c>
      <c r="I662" s="745"/>
      <c r="J662"/>
      <c r="K662"/>
      <c r="L662"/>
      <c r="M662"/>
      <c r="N662"/>
      <c r="O662"/>
      <c r="P662"/>
      <c r="Q662"/>
      <c r="R662"/>
      <c r="S662"/>
      <c r="T662"/>
      <c r="U662"/>
      <c r="X662"/>
      <c r="AB662"/>
      <c r="AC662"/>
      <c r="AF662" s="361">
        <f t="shared" si="119"/>
        <v>0</v>
      </c>
      <c r="AG662" s="60">
        <f>H656</f>
        <v>41988</v>
      </c>
      <c r="AH662" s="60">
        <f>AG662</f>
        <v>41988</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41988</v>
      </c>
      <c r="H663" s="299">
        <f t="shared" si="124"/>
        <v>41988</v>
      </c>
      <c r="I663" s="745"/>
      <c r="AF663" s="361">
        <f t="shared" si="119"/>
        <v>0</v>
      </c>
      <c r="AG663" s="60">
        <f>G656</f>
        <v>41988</v>
      </c>
      <c r="AH663" s="60">
        <f t="shared" ref="AH663:AH666" si="125">AG663</f>
        <v>41988</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711</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41988</v>
      </c>
      <c r="H668" s="299">
        <f>AH668</f>
        <v>42019</v>
      </c>
      <c r="I668" s="745"/>
      <c r="J668"/>
      <c r="K668"/>
      <c r="L668"/>
      <c r="M668"/>
      <c r="N668"/>
      <c r="O668"/>
      <c r="P668"/>
      <c r="Q668"/>
      <c r="R668"/>
      <c r="S668"/>
      <c r="T668"/>
      <c r="U668"/>
      <c r="X668"/>
      <c r="AB668"/>
      <c r="AC668"/>
      <c r="AF668" s="361">
        <f>IF(S.Notice.Involved="Y",1,0)</f>
        <v>1</v>
      </c>
      <c r="AG668" s="60">
        <f>IF(AF668=0,,S.Hearing.BANNER.Begin)</f>
        <v>41988</v>
      </c>
      <c r="AH668" s="60">
        <f>S.Hearing.1stDate</f>
        <v>42019</v>
      </c>
      <c r="AI668" s="59"/>
      <c r="AJ668" s="61"/>
      <c r="AK668" s="62"/>
      <c r="AL668" s="76"/>
    </row>
    <row r="669" spans="1:39" s="23" customFormat="1" ht="14.1" customHeight="1" outlineLevel="1" thickBot="1">
      <c r="A669" s="145"/>
      <c r="B669" s="425" t="s">
        <v>205</v>
      </c>
      <c r="C669" s="414" t="s">
        <v>49</v>
      </c>
      <c r="D669" s="283"/>
      <c r="E669" s="750"/>
      <c r="G669" s="299">
        <f t="shared" si="126"/>
        <v>41988</v>
      </c>
      <c r="H669" s="299">
        <f>AH669</f>
        <v>42019</v>
      </c>
      <c r="I669" s="745"/>
      <c r="J669"/>
      <c r="K669"/>
      <c r="L669"/>
      <c r="M669"/>
      <c r="N669"/>
      <c r="O669"/>
      <c r="P669"/>
      <c r="Q669"/>
      <c r="R669"/>
      <c r="S669"/>
      <c r="T669"/>
      <c r="U669"/>
      <c r="X669"/>
      <c r="AB669"/>
      <c r="AC669"/>
      <c r="AF669" s="361">
        <f>IF(S.Notice.Involved="Y",1,0)</f>
        <v>1</v>
      </c>
      <c r="AG669" s="60">
        <f>IF(AF669=0,,S.Hearing.BANNER.Begin)</f>
        <v>41988</v>
      </c>
      <c r="AH669" s="60">
        <f>S.Hearing.1stDate</f>
        <v>42019</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Grants Pass hearing</v>
      </c>
      <c r="C671" s="545" t="s">
        <v>0</v>
      </c>
      <c r="D671" s="705"/>
      <c r="E671" s="705"/>
      <c r="F671"/>
      <c r="G671"/>
      <c r="H671" s="309">
        <f>AH671</f>
        <v>42019</v>
      </c>
      <c r="I671" s="745"/>
      <c r="AF671" s="361">
        <f>IF(AND(S.Notice.Involved="Y",S.Hearing.1stInvolve="Y",S.Hearing.2ndInvolve),1,0)</f>
        <v>1</v>
      </c>
      <c r="AG671" s="59"/>
      <c r="AH671" s="60">
        <f>S.Hearing.1stDate</f>
        <v>42019</v>
      </c>
      <c r="AI671" s="59"/>
      <c r="AJ671" s="59"/>
      <c r="AK671" s="67" t="str">
        <f>"1. "&amp;S.Hearing.1stCity&amp;" hearing"</f>
        <v>1. Grants Pass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hearing</v>
      </c>
      <c r="C673" s="545" t="s">
        <v>0</v>
      </c>
      <c r="D673" s="705"/>
      <c r="E673" s="705"/>
      <c r="F673"/>
      <c r="G673"/>
      <c r="H673" s="309">
        <f t="shared" ref="H673:H685" si="128">AH673</f>
        <v>0</v>
      </c>
      <c r="I673" s="745"/>
      <c r="AF673" s="361">
        <f>IF(AND(S.Notice.Involved="Y",S.Hearing.1stInvolve="Y",S.Hearing.2ndInvolve="Y"),1,0)</f>
        <v>0</v>
      </c>
      <c r="AG673" s="59"/>
      <c r="AH673" s="60">
        <f>IF(S.Hearing.2ndInvolve="N",,S.Hearing.2ndDate)</f>
        <v>0</v>
      </c>
      <c r="AI673" s="59"/>
      <c r="AJ673" s="59"/>
      <c r="AK673" s="67" t="str">
        <f>"2. "&amp;S.Hearing.2ndCity&amp;" hearing"</f>
        <v>2.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12</v>
      </c>
      <c r="G687" s="299">
        <f t="shared" ref="G687" si="130">AG687</f>
        <v>42019</v>
      </c>
      <c r="H687" s="299">
        <f t="shared" ref="H687" si="131">AH687</f>
        <v>42037</v>
      </c>
      <c r="I687" s="745"/>
      <c r="J687"/>
      <c r="K687"/>
      <c r="L687"/>
      <c r="M687"/>
      <c r="N687"/>
      <c r="O687"/>
      <c r="P687"/>
      <c r="Q687"/>
      <c r="R687"/>
      <c r="S687"/>
      <c r="T687"/>
      <c r="U687"/>
      <c r="X687"/>
      <c r="AB687"/>
      <c r="AC687"/>
      <c r="AF687" s="361">
        <f>IF(S.Notice.Involved="Y",1,0)</f>
        <v>1</v>
      </c>
      <c r="AG687" s="60">
        <f>IF(AF687=0,,S.Notice.LastHearingDate)</f>
        <v>42019</v>
      </c>
      <c r="AH687" s="60">
        <f>S.Hearing.BANNER.End</f>
        <v>42037</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990" t="s">
        <v>712</v>
      </c>
      <c r="E691" s="990"/>
      <c r="F691" s="990"/>
      <c r="G691" s="991"/>
      <c r="H691" s="388">
        <f>AH691</f>
        <v>42024</v>
      </c>
      <c r="I691" s="745"/>
      <c r="AF691" s="361">
        <f>IF(S.Notice.Involved="Y",1,0)</f>
        <v>1</v>
      </c>
      <c r="AG691" s="59"/>
      <c r="AH691" s="60">
        <f>S.Notice.CloseComment</f>
        <v>42024</v>
      </c>
      <c r="AI691" s="59"/>
      <c r="AJ691" s="61"/>
      <c r="AK691" s="44"/>
      <c r="AL691" s="76"/>
      <c r="AM691"/>
    </row>
    <row r="692" spans="1:39" s="23" customFormat="1" ht="14.1" customHeight="1" outlineLevel="1">
      <c r="A692" s="145"/>
      <c r="B692" s="290" t="str">
        <f>AK692</f>
        <v>Brian:</v>
      </c>
      <c r="C692" s="258"/>
      <c r="D692" s="283"/>
      <c r="E692"/>
      <c r="F692" s="255">
        <f>NETWORKDAYS(G692,H692,S.DDL_DEQClosed)</f>
        <v>3</v>
      </c>
      <c r="G692" s="299">
        <f>AG692</f>
        <v>42019</v>
      </c>
      <c r="H692" s="299">
        <f>AH692</f>
        <v>42024</v>
      </c>
      <c r="I692" s="745"/>
      <c r="J692"/>
      <c r="K692"/>
      <c r="L692"/>
      <c r="M692"/>
      <c r="N692"/>
      <c r="O692"/>
      <c r="P692"/>
      <c r="Q692"/>
      <c r="R692"/>
      <c r="S692"/>
      <c r="T692"/>
      <c r="U692"/>
      <c r="X692"/>
      <c r="AB692"/>
      <c r="AC692"/>
      <c r="AF692" s="361">
        <f>IF(S.Notice.Involved="Y",1,0)</f>
        <v>1</v>
      </c>
      <c r="AG692" s="60">
        <f>IF(AF692=0,,S.Notice.LastHearingDate)</f>
        <v>42019</v>
      </c>
      <c r="AH692" s="60">
        <f>S.Notice.CloseComment</f>
        <v>42024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781</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42025</v>
      </c>
      <c r="I700" s="745"/>
      <c r="J700"/>
      <c r="K700"/>
      <c r="L700"/>
      <c r="M700"/>
      <c r="N700"/>
      <c r="O700"/>
      <c r="P700"/>
      <c r="Q700"/>
      <c r="R700"/>
      <c r="S700"/>
      <c r="T700"/>
      <c r="U700"/>
      <c r="X700"/>
      <c r="AB700"/>
      <c r="AC700"/>
      <c r="AF700" s="361">
        <f t="shared" ref="AF700:AF708" si="133">IF(S.Notice.Involved="Y",1,0)</f>
        <v>1</v>
      </c>
      <c r="AG700" s="58"/>
      <c r="AH700" s="60">
        <f>WORKDAY(H692,1,S.DDL_DEQClosed)</f>
        <v>42025</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42025</v>
      </c>
      <c r="H701" s="489">
        <f t="shared" ref="H701" si="135">AH701</f>
        <v>42025</v>
      </c>
      <c r="I701" s="745"/>
      <c r="J701"/>
      <c r="K701"/>
      <c r="L701"/>
      <c r="M701"/>
      <c r="N701"/>
      <c r="O701"/>
      <c r="P701"/>
      <c r="Q701"/>
      <c r="R701"/>
      <c r="S701"/>
      <c r="T701"/>
      <c r="U701"/>
      <c r="X701"/>
      <c r="AB701"/>
      <c r="AC701"/>
      <c r="AF701" s="361">
        <f t="shared" si="133"/>
        <v>1</v>
      </c>
      <c r="AG701" s="60">
        <f>IF(AF701=0,,H700)</f>
        <v>42025</v>
      </c>
      <c r="AH701" s="60">
        <f>G701</f>
        <v>42025</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42025</v>
      </c>
      <c r="I707" s="745"/>
      <c r="J707"/>
      <c r="K707"/>
      <c r="L707"/>
      <c r="M707"/>
      <c r="N707"/>
      <c r="O707"/>
      <c r="P707"/>
      <c r="Q707"/>
      <c r="R707"/>
      <c r="S707"/>
      <c r="T707"/>
      <c r="U707"/>
      <c r="X707"/>
      <c r="AB707"/>
      <c r="AC707"/>
      <c r="AF707" s="361">
        <f t="shared" si="133"/>
        <v>1</v>
      </c>
      <c r="AG707" s="58"/>
      <c r="AH707" s="60">
        <f>H701</f>
        <v>42025</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42025</v>
      </c>
      <c r="H708" s="299">
        <f t="shared" si="136"/>
        <v>42025</v>
      </c>
      <c r="I708" s="745"/>
      <c r="AF708" s="361">
        <f t="shared" si="133"/>
        <v>1</v>
      </c>
      <c r="AG708" s="60">
        <f>IF(AF708=0,,H707)</f>
        <v>42025</v>
      </c>
      <c r="AH708" s="60">
        <f t="shared" ref="AH708:AH711" si="138">G708</f>
        <v>42025</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42025</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42025</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41988</v>
      </c>
      <c r="H718" s="126">
        <f>AH718</f>
        <v>42037</v>
      </c>
      <c r="I718" s="745"/>
      <c r="AF718" s="361" t="s">
        <v>59</v>
      </c>
      <c r="AG718" s="60">
        <f>S.EQC.BANNER.Begin</f>
        <v>41988</v>
      </c>
      <c r="AH718" s="60">
        <f>S.EQC.BANNER.End</f>
        <v>42037</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41988</v>
      </c>
      <c r="H722" s="291">
        <f t="shared" ref="H722:H723" si="140">AH722</f>
        <v>42037</v>
      </c>
      <c r="I722" s="745"/>
      <c r="J722"/>
      <c r="K722"/>
      <c r="L722"/>
      <c r="M722"/>
      <c r="N722"/>
      <c r="O722"/>
      <c r="P722"/>
      <c r="Q722"/>
      <c r="R722"/>
      <c r="S722"/>
      <c r="T722"/>
      <c r="U722"/>
      <c r="X722"/>
      <c r="AB722"/>
      <c r="AC722"/>
      <c r="AF722" s="361">
        <f>IF(S.EQC.DirReport="Y",1,0)</f>
        <v>1</v>
      </c>
      <c r="AG722" s="60">
        <f>IF(AF722=0,,S.EQC.BANNER.Begin)</f>
        <v>41988</v>
      </c>
      <c r="AH722" s="60">
        <f>IF(AF722=0,,S.EQC.SubmitStaffRpt)</f>
        <v>42037</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41988</v>
      </c>
      <c r="H724" s="291">
        <f t="shared" ref="H724" si="142">AH724</f>
        <v>42037</v>
      </c>
      <c r="I724" s="745"/>
      <c r="J724"/>
      <c r="K724"/>
      <c r="L724"/>
      <c r="M724"/>
      <c r="N724"/>
      <c r="O724"/>
      <c r="P724"/>
      <c r="Q724"/>
      <c r="R724"/>
      <c r="S724"/>
      <c r="T724"/>
      <c r="U724"/>
      <c r="X724"/>
      <c r="AB724"/>
      <c r="AC724"/>
      <c r="AF724" s="361">
        <f>IF(OR(S.EQC.DirReport="Y",S.EQC.FacHearing="Y"),1,0)</f>
        <v>1</v>
      </c>
      <c r="AG724" s="60">
        <f>IF(AF724=0,,S.EQC.BANNER.Begin)</f>
        <v>41988</v>
      </c>
      <c r="AH724" s="60">
        <f>IF(AF724=0,,S.EQC.SubmitStaffRpt)</f>
        <v>42037</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41988</v>
      </c>
      <c r="H725" s="291">
        <f t="shared" si="143"/>
        <v>42037</v>
      </c>
      <c r="I725" s="745"/>
      <c r="AF725" s="361">
        <v>1</v>
      </c>
      <c r="AG725" s="60">
        <f>S.EQC.BANNER.Begin</f>
        <v>41988</v>
      </c>
      <c r="AH725" s="60">
        <f>S.EQC.SubmitStaffRpt</f>
        <v>42037</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41988</v>
      </c>
      <c r="H736" s="291">
        <f t="shared" ref="H736" si="146">AH736</f>
        <v>42037</v>
      </c>
      <c r="I736" s="745"/>
      <c r="J736"/>
      <c r="K736"/>
      <c r="L736"/>
      <c r="M736"/>
      <c r="N736"/>
      <c r="O736"/>
      <c r="P736"/>
      <c r="Q736"/>
      <c r="R736"/>
      <c r="S736"/>
      <c r="T736"/>
      <c r="U736"/>
      <c r="X736"/>
      <c r="AB736"/>
      <c r="AC736"/>
      <c r="AF736" s="361">
        <v>1</v>
      </c>
      <c r="AG736" s="60">
        <f>S.EQC.BANNER.Begin</f>
        <v>41988</v>
      </c>
      <c r="AH736" s="60">
        <f>S.EQC.SubmitStaffRpt</f>
        <v>42037</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714</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713</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715</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716</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730</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717</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718</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719</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41988</v>
      </c>
      <c r="H749" s="291">
        <f>AH749</f>
        <v>42037</v>
      </c>
      <c r="I749" s="745"/>
      <c r="J749"/>
      <c r="K749"/>
      <c r="L749"/>
      <c r="M749"/>
      <c r="N749"/>
      <c r="O749"/>
      <c r="P749"/>
      <c r="Q749"/>
      <c r="R749"/>
      <c r="S749"/>
      <c r="T749"/>
      <c r="U749"/>
      <c r="X749"/>
      <c r="AB749"/>
      <c r="AC749"/>
      <c r="AF749" s="361">
        <v>1</v>
      </c>
      <c r="AG749" s="60">
        <f>S.EQC.BANNER.Begin</f>
        <v>41988</v>
      </c>
      <c r="AH749" s="60">
        <f>S.EQC.SubmitStaffRpt</f>
        <v>42037</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92" t="s">
        <v>611</v>
      </c>
      <c r="H754" s="993"/>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720</v>
      </c>
      <c r="C755" s="268"/>
      <c r="D755" s="714"/>
      <c r="E755" s="886"/>
      <c r="G755" s="980">
        <f>AG755</f>
        <v>41943</v>
      </c>
      <c r="H755" s="981">
        <f>AH755</f>
        <v>41955</v>
      </c>
      <c r="I755" s="745"/>
      <c r="AF755" s="361">
        <v>1</v>
      </c>
      <c r="AG755" s="566">
        <f>S.Notice.Submit.ToRG</f>
        <v>41943</v>
      </c>
      <c r="AH755" s="566">
        <f>WORKDAY(G755,7,S.DDL_DEQClosed)</f>
        <v>41955</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669</v>
      </c>
      <c r="C757" s="545" t="s">
        <v>0</v>
      </c>
      <c r="D757" s="705"/>
      <c r="E757" s="705"/>
      <c r="I757" s="745"/>
      <c r="AF757" s="361">
        <v>1</v>
      </c>
      <c r="AG757" s="59"/>
      <c r="AH757" s="59"/>
      <c r="AI757" s="59"/>
      <c r="AJ757" s="59"/>
      <c r="AK757" s="44"/>
      <c r="AL757" s="76"/>
    </row>
    <row r="758" spans="1:39" s="23" customFormat="1" ht="14.1" hidden="1" customHeight="1" outlineLevel="1">
      <c r="A758" s="145"/>
      <c r="B758" s="320" t="s">
        <v>649</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41956</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41988</v>
      </c>
      <c r="H761" s="256">
        <f t="shared" ref="H761" si="150">AH761</f>
        <v>42037</v>
      </c>
      <c r="I761" s="930"/>
      <c r="AF761" s="361">
        <v>1</v>
      </c>
      <c r="AG761" s="775">
        <f>S.EQC.BANNER.Begin</f>
        <v>41988</v>
      </c>
      <c r="AH761" s="775">
        <f>S.EQC.SubmitStaffRpt</f>
        <v>42037</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41988</v>
      </c>
      <c r="H762" s="291">
        <f t="shared" ref="H762" si="152">AH762</f>
        <v>42037</v>
      </c>
      <c r="I762" s="745"/>
      <c r="J762"/>
      <c r="K762"/>
      <c r="L762"/>
      <c r="M762"/>
      <c r="N762"/>
      <c r="O762"/>
      <c r="P762"/>
      <c r="Q762"/>
      <c r="R762"/>
      <c r="S762"/>
      <c r="T762"/>
      <c r="U762"/>
      <c r="X762"/>
      <c r="AB762"/>
      <c r="AC762"/>
      <c r="AF762" s="361">
        <v>1</v>
      </c>
      <c r="AG762" s="60">
        <f>S.EQC.BANNER.Begin</f>
        <v>41988</v>
      </c>
      <c r="AH762" s="60">
        <f>S.EQC.SubmitStaffRpt</f>
        <v>42037</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41988</v>
      </c>
      <c r="H763" s="291">
        <f t="shared" ref="H763" si="154">AH763</f>
        <v>42037</v>
      </c>
      <c r="I763" s="745"/>
      <c r="J763"/>
      <c r="K763"/>
      <c r="L763"/>
      <c r="M763"/>
      <c r="N763"/>
      <c r="O763"/>
      <c r="P763"/>
      <c r="Q763"/>
      <c r="R763"/>
      <c r="S763"/>
      <c r="T763"/>
      <c r="U763"/>
      <c r="X763"/>
      <c r="AB763"/>
      <c r="AC763"/>
      <c r="AF763" s="361">
        <v>1</v>
      </c>
      <c r="AG763" s="60">
        <f>S.EQC.BANNER.Begin</f>
        <v>41988</v>
      </c>
      <c r="AH763" s="60">
        <f>S.EQC.SubmitStaffRpt</f>
        <v>42037</v>
      </c>
      <c r="AI763" s="59"/>
      <c r="AJ763" s="159"/>
      <c r="AK763" s="44"/>
      <c r="AL763" s="76"/>
    </row>
    <row r="764" spans="1:39" s="23" customFormat="1" ht="14.1" hidden="1" customHeight="1" outlineLevel="2">
      <c r="A764" s="145"/>
      <c r="B764" s="466" t="s">
        <v>241</v>
      </c>
      <c r="C764" s="545" t="s">
        <v>0</v>
      </c>
      <c r="D764" s="715"/>
      <c r="E764" s="715"/>
      <c r="F764"/>
      <c r="G764" s="291">
        <f t="shared" ref="G764" si="155">AG764</f>
        <v>41988</v>
      </c>
      <c r="H764" s="291">
        <f t="shared" ref="H764" si="156">AH764</f>
        <v>42037</v>
      </c>
      <c r="I764" s="745"/>
      <c r="J764"/>
      <c r="K764"/>
      <c r="L764"/>
      <c r="M764"/>
      <c r="N764"/>
      <c r="O764"/>
      <c r="P764"/>
      <c r="Q764"/>
      <c r="R764"/>
      <c r="S764"/>
      <c r="T764"/>
      <c r="U764"/>
      <c r="X764"/>
      <c r="AB764"/>
      <c r="AC764"/>
      <c r="AF764" s="361">
        <v>1</v>
      </c>
      <c r="AG764" s="60">
        <f>S.EQC.BANNER.Begin</f>
        <v>41988</v>
      </c>
      <c r="AH764" s="60">
        <f>S.EQC.SubmitStaffRpt</f>
        <v>42037</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41988</v>
      </c>
      <c r="H765" s="291">
        <f t="shared" ref="H765" si="158">AH765</f>
        <v>42037</v>
      </c>
      <c r="I765" s="745"/>
      <c r="J765"/>
      <c r="K765"/>
      <c r="L765"/>
      <c r="M765"/>
      <c r="N765"/>
      <c r="O765"/>
      <c r="P765"/>
      <c r="Q765"/>
      <c r="R765"/>
      <c r="S765"/>
      <c r="T765"/>
      <c r="U765"/>
      <c r="X765"/>
      <c r="AB765"/>
      <c r="AC765"/>
      <c r="AF765" s="361">
        <v>1</v>
      </c>
      <c r="AG765" s="60">
        <f>S.EQC.BANNER.Begin</f>
        <v>41988</v>
      </c>
      <c r="AH765" s="60">
        <f>S.EQC.SubmitStaffRpt</f>
        <v>42037</v>
      </c>
      <c r="AI765" s="59"/>
      <c r="AJ765" s="159"/>
      <c r="AK765" s="44"/>
      <c r="AL765" s="76"/>
    </row>
    <row r="766" spans="1:39" ht="14.1" hidden="1" customHeight="1" outlineLevel="3" thickBot="1">
      <c r="A766" s="145"/>
      <c r="B766" s="465" t="s">
        <v>243</v>
      </c>
      <c r="C766" s="481" t="s">
        <v>16</v>
      </c>
      <c r="D766" s="283"/>
      <c r="E766" s="283"/>
      <c r="F766"/>
      <c r="G766" s="291">
        <f t="shared" ref="G766:H779" si="159">AG766</f>
        <v>42037</v>
      </c>
      <c r="H766" s="291">
        <f t="shared" si="159"/>
        <v>42037</v>
      </c>
      <c r="I766" s="745"/>
      <c r="AF766" s="361">
        <f>IF(S.EQC.ApprovePacketLoop1="Y",1,0)</f>
        <v>1</v>
      </c>
      <c r="AG766" s="60">
        <f>IF(AF766=0,,H749)</f>
        <v>42037</v>
      </c>
      <c r="AH766" s="60">
        <f t="shared" ref="AH766:AH777" si="160">IF(AF766=0,,S.EQC.PacketBeginReview)</f>
        <v>42037</v>
      </c>
      <c r="AI766" s="59"/>
      <c r="AJ766" s="44"/>
      <c r="AK766" s="44"/>
      <c r="AL766" s="76"/>
      <c r="AM766"/>
    </row>
    <row r="767" spans="1:39" s="23" customFormat="1" ht="14.1" hidden="1" customHeight="1" outlineLevel="3">
      <c r="A767" s="145"/>
      <c r="B767" s="467" t="s">
        <v>242</v>
      </c>
      <c r="C767" s="545" t="s">
        <v>0</v>
      </c>
      <c r="D767" s="715"/>
      <c r="E767" s="715"/>
      <c r="F767"/>
      <c r="G767" s="291">
        <f t="shared" si="159"/>
        <v>42037</v>
      </c>
      <c r="H767" s="291">
        <f t="shared" si="159"/>
        <v>42037</v>
      </c>
      <c r="I767" s="745"/>
      <c r="J767"/>
      <c r="K767"/>
      <c r="L767"/>
      <c r="M767"/>
      <c r="N767"/>
      <c r="O767"/>
      <c r="P767"/>
      <c r="Q767"/>
      <c r="R767"/>
      <c r="S767"/>
      <c r="T767"/>
      <c r="U767"/>
      <c r="X767"/>
      <c r="AB767"/>
      <c r="AC767"/>
      <c r="AF767" s="361">
        <f>IF(S.EQC.ApprovePacketLoop1="Y",1,0)</f>
        <v>1</v>
      </c>
      <c r="AG767" s="60">
        <f>IF(AF767=0,,S.EQC.PacketBeginReview)</f>
        <v>42037</v>
      </c>
      <c r="AH767" s="60">
        <f t="shared" si="160"/>
        <v>42037</v>
      </c>
      <c r="AI767" s="59"/>
      <c r="AJ767" s="159"/>
      <c r="AK767" s="44"/>
      <c r="AL767" s="76"/>
    </row>
    <row r="768" spans="1:39" s="23" customFormat="1" ht="14.1" hidden="1" customHeight="1" outlineLevel="3">
      <c r="A768" s="145"/>
      <c r="B768" s="467" t="s">
        <v>242</v>
      </c>
      <c r="C768" s="545" t="s">
        <v>0</v>
      </c>
      <c r="D768" s="715"/>
      <c r="E768" s="715"/>
      <c r="F768"/>
      <c r="G768" s="291">
        <f t="shared" ref="G768" si="161">AG768</f>
        <v>42037</v>
      </c>
      <c r="H768" s="291">
        <f t="shared" ref="H768" si="162">AH768</f>
        <v>42037</v>
      </c>
      <c r="I768" s="745"/>
      <c r="J768"/>
      <c r="K768"/>
      <c r="L768"/>
      <c r="M768"/>
      <c r="N768"/>
      <c r="O768"/>
      <c r="P768"/>
      <c r="Q768"/>
      <c r="R768"/>
      <c r="S768"/>
      <c r="T768"/>
      <c r="U768"/>
      <c r="X768"/>
      <c r="AB768"/>
      <c r="AC768"/>
      <c r="AF768" s="361">
        <f>IF(S.EQC.ApprovePacketLoop1="Y",1,0)</f>
        <v>1</v>
      </c>
      <c r="AG768" s="60">
        <f>IF(AF768=0,,S.EQC.PacketBeginReview)</f>
        <v>42037</v>
      </c>
      <c r="AH768" s="60">
        <f t="shared" si="160"/>
        <v>42037</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42037</v>
      </c>
      <c r="H769" s="291">
        <f t="shared" ref="H769" si="164">AH769</f>
        <v>42037</v>
      </c>
      <c r="I769" s="745"/>
      <c r="J769"/>
      <c r="K769"/>
      <c r="L769"/>
      <c r="M769"/>
      <c r="N769"/>
      <c r="O769"/>
      <c r="P769"/>
      <c r="Q769"/>
      <c r="R769"/>
      <c r="S769"/>
      <c r="T769"/>
      <c r="U769"/>
      <c r="X769"/>
      <c r="AB769"/>
      <c r="AC769"/>
      <c r="AF769" s="361">
        <f>IF(S.EQC.ApprovePacketLoop1="Y",1,0)</f>
        <v>1</v>
      </c>
      <c r="AG769" s="60">
        <f>IF(AF769=0,,S.EQC.PacketBeginReview)</f>
        <v>42037</v>
      </c>
      <c r="AH769" s="60">
        <f t="shared" si="160"/>
        <v>42037</v>
      </c>
      <c r="AI769" s="59"/>
      <c r="AJ769" s="159"/>
      <c r="AK769" s="44"/>
      <c r="AL769" s="76"/>
    </row>
    <row r="770" spans="1:39" ht="14.1" hidden="1" customHeight="1" outlineLevel="3" thickBot="1">
      <c r="A770" s="145"/>
      <c r="B770" s="468" t="s">
        <v>244</v>
      </c>
      <c r="C770" s="481" t="s">
        <v>16</v>
      </c>
      <c r="D770" s="283"/>
      <c r="E770" s="283"/>
      <c r="F770"/>
      <c r="G770" s="291">
        <f t="shared" si="159"/>
        <v>42037</v>
      </c>
      <c r="H770" s="291">
        <f t="shared" si="159"/>
        <v>42037</v>
      </c>
      <c r="I770" s="745"/>
      <c r="AF770" s="361">
        <f>IF(S.EQC.ApprovePacketLoop2="Y",1,0)</f>
        <v>1</v>
      </c>
      <c r="AG770" s="60">
        <f>IF(AF770=0,,H766)</f>
        <v>42037</v>
      </c>
      <c r="AH770" s="60">
        <f t="shared" si="160"/>
        <v>42037</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42037</v>
      </c>
      <c r="H771" s="291">
        <f t="shared" ref="H771:H773" si="166">AH771</f>
        <v>42037</v>
      </c>
      <c r="I771" s="745"/>
      <c r="J771"/>
      <c r="K771"/>
      <c r="L771"/>
      <c r="M771"/>
      <c r="N771"/>
      <c r="O771"/>
      <c r="P771"/>
      <c r="Q771"/>
      <c r="R771"/>
      <c r="S771"/>
      <c r="T771"/>
      <c r="U771"/>
      <c r="X771"/>
      <c r="AB771"/>
      <c r="AC771"/>
      <c r="AF771" s="361">
        <f>IF(S.EQC.ApprovePacketLoop2="Y",1,0)</f>
        <v>1</v>
      </c>
      <c r="AG771" s="60">
        <f>IF(AF771=0,,G770)</f>
        <v>42037</v>
      </c>
      <c r="AH771" s="60">
        <f t="shared" si="160"/>
        <v>42037</v>
      </c>
      <c r="AI771" s="59"/>
      <c r="AJ771" s="159"/>
      <c r="AK771" s="44"/>
      <c r="AL771" s="76"/>
    </row>
    <row r="772" spans="1:39" s="23" customFormat="1" ht="14.1" hidden="1" customHeight="1" outlineLevel="3">
      <c r="A772" s="145"/>
      <c r="B772" s="469" t="s">
        <v>242</v>
      </c>
      <c r="C772" s="545" t="s">
        <v>0</v>
      </c>
      <c r="D772" s="715"/>
      <c r="E772" s="715"/>
      <c r="F772"/>
      <c r="G772" s="291">
        <f t="shared" si="165"/>
        <v>42037</v>
      </c>
      <c r="H772" s="291">
        <f t="shared" si="166"/>
        <v>42037</v>
      </c>
      <c r="I772" s="745"/>
      <c r="J772"/>
      <c r="K772"/>
      <c r="L772"/>
      <c r="M772"/>
      <c r="N772"/>
      <c r="O772"/>
      <c r="P772"/>
      <c r="Q772"/>
      <c r="R772"/>
      <c r="S772"/>
      <c r="T772"/>
      <c r="U772"/>
      <c r="X772"/>
      <c r="AB772"/>
      <c r="AC772"/>
      <c r="AF772" s="361">
        <f>IF(S.EQC.ApprovePacketLoop2="Y",1,0)</f>
        <v>1</v>
      </c>
      <c r="AG772" s="60">
        <f>IF(AF772=0,,G770)</f>
        <v>42037</v>
      </c>
      <c r="AH772" s="60">
        <f t="shared" si="160"/>
        <v>42037</v>
      </c>
      <c r="AI772" s="59"/>
      <c r="AJ772" s="159"/>
      <c r="AK772" s="44"/>
      <c r="AL772" s="76"/>
    </row>
    <row r="773" spans="1:39" s="23" customFormat="1" ht="14.1" hidden="1" customHeight="1" outlineLevel="3" thickBot="1">
      <c r="A773" s="145"/>
      <c r="B773" s="469" t="s">
        <v>242</v>
      </c>
      <c r="C773" s="545" t="s">
        <v>0</v>
      </c>
      <c r="D773" s="715"/>
      <c r="E773" s="715"/>
      <c r="F773"/>
      <c r="G773" s="291">
        <f t="shared" si="165"/>
        <v>42037</v>
      </c>
      <c r="H773" s="291">
        <f t="shared" si="166"/>
        <v>42037</v>
      </c>
      <c r="I773" s="745"/>
      <c r="J773"/>
      <c r="K773"/>
      <c r="L773"/>
      <c r="M773"/>
      <c r="N773"/>
      <c r="O773"/>
      <c r="P773"/>
      <c r="Q773"/>
      <c r="R773"/>
      <c r="S773"/>
      <c r="T773"/>
      <c r="U773"/>
      <c r="X773"/>
      <c r="AB773"/>
      <c r="AC773"/>
      <c r="AF773" s="361">
        <f>IF(S.EQC.ApprovePacketLoop2="Y",1,0)</f>
        <v>1</v>
      </c>
      <c r="AG773" s="60">
        <f>IF(AF773=0,,G770)</f>
        <v>42037</v>
      </c>
      <c r="AH773" s="60">
        <f t="shared" si="160"/>
        <v>42037</v>
      </c>
      <c r="AI773" s="59"/>
      <c r="AJ773" s="159"/>
      <c r="AK773" s="44"/>
      <c r="AL773" s="76"/>
    </row>
    <row r="774" spans="1:39" ht="14.1" hidden="1" customHeight="1" outlineLevel="3" thickBot="1">
      <c r="A774" s="145"/>
      <c r="B774" s="470" t="s">
        <v>245</v>
      </c>
      <c r="C774" s="481" t="s">
        <v>16</v>
      </c>
      <c r="D774" s="283"/>
      <c r="E774" s="283"/>
      <c r="F774"/>
      <c r="G774" s="291">
        <f t="shared" si="159"/>
        <v>42037</v>
      </c>
      <c r="H774" s="291">
        <f t="shared" si="159"/>
        <v>42037</v>
      </c>
      <c r="I774" s="745"/>
      <c r="AF774" s="361">
        <f>IF(S.EQC.ApprovePacketLoop3="Y",1,0)</f>
        <v>1</v>
      </c>
      <c r="AG774" s="60">
        <f>IF(AF774=0,,H770)</f>
        <v>42037</v>
      </c>
      <c r="AH774" s="60">
        <f t="shared" si="160"/>
        <v>42037</v>
      </c>
      <c r="AI774" s="59"/>
      <c r="AJ774" s="44"/>
      <c r="AK774" s="44"/>
      <c r="AL774" s="76"/>
      <c r="AM774"/>
    </row>
    <row r="775" spans="1:39" s="23" customFormat="1" ht="14.1" hidden="1" customHeight="1" outlineLevel="3">
      <c r="A775" s="145"/>
      <c r="B775" s="471" t="s">
        <v>242</v>
      </c>
      <c r="C775" s="545" t="s">
        <v>0</v>
      </c>
      <c r="D775" s="715"/>
      <c r="E775" s="715"/>
      <c r="F775"/>
      <c r="G775" s="291">
        <f t="shared" si="159"/>
        <v>42037</v>
      </c>
      <c r="H775" s="291">
        <f t="shared" si="159"/>
        <v>42037</v>
      </c>
      <c r="I775" s="745"/>
      <c r="J775"/>
      <c r="K775"/>
      <c r="L775"/>
      <c r="M775"/>
      <c r="N775"/>
      <c r="O775"/>
      <c r="P775"/>
      <c r="Q775"/>
      <c r="R775"/>
      <c r="S775"/>
      <c r="T775"/>
      <c r="U775"/>
      <c r="X775"/>
      <c r="AB775"/>
      <c r="AC775"/>
      <c r="AF775" s="361">
        <f>IF(S.EQC.ApprovePacketLoop3="Y",1,0)</f>
        <v>1</v>
      </c>
      <c r="AG775" s="60">
        <f>IF(AF775=0,,G774)</f>
        <v>42037</v>
      </c>
      <c r="AH775" s="60">
        <f t="shared" si="160"/>
        <v>42037</v>
      </c>
      <c r="AI775" s="59"/>
      <c r="AJ775" s="159"/>
      <c r="AK775" s="44"/>
      <c r="AL775" s="76"/>
    </row>
    <row r="776" spans="1:39" s="23" customFormat="1" ht="14.1" hidden="1" customHeight="1" outlineLevel="3">
      <c r="A776" s="145"/>
      <c r="B776" s="471" t="s">
        <v>242</v>
      </c>
      <c r="C776" s="545" t="s">
        <v>0</v>
      </c>
      <c r="D776" s="715"/>
      <c r="E776" s="715"/>
      <c r="F776"/>
      <c r="G776" s="291">
        <f t="shared" si="159"/>
        <v>42037</v>
      </c>
      <c r="H776" s="291">
        <f t="shared" si="159"/>
        <v>42037</v>
      </c>
      <c r="I776" s="745"/>
      <c r="J776"/>
      <c r="K776"/>
      <c r="L776"/>
      <c r="M776"/>
      <c r="N776"/>
      <c r="O776"/>
      <c r="P776"/>
      <c r="Q776"/>
      <c r="R776"/>
      <c r="S776"/>
      <c r="T776"/>
      <c r="U776"/>
      <c r="X776"/>
      <c r="AB776"/>
      <c r="AC776"/>
      <c r="AF776" s="361">
        <f>IF(S.EQC.ApprovePacketLoop3="Y",1,0)</f>
        <v>1</v>
      </c>
      <c r="AG776" s="60">
        <f>IF(AF776=0,,G774)</f>
        <v>42037</v>
      </c>
      <c r="AH776" s="60">
        <f t="shared" si="160"/>
        <v>42037</v>
      </c>
      <c r="AI776" s="59"/>
      <c r="AJ776" s="159"/>
      <c r="AK776" s="44"/>
      <c r="AL776" s="76"/>
    </row>
    <row r="777" spans="1:39" s="23" customFormat="1" ht="14.1" hidden="1" customHeight="1" outlineLevel="3">
      <c r="A777" s="145"/>
      <c r="B777" s="471" t="s">
        <v>242</v>
      </c>
      <c r="C777" s="545" t="s">
        <v>0</v>
      </c>
      <c r="D777" s="715"/>
      <c r="E777" s="715"/>
      <c r="F777"/>
      <c r="G777" s="291">
        <f t="shared" si="159"/>
        <v>42037</v>
      </c>
      <c r="H777" s="291">
        <f t="shared" si="159"/>
        <v>42037</v>
      </c>
      <c r="I777" s="745"/>
      <c r="J777"/>
      <c r="K777"/>
      <c r="L777"/>
      <c r="M777"/>
      <c r="N777"/>
      <c r="O777"/>
      <c r="P777"/>
      <c r="Q777"/>
      <c r="R777"/>
      <c r="S777"/>
      <c r="T777"/>
      <c r="U777"/>
      <c r="X777"/>
      <c r="AB777"/>
      <c r="AC777"/>
      <c r="AF777" s="361">
        <f>IF(S.EQC.ApprovePacketLoop3="Y",1,0)</f>
        <v>1</v>
      </c>
      <c r="AG777" s="60">
        <f>IF(AF777=0,,G774)</f>
        <v>42037</v>
      </c>
      <c r="AH777" s="60">
        <f t="shared" si="160"/>
        <v>42037</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721</v>
      </c>
      <c r="C780" s="989" t="s">
        <v>349</v>
      </c>
      <c r="D780" s="989"/>
      <c r="E780" s="989"/>
      <c r="F780" s="989"/>
      <c r="G780" s="989"/>
      <c r="H780" s="989"/>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721</v>
      </c>
      <c r="C781" s="989" t="s">
        <v>296</v>
      </c>
      <c r="D781" s="989"/>
      <c r="E781" s="989"/>
      <c r="F781" s="989"/>
      <c r="G781" s="989"/>
      <c r="H781" s="989"/>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721</v>
      </c>
      <c r="C782" s="989" t="s">
        <v>297</v>
      </c>
      <c r="D782" s="989"/>
      <c r="E782" s="989"/>
      <c r="F782" s="989"/>
      <c r="G782" s="989"/>
      <c r="H782" s="989"/>
      <c r="I782" s="989"/>
      <c r="J782" s="989"/>
      <c r="K782" s="989"/>
      <c r="L782" s="989"/>
      <c r="M782" s="989"/>
      <c r="N782" s="989"/>
      <c r="O782" s="989"/>
      <c r="P782" s="989"/>
      <c r="Q782" s="989"/>
      <c r="R782" s="989"/>
      <c r="S782" s="989"/>
      <c r="T782" s="989"/>
      <c r="U782" s="989"/>
      <c r="V782" s="989"/>
      <c r="W782" s="989"/>
      <c r="X782" s="989"/>
      <c r="Y782" s="989"/>
      <c r="Z782" s="989"/>
      <c r="AA782" s="989"/>
      <c r="AB782" s="989"/>
      <c r="AC782" s="989"/>
      <c r="AD782" s="989"/>
      <c r="AF782" s="361">
        <f t="shared" si="167"/>
        <v>0</v>
      </c>
      <c r="AG782" s="80"/>
      <c r="AH782" s="80"/>
      <c r="AI782" s="59"/>
      <c r="AJ782" s="44"/>
      <c r="AK782" s="44"/>
      <c r="AL782" s="76"/>
    </row>
    <row r="783" spans="1:39" s="23" customFormat="1" ht="14.1" hidden="1" customHeight="1" outlineLevel="2">
      <c r="A783" s="145"/>
      <c r="B783" s="896" t="s">
        <v>721</v>
      </c>
      <c r="C783" s="989" t="s">
        <v>298</v>
      </c>
      <c r="D783" s="989"/>
      <c r="E783" s="989"/>
      <c r="F783" s="989"/>
      <c r="G783" s="989"/>
      <c r="H783" s="989"/>
      <c r="I783" s="989"/>
      <c r="J783" s="989"/>
      <c r="K783" s="989"/>
      <c r="L783" s="989"/>
      <c r="M783" s="989"/>
      <c r="N783" s="989"/>
      <c r="O783" s="989"/>
      <c r="P783" s="989"/>
      <c r="Q783" s="989"/>
      <c r="R783" s="989"/>
      <c r="S783" s="989"/>
      <c r="T783" s="989"/>
      <c r="U783" s="989"/>
      <c r="V783" s="989"/>
      <c r="W783" s="989"/>
      <c r="X783" s="989"/>
      <c r="Y783" s="989"/>
      <c r="Z783" s="989"/>
      <c r="AA783" s="989"/>
      <c r="AB783" s="989"/>
      <c r="AC783" s="989"/>
      <c r="AD783" s="989"/>
      <c r="AF783" s="361">
        <f t="shared" si="167"/>
        <v>0</v>
      </c>
      <c r="AG783" s="80"/>
      <c r="AH783" s="80"/>
      <c r="AI783" s="59"/>
      <c r="AJ783" s="44"/>
      <c r="AK783" s="44"/>
      <c r="AL783" s="76"/>
    </row>
    <row r="784" spans="1:39" s="23" customFormat="1" ht="14.1" hidden="1" customHeight="1" outlineLevel="2">
      <c r="A784" s="145"/>
      <c r="B784" s="896" t="s">
        <v>721</v>
      </c>
      <c r="C784" s="989" t="s">
        <v>299</v>
      </c>
      <c r="D784" s="989"/>
      <c r="E784" s="989"/>
      <c r="F784" s="989"/>
      <c r="G784" s="989"/>
      <c r="H784" s="989"/>
      <c r="I784" s="989"/>
      <c r="J784" s="989"/>
      <c r="K784" s="989"/>
      <c r="L784" s="989"/>
      <c r="M784" s="989"/>
      <c r="N784" s="989"/>
      <c r="O784" s="989"/>
      <c r="P784" s="989"/>
      <c r="Q784" s="989"/>
      <c r="R784" s="989"/>
      <c r="S784" s="989"/>
      <c r="T784" s="989"/>
      <c r="U784" s="989"/>
      <c r="V784" s="989"/>
      <c r="W784" s="989"/>
      <c r="X784" s="989"/>
      <c r="Y784" s="989"/>
      <c r="Z784" s="989"/>
      <c r="AA784" s="989"/>
      <c r="AB784" s="989"/>
      <c r="AC784" s="989"/>
      <c r="AD784" s="989"/>
      <c r="AF784" s="361">
        <f t="shared" si="167"/>
        <v>0</v>
      </c>
      <c r="AG784" s="80"/>
      <c r="AH784" s="80"/>
      <c r="AI784" s="59"/>
      <c r="AJ784" s="44"/>
      <c r="AK784" s="44"/>
      <c r="AL784" s="76"/>
    </row>
    <row r="785" spans="1:39" ht="14.1" hidden="1" customHeight="1" outlineLevel="2">
      <c r="A785" s="145"/>
      <c r="B785" s="203" t="s">
        <v>722</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41988</v>
      </c>
      <c r="H786" s="291">
        <f t="shared" ref="H786:H787" si="169">AH786</f>
        <v>42037</v>
      </c>
      <c r="I786" s="745"/>
      <c r="J786"/>
      <c r="K786"/>
      <c r="L786"/>
      <c r="M786"/>
      <c r="N786"/>
      <c r="O786"/>
      <c r="P786"/>
      <c r="Q786"/>
      <c r="R786"/>
      <c r="S786"/>
      <c r="T786"/>
      <c r="U786"/>
      <c r="X786"/>
      <c r="AB786"/>
      <c r="AC786"/>
      <c r="AF786" s="361">
        <v>1</v>
      </c>
      <c r="AG786" s="60">
        <f>S.EQC.BANNER.Begin</f>
        <v>41988</v>
      </c>
      <c r="AH786" s="60">
        <f>S.EQC.SubmitStaffRpt</f>
        <v>42037</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41988</v>
      </c>
      <c r="H787" s="291">
        <f t="shared" si="169"/>
        <v>42037</v>
      </c>
      <c r="I787" s="745"/>
      <c r="J787"/>
      <c r="K787"/>
      <c r="L787"/>
      <c r="M787"/>
      <c r="N787"/>
      <c r="O787"/>
      <c r="P787"/>
      <c r="Q787"/>
      <c r="R787"/>
      <c r="S787"/>
      <c r="T787"/>
      <c r="U787"/>
      <c r="X787"/>
      <c r="AB787"/>
      <c r="AC787"/>
      <c r="AF787" s="361">
        <v>1</v>
      </c>
      <c r="AG787" s="60">
        <f>S.EQC.BANNER.Begin</f>
        <v>41988</v>
      </c>
      <c r="AH787" s="60">
        <f>S.EQC.SubmitStaffRpt</f>
        <v>42037</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723</v>
      </c>
      <c r="C788" s="321"/>
      <c r="D788" s="308"/>
      <c r="E788" s="308"/>
      <c r="F788"/>
      <c r="G788" s="437">
        <f t="shared" ref="G788" si="170">AG788</f>
        <v>41988</v>
      </c>
      <c r="H788" s="437">
        <f t="shared" ref="H788" si="171">AH788</f>
        <v>42077</v>
      </c>
      <c r="I788" s="745"/>
      <c r="J788"/>
      <c r="K788"/>
      <c r="L788"/>
      <c r="M788"/>
      <c r="N788"/>
      <c r="O788"/>
      <c r="P788"/>
      <c r="Q788"/>
      <c r="R788"/>
      <c r="S788"/>
      <c r="T788"/>
      <c r="U788"/>
      <c r="X788"/>
      <c r="AB788"/>
      <c r="AC788"/>
      <c r="AF788" s="361">
        <v>1</v>
      </c>
      <c r="AG788" s="60">
        <f>S.EQC.BANNER.Begin</f>
        <v>41988</v>
      </c>
      <c r="AH788" s="60">
        <f>S.EQC.Meeting-1</f>
        <v>42077</v>
      </c>
      <c r="AI788" s="59"/>
      <c r="AJ788" s="59"/>
      <c r="AK788" s="74"/>
      <c r="AL788" s="76"/>
    </row>
    <row r="789" spans="1:39" s="23" customFormat="1" ht="14.1" hidden="1" customHeight="1" outlineLevel="2">
      <c r="A789" s="145"/>
      <c r="B789" s="474" t="s">
        <v>724</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42037</v>
      </c>
      <c r="H794" s="437">
        <f t="shared" si="172"/>
        <v>42077</v>
      </c>
      <c r="I794" s="745"/>
      <c r="AF794" s="361">
        <v>1</v>
      </c>
      <c r="AG794" s="60">
        <f>H787</f>
        <v>42037</v>
      </c>
      <c r="AH794" s="60">
        <f>S.EQC.Meeting-1</f>
        <v>42077</v>
      </c>
      <c r="AI794" s="59"/>
      <c r="AJ794" s="44"/>
      <c r="AK794" s="44"/>
      <c r="AL794" s="76"/>
      <c r="AM794"/>
    </row>
    <row r="795" spans="1:39" ht="14.1" hidden="1" customHeight="1" outlineLevel="2">
      <c r="A795" s="145"/>
      <c r="B795" s="203" t="s">
        <v>239</v>
      </c>
      <c r="C795" s="282" t="s">
        <v>0</v>
      </c>
      <c r="D795" s="308"/>
      <c r="E795" s="308"/>
      <c r="F795"/>
      <c r="G795" s="437">
        <f t="shared" ref="G795:G796" si="173">AG795</f>
        <v>42077</v>
      </c>
      <c r="H795" s="437">
        <f t="shared" ref="H795:H796" si="174">AH795</f>
        <v>42077</v>
      </c>
      <c r="I795" s="745"/>
      <c r="AF795" s="361">
        <v>1</v>
      </c>
      <c r="AG795" s="60">
        <f>H788</f>
        <v>42077</v>
      </c>
      <c r="AH795" s="60">
        <f>S.EQC.Meeting-1</f>
        <v>42077</v>
      </c>
      <c r="AI795" s="59"/>
      <c r="AJ795" s="44"/>
      <c r="AK795" s="44" t="s">
        <v>0</v>
      </c>
      <c r="AL795" s="76"/>
      <c r="AM795"/>
    </row>
    <row r="796" spans="1:39" ht="14.1" hidden="1" customHeight="1" outlineLevel="2">
      <c r="A796" s="145"/>
      <c r="B796" s="456" t="s">
        <v>238</v>
      </c>
      <c r="C796" s="268" t="s">
        <v>0</v>
      </c>
      <c r="D796" s="308"/>
      <c r="E796" s="308"/>
      <c r="F796"/>
      <c r="G796" s="437">
        <f t="shared" si="173"/>
        <v>42077</v>
      </c>
      <c r="H796" s="437">
        <f t="shared" si="174"/>
        <v>42077</v>
      </c>
      <c r="I796" s="745"/>
      <c r="AF796" s="361">
        <v>1</v>
      </c>
      <c r="AG796" s="60">
        <f>G795</f>
        <v>42077</v>
      </c>
      <c r="AH796" s="60">
        <f>S.EQC.Meeting-1</f>
        <v>42077</v>
      </c>
      <c r="AI796" s="59"/>
      <c r="AJ796" s="43"/>
      <c r="AK796" s="43"/>
      <c r="AL796" s="76"/>
      <c r="AM796"/>
    </row>
    <row r="797" spans="1:39" ht="14.1" hidden="1" customHeight="1" outlineLevel="2">
      <c r="A797" s="145"/>
      <c r="B797" s="305" t="s">
        <v>194</v>
      </c>
      <c r="C797" s="324"/>
      <c r="D797" s="305"/>
      <c r="E797" s="305"/>
      <c r="F797"/>
      <c r="G797" s="438">
        <f>AG797</f>
        <v>0</v>
      </c>
      <c r="H797" s="439">
        <f>AH797</f>
        <v>42078</v>
      </c>
      <c r="I797" s="745"/>
      <c r="AF797" s="361">
        <v>1</v>
      </c>
      <c r="AG797" s="59"/>
      <c r="AH797" s="60">
        <f>S.EQC.Meeting</f>
        <v>42078</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42078</v>
      </c>
      <c r="H798" s="525">
        <f>AH798</f>
        <v>42078</v>
      </c>
      <c r="I798" s="745"/>
      <c r="J798"/>
      <c r="K798"/>
      <c r="L798"/>
      <c r="M798"/>
      <c r="N798"/>
      <c r="O798"/>
      <c r="P798"/>
      <c r="Q798"/>
      <c r="R798"/>
      <c r="S798"/>
      <c r="T798"/>
      <c r="U798"/>
      <c r="X798"/>
      <c r="AB798"/>
      <c r="AC798"/>
      <c r="AF798" s="361">
        <v>1</v>
      </c>
      <c r="AG798" s="60">
        <f>S.EQC.Meeting</f>
        <v>42078</v>
      </c>
      <c r="AH798" s="60">
        <f>G798</f>
        <v>42078</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7" t="s">
        <v>200</v>
      </c>
      <c r="C801" s="997"/>
      <c r="D801" s="997"/>
      <c r="E801" s="997"/>
      <c r="F801" s="997"/>
      <c r="G801" s="997"/>
      <c r="H801" s="997"/>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42078</v>
      </c>
      <c r="H803" s="201">
        <f>AH803</f>
        <v>42170</v>
      </c>
      <c r="I803" s="745"/>
      <c r="AF803" s="361" t="s">
        <v>59</v>
      </c>
      <c r="AG803" s="60">
        <f>S.PostEQC.BANNER.Begin</f>
        <v>42078</v>
      </c>
      <c r="AH803" s="60">
        <f>S.PostEQC.BANNER.End</f>
        <v>42170</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42078</v>
      </c>
      <c r="I808" s="745"/>
      <c r="AF808" s="361">
        <v>1</v>
      </c>
      <c r="AG808" s="80"/>
      <c r="AH808" s="60">
        <f t="shared" ref="AH808" si="176">S.PostEQC.BANNER.Begin</f>
        <v>42078</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42078</v>
      </c>
      <c r="I815" s="745"/>
      <c r="AF815" s="361">
        <f>IF(S.PostEQC.NotifyStakeholders="N",,1)</f>
        <v>1</v>
      </c>
      <c r="AG815" s="80"/>
      <c r="AH815" s="60">
        <f>IF(AF815=0,,S.PostEQC.BANNER.Begin)</f>
        <v>42078</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42078</v>
      </c>
      <c r="I816" s="745"/>
      <c r="J816"/>
      <c r="K816"/>
      <c r="L816"/>
      <c r="M816"/>
      <c r="N816"/>
      <c r="O816"/>
      <c r="P816"/>
      <c r="Q816"/>
      <c r="R816"/>
      <c r="S816"/>
      <c r="T816"/>
      <c r="U816"/>
      <c r="X816"/>
      <c r="AB816"/>
      <c r="AC816"/>
      <c r="AF816" s="362">
        <f>IF(S.SIP.Involved="Y",1,0)</f>
        <v>1</v>
      </c>
      <c r="AG816" s="80"/>
      <c r="AH816" s="60">
        <f>S.PostEQC.BANNER.Begin</f>
        <v>42078</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42078</v>
      </c>
      <c r="I819" s="745"/>
      <c r="AF819" s="361">
        <v>1</v>
      </c>
      <c r="AG819" s="80"/>
      <c r="AH819" s="60">
        <f>S.PostEQC.BANNER.Begin</f>
        <v>42078</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42080</v>
      </c>
      <c r="I826" s="745"/>
      <c r="AF826" s="361">
        <v>1</v>
      </c>
      <c r="AG826" s="47"/>
      <c r="AH826" s="60">
        <f>S.PostEQC.FileRuleWithSOS</f>
        <v>42080</v>
      </c>
      <c r="AI826" s="59"/>
      <c r="AJ826" s="61"/>
      <c r="AK826" s="44"/>
      <c r="AL826" s="76"/>
      <c r="AM826"/>
    </row>
    <row r="827" spans="1:39" s="23" customFormat="1" ht="14.1" hidden="1" customHeight="1" outlineLevel="2">
      <c r="A827" s="145"/>
      <c r="B827" s="310" t="s">
        <v>47</v>
      </c>
      <c r="C827" s="324"/>
      <c r="D827" s="357"/>
      <c r="E827" s="750"/>
      <c r="F827"/>
      <c r="G827"/>
      <c r="H827" s="256">
        <f t="shared" si="186"/>
        <v>42080</v>
      </c>
      <c r="I827" s="745"/>
      <c r="J827"/>
      <c r="K827"/>
      <c r="L827"/>
      <c r="M827"/>
      <c r="N827"/>
      <c r="O827"/>
      <c r="P827"/>
      <c r="Q827"/>
      <c r="R827"/>
      <c r="S827"/>
      <c r="T827"/>
      <c r="U827"/>
      <c r="X827"/>
      <c r="AB827"/>
      <c r="AC827"/>
      <c r="AF827" s="361">
        <v>1</v>
      </c>
      <c r="AG827" s="71"/>
      <c r="AH827" s="60">
        <f>S.PostEQC.RuleEffective</f>
        <v>42080</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42080</v>
      </c>
      <c r="I828" s="745"/>
      <c r="J828"/>
      <c r="K828"/>
      <c r="L828"/>
      <c r="M828"/>
      <c r="N828"/>
      <c r="O828"/>
      <c r="P828"/>
      <c r="Q828"/>
      <c r="R828"/>
      <c r="S828"/>
      <c r="T828"/>
      <c r="U828"/>
      <c r="X828"/>
      <c r="AB828"/>
      <c r="AC828"/>
      <c r="AF828" s="361">
        <v>1</v>
      </c>
      <c r="AG828" s="71"/>
      <c r="AH828" s="60">
        <f>S.PostEQC.FileRuleWithSOS</f>
        <v>42080</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42080</v>
      </c>
      <c r="I833" s="745"/>
      <c r="J833"/>
      <c r="K833"/>
      <c r="L833"/>
      <c r="M833"/>
      <c r="N833"/>
      <c r="O833"/>
      <c r="P833"/>
      <c r="Q833"/>
      <c r="R833"/>
      <c r="S833"/>
      <c r="T833"/>
      <c r="U833"/>
      <c r="X833"/>
      <c r="AB833"/>
      <c r="AC833"/>
      <c r="AF833" s="361">
        <v>1</v>
      </c>
      <c r="AG833" s="71"/>
      <c r="AH833" s="60">
        <f>S.PostEQC.FileRuleWithSOS</f>
        <v>42080</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42080</v>
      </c>
      <c r="H845" s="256">
        <f t="shared" ref="H845" si="189">AH845</f>
        <v>42080</v>
      </c>
      <c r="I845" s="745"/>
      <c r="J845"/>
      <c r="K845"/>
      <c r="L845"/>
      <c r="M845"/>
      <c r="N845"/>
      <c r="O845"/>
      <c r="P845"/>
      <c r="Q845"/>
      <c r="R845"/>
      <c r="S845"/>
      <c r="T845"/>
      <c r="U845"/>
      <c r="X845"/>
      <c r="AB845"/>
      <c r="AC845"/>
      <c r="AF845" s="361">
        <v>1</v>
      </c>
      <c r="AG845" s="60">
        <f>S.PostEQC.FileRuleWithSOS</f>
        <v>42080</v>
      </c>
      <c r="AH845" s="60">
        <f t="shared" ref="AH845" si="190">G845</f>
        <v>42080</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42080</v>
      </c>
      <c r="I848" s="745"/>
      <c r="J848"/>
      <c r="K848"/>
      <c r="L848"/>
      <c r="M848"/>
      <c r="N848"/>
      <c r="O848"/>
      <c r="P848"/>
      <c r="Q848"/>
      <c r="R848"/>
      <c r="S848"/>
      <c r="T848"/>
      <c r="U848"/>
      <c r="X848"/>
      <c r="AB848"/>
      <c r="AC848"/>
      <c r="AF848" s="361">
        <v>1</v>
      </c>
      <c r="AG848" s="80"/>
      <c r="AH848" s="60">
        <f>S.PostEQC.FileRuleWithSOS</f>
        <v>42080</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42080</v>
      </c>
      <c r="H851" s="256">
        <f>AH851</f>
        <v>42080</v>
      </c>
      <c r="I851" s="745"/>
      <c r="J851"/>
      <c r="K851"/>
      <c r="L851"/>
      <c r="M851"/>
      <c r="N851"/>
      <c r="O851"/>
      <c r="P851"/>
      <c r="Q851"/>
      <c r="R851"/>
      <c r="S851"/>
      <c r="T851"/>
      <c r="U851"/>
      <c r="X851"/>
      <c r="AB851"/>
      <c r="AC851"/>
      <c r="AF851" s="361">
        <v>1</v>
      </c>
      <c r="AG851" s="60">
        <f>S.PostEQC.FileRuleWithSOS</f>
        <v>42080</v>
      </c>
      <c r="AH851" s="60">
        <f>G851</f>
        <v>42080</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42095</v>
      </c>
      <c r="H853" s="256">
        <f t="shared" si="192"/>
        <v>42095</v>
      </c>
      <c r="I853" s="745"/>
      <c r="J853"/>
      <c r="K853"/>
      <c r="L853"/>
      <c r="M853"/>
      <c r="N853"/>
      <c r="O853"/>
      <c r="P853"/>
      <c r="Q853"/>
      <c r="R853"/>
      <c r="S853"/>
      <c r="T853"/>
      <c r="U853"/>
      <c r="X853"/>
      <c r="AB853"/>
      <c r="AC853"/>
      <c r="AF853" s="361">
        <v>1</v>
      </c>
      <c r="AG853" s="60">
        <f>AH853</f>
        <v>42095</v>
      </c>
      <c r="AH853" s="60">
        <f>WORKDAY(S.PostEQC.FileRuleWithSOS+14,1,S.DDL_DEQClosed)</f>
        <v>42095</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42095</v>
      </c>
      <c r="H854" s="256">
        <f t="shared" si="192"/>
        <v>42095</v>
      </c>
      <c r="I854" s="745"/>
      <c r="J854"/>
      <c r="K854"/>
      <c r="L854"/>
      <c r="M854"/>
      <c r="N854"/>
      <c r="O854"/>
      <c r="P854"/>
      <c r="Q854"/>
      <c r="R854"/>
      <c r="S854"/>
      <c r="T854"/>
      <c r="U854"/>
      <c r="X854"/>
      <c r="AB854"/>
      <c r="AC854"/>
      <c r="AF854" s="361">
        <f>IF(C854="Y",1,0)</f>
        <v>1</v>
      </c>
      <c r="AG854" s="60">
        <f>IF(AF854=0,,H853)</f>
        <v>42095</v>
      </c>
      <c r="AH854" s="60">
        <f>IF(AF854=0,,G854)</f>
        <v>42095</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33</v>
      </c>
      <c r="G855" s="263">
        <f t="shared" si="192"/>
        <v>42078</v>
      </c>
      <c r="H855" s="256">
        <f t="shared" si="192"/>
        <v>42123</v>
      </c>
      <c r="I855" s="745"/>
      <c r="J855"/>
      <c r="K855"/>
      <c r="L855"/>
      <c r="M855"/>
      <c r="N855"/>
      <c r="O855"/>
      <c r="P855"/>
      <c r="Q855"/>
      <c r="R855"/>
      <c r="S855"/>
      <c r="T855"/>
      <c r="U855"/>
      <c r="X855"/>
      <c r="AB855"/>
      <c r="AC855"/>
      <c r="AF855" s="361">
        <v>1</v>
      </c>
      <c r="AG855" s="60">
        <f>S.EQC.Meeting</f>
        <v>42078</v>
      </c>
      <c r="AH855" s="60">
        <f>WORKDAY(S.EQC.Meeting+44,1,S.DDL_DEQClosed)</f>
        <v>42123</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64</v>
      </c>
      <c r="G857" s="299">
        <f t="shared" ref="G857:H857" si="194">AG857</f>
        <v>42080</v>
      </c>
      <c r="H857" s="299">
        <f t="shared" si="194"/>
        <v>42170</v>
      </c>
      <c r="I857" s="745"/>
      <c r="AF857" s="361">
        <v>1</v>
      </c>
      <c r="AG857" s="60">
        <f>AH845</f>
        <v>42080</v>
      </c>
      <c r="AH857" s="60">
        <f>S.PostEQC.BANNER.End</f>
        <v>42170</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42170</v>
      </c>
      <c r="I858" s="745"/>
      <c r="J858"/>
      <c r="K858"/>
      <c r="L858"/>
      <c r="M858"/>
      <c r="N858"/>
      <c r="O858"/>
      <c r="P858"/>
      <c r="Q858"/>
      <c r="R858"/>
      <c r="S858"/>
      <c r="T858"/>
      <c r="U858"/>
      <c r="X858"/>
      <c r="AB858"/>
      <c r="AC858"/>
      <c r="AF858" s="361">
        <v>1</v>
      </c>
      <c r="AG858" s="60">
        <f>AH846</f>
        <v>0</v>
      </c>
      <c r="AH858" s="60">
        <f>S.PostEQC.BANNER.End</f>
        <v>42170</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42170</v>
      </c>
      <c r="I859" s="745"/>
      <c r="J859"/>
      <c r="K859"/>
      <c r="L859"/>
      <c r="M859"/>
      <c r="N859"/>
      <c r="O859"/>
      <c r="P859"/>
      <c r="Q859"/>
      <c r="R859"/>
      <c r="S859"/>
      <c r="T859"/>
      <c r="U859"/>
      <c r="X859"/>
      <c r="AB859"/>
      <c r="AC859"/>
      <c r="AF859" s="361">
        <v>1</v>
      </c>
      <c r="AG859" s="60">
        <f>AH846</f>
        <v>0</v>
      </c>
      <c r="AH859" s="60">
        <f>S.PostEQC.BANNER.End</f>
        <v>42170</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42080</v>
      </c>
      <c r="H860" s="256">
        <f>AH860</f>
        <v>42080</v>
      </c>
      <c r="I860" s="745"/>
      <c r="J860"/>
      <c r="K860"/>
      <c r="L860"/>
      <c r="M860"/>
      <c r="N860"/>
      <c r="O860"/>
      <c r="P860"/>
      <c r="Q860"/>
      <c r="R860"/>
      <c r="S860"/>
      <c r="T860"/>
      <c r="U860"/>
      <c r="X860"/>
      <c r="AB860"/>
      <c r="AC860"/>
      <c r="AF860" s="361">
        <v>1</v>
      </c>
      <c r="AG860" s="60">
        <f>AH845</f>
        <v>42080</v>
      </c>
      <c r="AH860" s="60">
        <f>G860</f>
        <v>42080</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64</v>
      </c>
      <c r="G864" s="299">
        <f t="shared" ref="G864" si="198">AG864</f>
        <v>42080</v>
      </c>
      <c r="H864" s="299">
        <f t="shared" ref="H864" si="199">AH864</f>
        <v>42170</v>
      </c>
      <c r="I864" s="745"/>
      <c r="J864"/>
      <c r="K864"/>
      <c r="L864"/>
      <c r="M864"/>
      <c r="N864"/>
      <c r="O864"/>
      <c r="P864"/>
      <c r="Q864"/>
      <c r="R864"/>
      <c r="S864"/>
      <c r="T864"/>
      <c r="U864"/>
      <c r="X864"/>
      <c r="AB864"/>
      <c r="AC864"/>
      <c r="AF864" s="361">
        <v>1</v>
      </c>
      <c r="AG864" s="60">
        <f>AH845</f>
        <v>42080</v>
      </c>
      <c r="AH864" s="60">
        <f>S.PostEQC.BANNER.End</f>
        <v>42170</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 ref="B105" r:id="rId70"/>
  </hyperlinks>
  <pageMargins left="0.53" right="0.25" top="1" bottom="0.36" header="0.3" footer="0.3"/>
  <pageSetup orientation="portrait" horizontalDpi="4294967293" r:id="rId71"/>
  <headerFooter>
    <oddHeader xml:space="preserve">&amp;L&amp;"Times New Roman,Bold"&amp;22&amp;K04-034Schedule of Tasks&amp;C&amp;"Times New Roman,Regular"&amp;14&amp;K04-042Grants Pass Limited Maintenance Plans
 for CO and PM10&amp;R&amp;"Times New Roman,Regular"&amp;12&amp;K04-039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 G36:H36 G17:H17 G47:H53 G196:H197 G29:G30 G355:H356 F382:H448 F467:H470 F458:H459 D382:D449 D355:D356 H354 G736:H739 G747:H747 G785:H787 G753:H753 G762:H779 H815:H828 H18:H19 G15:H15 G449:H449 G32 G46:H46 G22 H29:H30 G34:H34 H174:H175 H181:H182 G183:H183 G219:H226 G229:H233 H237:H238 G263:H263 F250:H262 F264:H264 F263 H249 H283 H278 H271:H277 H279:H282 H284 G579:H589 C596:H606" unlockedFormula="1"/>
  </ignoredErrors>
  <drawing r:id="rId72"/>
  <legacyDrawing r:id="rId73"/>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6" t="s">
        <v>40</v>
      </c>
      <c r="C2" s="1046"/>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6" t="s">
        <v>41</v>
      </c>
      <c r="C9" s="1046"/>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6" t="s">
        <v>52</v>
      </c>
      <c r="C14" s="1046"/>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7" t="s">
        <v>140</v>
      </c>
      <c r="C2" s="1047"/>
      <c r="D2" s="1047"/>
      <c r="E2" s="1047"/>
      <c r="F2" s="1047"/>
      <c r="G2" s="1047"/>
      <c r="H2" s="1047"/>
      <c r="I2" s="1047"/>
      <c r="J2" s="1047"/>
      <c r="K2" s="1047"/>
      <c r="L2" s="1047"/>
      <c r="M2" s="1047"/>
      <c r="N2" s="1047"/>
      <c r="O2" s="1047"/>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8" t="s">
        <v>141</v>
      </c>
      <c r="D4" s="1048"/>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3" t="str">
        <f>S.General.RulemakingTitle</f>
        <v>Grants Pass Limited Maintenance Plans for CO and PM10</v>
      </c>
      <c r="B1" s="1053"/>
      <c r="C1" s="1053"/>
      <c r="D1" s="636"/>
      <c r="E1" s="75"/>
      <c r="F1" s="1050" t="str">
        <f>S.General.CodeName</f>
        <v>GPLMP</v>
      </c>
      <c r="G1" s="1050"/>
      <c r="H1" s="1050"/>
      <c r="I1" s="1050"/>
      <c r="J1" s="1050"/>
      <c r="K1" s="75"/>
      <c r="L1" s="75"/>
      <c r="M1" s="75"/>
      <c r="N1" s="1056" t="s">
        <v>0</v>
      </c>
      <c r="O1" s="1056"/>
      <c r="P1" s="1056"/>
      <c r="Q1" s="1056"/>
      <c r="R1" s="1056"/>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4" t="s">
        <v>357</v>
      </c>
      <c r="B2" s="1054"/>
      <c r="C2" s="1054"/>
      <c r="D2" s="637"/>
      <c r="E2" s="595"/>
      <c r="F2" s="1049">
        <f ca="1">A3</f>
        <v>41907</v>
      </c>
      <c r="G2" s="1049"/>
      <c r="H2" s="1049"/>
      <c r="I2" s="1049"/>
      <c r="J2" s="1049"/>
      <c r="K2" s="1049"/>
      <c r="L2" s="1049"/>
      <c r="M2" s="1049">
        <f ca="1">M4</f>
        <v>41911</v>
      </c>
      <c r="N2" s="1049"/>
      <c r="O2" s="1049"/>
      <c r="P2" s="1049"/>
      <c r="Q2" s="1049"/>
      <c r="R2" s="1049"/>
      <c r="S2" s="1049"/>
      <c r="T2" s="1049">
        <f ca="1">T4</f>
        <v>41918</v>
      </c>
      <c r="U2" s="1049"/>
      <c r="V2" s="1049"/>
      <c r="W2" s="1049"/>
      <c r="X2" s="1049"/>
      <c r="Y2" s="1049"/>
      <c r="Z2" s="1049"/>
      <c r="AA2" s="1049">
        <f ca="1">AA4</f>
        <v>41925</v>
      </c>
      <c r="AB2" s="1049"/>
      <c r="AC2" s="1049"/>
      <c r="AD2" s="1049"/>
      <c r="AE2" s="1049"/>
      <c r="AF2" s="1049"/>
      <c r="AG2" s="1049"/>
      <c r="AH2" s="1049">
        <f ca="1">AH4</f>
        <v>41932</v>
      </c>
      <c r="AI2" s="1049"/>
      <c r="AJ2" s="1049"/>
      <c r="AK2" s="1049"/>
      <c r="AL2" s="1049"/>
      <c r="AM2" s="1049"/>
      <c r="AN2" s="1049"/>
      <c r="AO2" s="1049">
        <f ca="1">AO4</f>
        <v>41939</v>
      </c>
      <c r="AP2" s="1049"/>
      <c r="AQ2" s="1049"/>
      <c r="AR2" s="1049"/>
      <c r="AS2" s="1049"/>
      <c r="AT2" s="1049"/>
      <c r="AU2" s="1049"/>
      <c r="AV2" s="1049">
        <f ca="1">AV4</f>
        <v>41946</v>
      </c>
      <c r="AW2" s="1049"/>
      <c r="AX2" s="1049"/>
      <c r="AY2" s="1049"/>
      <c r="AZ2" s="1049"/>
      <c r="BA2" s="1049"/>
      <c r="BB2" s="1049"/>
      <c r="BC2" s="1049">
        <f ca="1">BC4</f>
        <v>41953</v>
      </c>
      <c r="BD2" s="1049"/>
      <c r="BE2" s="1049"/>
      <c r="BF2" s="1049"/>
      <c r="BG2" s="1049"/>
      <c r="BH2" s="1049"/>
      <c r="BI2" s="1049"/>
    </row>
    <row r="3" spans="1:61" ht="18.75" thickBot="1">
      <c r="A3" s="1055">
        <f ca="1">TODAY()+E4</f>
        <v>41907</v>
      </c>
      <c r="B3" s="1055"/>
      <c r="C3" s="1055"/>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51" t="s">
        <v>356</v>
      </c>
      <c r="B4" s="1051"/>
      <c r="C4" s="1052"/>
      <c r="D4" s="635"/>
      <c r="E4" s="589">
        <v>0</v>
      </c>
      <c r="F4" s="590" t="str">
        <f ca="1">IF(WEEKDAY($A$3,3)&lt;&gt;0,"-",$A$3)</f>
        <v>-</v>
      </c>
      <c r="G4" s="590" t="str">
        <f ca="1">IF(WEEKDAY($A$3,3)=1,$A$3,IF(WEEKDAY($A$3,3)&lt;1,F4+1,"-"))</f>
        <v>-</v>
      </c>
      <c r="H4" s="590" t="str">
        <f ca="1">IF(WEEKDAY($A$3,3)=2,$A$3,IF(WEEKDAY($A$3,3)&lt;2,G4+1,"-"))</f>
        <v>-</v>
      </c>
      <c r="I4" s="590">
        <f ca="1">IF(WEEKDAY($A$3,3)=3,$A$3,IF(WEEKDAY($A$3,3)&lt;3,H4+1,"-"))</f>
        <v>41907</v>
      </c>
      <c r="J4" s="590">
        <f ca="1">IF(WEEKDAY($A$3,3)=4,$A$3,IF(WEEKDAY($A$3,3)&lt;4,I4+1,"-"))</f>
        <v>41908</v>
      </c>
      <c r="K4" s="591">
        <f ca="1">IF(WEEKDAY($A$3,3)=5,$A$3,IF(WEEKDAY($A$3,3)&lt;5,J4+1,"-"))</f>
        <v>41909</v>
      </c>
      <c r="L4" s="591">
        <f ca="1">IF(WEEKDAY($A$3,3)=6,$A$3,IF(WEEKDAY($A$3,3)&lt;6,K4+1,"-"))</f>
        <v>41910</v>
      </c>
      <c r="M4" s="592">
        <f ca="1">L4+1</f>
        <v>41911</v>
      </c>
      <c r="N4" s="592">
        <f t="shared" ref="N4:AG4" ca="1" si="0">M4+1</f>
        <v>41912</v>
      </c>
      <c r="O4" s="592">
        <f t="shared" ca="1" si="0"/>
        <v>41913</v>
      </c>
      <c r="P4" s="592">
        <f t="shared" ca="1" si="0"/>
        <v>41914</v>
      </c>
      <c r="Q4" s="592">
        <f t="shared" ca="1" si="0"/>
        <v>41915</v>
      </c>
      <c r="R4" s="593">
        <f t="shared" ca="1" si="0"/>
        <v>41916</v>
      </c>
      <c r="S4" s="593">
        <f t="shared" ca="1" si="0"/>
        <v>41917</v>
      </c>
      <c r="T4" s="592">
        <f t="shared" ca="1" si="0"/>
        <v>41918</v>
      </c>
      <c r="U4" s="592">
        <f t="shared" ca="1" si="0"/>
        <v>41919</v>
      </c>
      <c r="V4" s="592">
        <f t="shared" ca="1" si="0"/>
        <v>41920</v>
      </c>
      <c r="W4" s="592">
        <f t="shared" ca="1" si="0"/>
        <v>41921</v>
      </c>
      <c r="X4" s="592">
        <f t="shared" ca="1" si="0"/>
        <v>41922</v>
      </c>
      <c r="Y4" s="593">
        <f t="shared" ca="1" si="0"/>
        <v>41923</v>
      </c>
      <c r="Z4" s="593">
        <f t="shared" ca="1" si="0"/>
        <v>41924</v>
      </c>
      <c r="AA4" s="592">
        <f t="shared" ca="1" si="0"/>
        <v>41925</v>
      </c>
      <c r="AB4" s="592">
        <f t="shared" ca="1" si="0"/>
        <v>41926</v>
      </c>
      <c r="AC4" s="592">
        <f t="shared" ca="1" si="0"/>
        <v>41927</v>
      </c>
      <c r="AD4" s="592">
        <f t="shared" ca="1" si="0"/>
        <v>41928</v>
      </c>
      <c r="AE4" s="592">
        <f t="shared" ca="1" si="0"/>
        <v>41929</v>
      </c>
      <c r="AF4" s="593">
        <f t="shared" ca="1" si="0"/>
        <v>41930</v>
      </c>
      <c r="AG4" s="593">
        <f t="shared" ca="1" si="0"/>
        <v>41931</v>
      </c>
      <c r="AH4" s="592">
        <f t="shared" ref="AH4:BI4" ca="1" si="1">AG4+1</f>
        <v>41932</v>
      </c>
      <c r="AI4" s="592">
        <f t="shared" ca="1" si="1"/>
        <v>41933</v>
      </c>
      <c r="AJ4" s="592">
        <f t="shared" ca="1" si="1"/>
        <v>41934</v>
      </c>
      <c r="AK4" s="592">
        <f t="shared" ca="1" si="1"/>
        <v>41935</v>
      </c>
      <c r="AL4" s="592">
        <f t="shared" ca="1" si="1"/>
        <v>41936</v>
      </c>
      <c r="AM4" s="593">
        <f t="shared" ca="1" si="1"/>
        <v>41937</v>
      </c>
      <c r="AN4" s="593">
        <f t="shared" ca="1" si="1"/>
        <v>41938</v>
      </c>
      <c r="AO4" s="592">
        <f t="shared" ca="1" si="1"/>
        <v>41939</v>
      </c>
      <c r="AP4" s="592">
        <f t="shared" ca="1" si="1"/>
        <v>41940</v>
      </c>
      <c r="AQ4" s="592">
        <f t="shared" ca="1" si="1"/>
        <v>41941</v>
      </c>
      <c r="AR4" s="592">
        <f t="shared" ca="1" si="1"/>
        <v>41942</v>
      </c>
      <c r="AS4" s="592">
        <f t="shared" ca="1" si="1"/>
        <v>41943</v>
      </c>
      <c r="AT4" s="593">
        <f t="shared" ca="1" si="1"/>
        <v>41944</v>
      </c>
      <c r="AU4" s="593">
        <f t="shared" ca="1" si="1"/>
        <v>41945</v>
      </c>
      <c r="AV4" s="592">
        <f t="shared" ca="1" si="1"/>
        <v>41946</v>
      </c>
      <c r="AW4" s="592">
        <f t="shared" ca="1" si="1"/>
        <v>41947</v>
      </c>
      <c r="AX4" s="592">
        <f t="shared" ca="1" si="1"/>
        <v>41948</v>
      </c>
      <c r="AY4" s="592">
        <f t="shared" ca="1" si="1"/>
        <v>41949</v>
      </c>
      <c r="AZ4" s="592">
        <f t="shared" ca="1" si="1"/>
        <v>41950</v>
      </c>
      <c r="BA4" s="593">
        <f t="shared" ca="1" si="1"/>
        <v>41951</v>
      </c>
      <c r="BB4" s="593">
        <f t="shared" ca="1" si="1"/>
        <v>41952</v>
      </c>
      <c r="BC4" s="592">
        <f t="shared" ca="1" si="1"/>
        <v>41953</v>
      </c>
      <c r="BD4" s="592">
        <f t="shared" ca="1" si="1"/>
        <v>41954</v>
      </c>
      <c r="BE4" s="592">
        <f t="shared" ca="1" si="1"/>
        <v>41955</v>
      </c>
      <c r="BF4" s="592">
        <f t="shared" ca="1" si="1"/>
        <v>41956</v>
      </c>
      <c r="BG4" s="592">
        <f t="shared" ca="1" si="1"/>
        <v>41957</v>
      </c>
      <c r="BH4" s="593">
        <f t="shared" ca="1" si="1"/>
        <v>41958</v>
      </c>
      <c r="BI4" s="593">
        <f t="shared" ca="1" si="1"/>
        <v>41959</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S.QtimeEnd</f>
        <v>41820</v>
      </c>
      <c r="D7" s="607"/>
      <c r="E7" s="601">
        <f t="shared" ref="E7:E57" ca="1" si="2">IF($C7&gt;=$A$3,0,1)</f>
        <v>1</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S.Planning.AddConceptToPlanDate</f>
        <v>41820</v>
      </c>
      <c r="C8" s="607">
        <f>B8</f>
        <v>41820</v>
      </c>
      <c r="D8" s="607"/>
      <c r="E8" s="601">
        <f t="shared" ca="1" si="2"/>
        <v>1</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S.PlanningKickoff</f>
        <v>41820</v>
      </c>
      <c r="C9" s="607">
        <f>B9</f>
        <v>41820</v>
      </c>
      <c r="D9" s="607"/>
      <c r="E9" s="601">
        <f t="shared" ca="1" si="2"/>
        <v>1</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S.Planning.DraftWorkbooksStart</f>
        <v>41820</v>
      </c>
      <c r="C11" s="607">
        <f>S.Planning.DraftWorkbooksEnd</f>
        <v>41820</v>
      </c>
      <c r="D11" s="607"/>
      <c r="E11" s="601">
        <f t="shared" ca="1" si="2"/>
        <v>1</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S.Planning.CommunicationMeeting</f>
        <v>41820</v>
      </c>
      <c r="C12" s="607">
        <f>B12</f>
        <v>41820</v>
      </c>
      <c r="D12" s="607"/>
      <c r="E12" s="601">
        <f t="shared" ca="1" si="2"/>
        <v>1</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S.DIRECTOR.Approves.ForDEQRulemakingPlan</f>
        <v>41820</v>
      </c>
      <c r="C13" s="607">
        <f>S.Overview.BANNER.End</f>
        <v>42170</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S.Notice.StartDraft</f>
        <v>41820</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41806</v>
      </c>
      <c r="C19" s="607">
        <f>B19</f>
        <v>41806</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42138</v>
      </c>
      <c r="C21" s="607">
        <f>B21</f>
        <v>42138</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42083</v>
      </c>
      <c r="C24" s="607">
        <f>B24</f>
        <v>42083</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1</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1</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1</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1</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1</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1</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41806</v>
      </c>
      <c r="C39" s="607">
        <f>B39</f>
        <v>41806</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41975</v>
      </c>
      <c r="C42" s="607">
        <f>B42</f>
        <v>41975</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41978</v>
      </c>
      <c r="C43" s="607">
        <f>B43</f>
        <v>41978</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41989</v>
      </c>
      <c r="C44" s="607">
        <f>S.Notice.CloseComment</f>
        <v>42024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41964</v>
      </c>
      <c r="C45" s="607">
        <f>S.Notice.ADABriefing</f>
        <v>41964</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41967</v>
      </c>
      <c r="C47" s="607">
        <f>S.Notice.PreviewEnd</f>
        <v>41974</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41988</v>
      </c>
      <c r="C48" s="607">
        <f>S.Notice.InOregonBulletin</f>
        <v>42005</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42019</v>
      </c>
      <c r="C49" s="607">
        <f>S.Notice.LastHearingDate</f>
        <v>42019</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42078</v>
      </c>
      <c r="C51" s="607">
        <f>B51</f>
        <v>42078</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42080</v>
      </c>
      <c r="C53" s="607">
        <f>S.PostEQC.RuleEffective</f>
        <v>42080</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42083</v>
      </c>
      <c r="C54" s="607">
        <f>B54</f>
        <v>42083</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42138</v>
      </c>
      <c r="C55" s="607">
        <f>B55</f>
        <v>42138</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2" sqref="B2"/>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790</v>
      </c>
      <c r="C2" s="210" t="s">
        <v>788</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9" t="s">
        <v>485</v>
      </c>
      <c r="C4" s="1059"/>
      <c r="D4" s="1059"/>
      <c r="E4" s="1059"/>
      <c r="F4" s="1059"/>
      <c r="G4" s="1059"/>
      <c r="H4" s="1059"/>
      <c r="I4" s="75"/>
      <c r="J4" s="75"/>
      <c r="K4" s="75"/>
      <c r="L4"/>
      <c r="M4"/>
      <c r="N4"/>
      <c r="O4"/>
      <c r="P4"/>
      <c r="Q4"/>
      <c r="R4"/>
      <c r="S4"/>
      <c r="T4"/>
      <c r="U4"/>
      <c r="V4"/>
    </row>
    <row r="5" spans="1:22" ht="36" customHeight="1">
      <c r="A5" s="75"/>
      <c r="B5" s="75"/>
      <c r="C5" s="660" t="s">
        <v>480</v>
      </c>
      <c r="D5" s="660" t="s">
        <v>481</v>
      </c>
      <c r="E5" s="212" t="s">
        <v>361</v>
      </c>
      <c r="F5" s="212" t="s">
        <v>362</v>
      </c>
      <c r="G5" s="212" t="s">
        <v>631</v>
      </c>
      <c r="H5" s="75"/>
      <c r="I5" s="75"/>
      <c r="J5" s="75"/>
      <c r="K5" s="75"/>
    </row>
    <row r="6" spans="1:22" ht="18.75">
      <c r="A6" s="75"/>
      <c r="B6" s="211" t="s">
        <v>478</v>
      </c>
      <c r="C6" s="210" t="s">
        <v>782</v>
      </c>
      <c r="D6" s="210" t="s">
        <v>784</v>
      </c>
      <c r="E6" s="570" t="s">
        <v>364</v>
      </c>
      <c r="F6" s="570" t="s">
        <v>496</v>
      </c>
      <c r="G6" s="570" t="s">
        <v>632</v>
      </c>
      <c r="H6" s="75"/>
      <c r="I6" s="75"/>
      <c r="J6" s="75"/>
      <c r="K6" s="75"/>
    </row>
    <row r="7" spans="1:22" ht="18.75">
      <c r="A7" s="75"/>
      <c r="B7" s="211" t="s">
        <v>384</v>
      </c>
      <c r="C7" s="570" t="s">
        <v>783</v>
      </c>
      <c r="D7" s="570" t="s">
        <v>785</v>
      </c>
      <c r="E7" s="570" t="s">
        <v>364</v>
      </c>
      <c r="F7" s="570" t="s">
        <v>496</v>
      </c>
      <c r="G7" s="570" t="s">
        <v>632</v>
      </c>
      <c r="H7" s="75"/>
      <c r="I7" s="75"/>
      <c r="J7" s="75"/>
      <c r="K7" s="75"/>
    </row>
    <row r="8" spans="1:22" s="23" customFormat="1" ht="18.75">
      <c r="A8" s="75"/>
      <c r="B8" s="211" t="s">
        <v>391</v>
      </c>
      <c r="C8" s="210" t="s">
        <v>489</v>
      </c>
      <c r="D8" s="210" t="s">
        <v>497</v>
      </c>
      <c r="E8" s="210" t="s">
        <v>364</v>
      </c>
      <c r="F8" s="210" t="s">
        <v>498</v>
      </c>
      <c r="G8" s="210" t="s">
        <v>633</v>
      </c>
      <c r="H8" s="75"/>
      <c r="I8" s="75"/>
      <c r="J8" s="75"/>
      <c r="K8" s="75"/>
      <c r="L8"/>
      <c r="M8"/>
      <c r="N8"/>
      <c r="O8"/>
      <c r="P8"/>
      <c r="Q8"/>
      <c r="R8"/>
      <c r="S8"/>
      <c r="T8"/>
      <c r="U8"/>
      <c r="V8"/>
    </row>
    <row r="9" spans="1:22" ht="18.75">
      <c r="A9" s="75"/>
      <c r="B9" s="211" t="s">
        <v>482</v>
      </c>
      <c r="C9" s="570" t="s">
        <v>610</v>
      </c>
      <c r="D9" s="570" t="s">
        <v>777</v>
      </c>
      <c r="E9" s="570" t="s">
        <v>364</v>
      </c>
      <c r="F9" s="570" t="s">
        <v>365</v>
      </c>
      <c r="G9" s="570" t="s">
        <v>632</v>
      </c>
      <c r="H9" s="75"/>
      <c r="I9" s="75"/>
      <c r="J9" s="75"/>
      <c r="K9" s="75"/>
    </row>
    <row r="10" spans="1:22" ht="18.75">
      <c r="A10" s="75"/>
      <c r="B10" s="211" t="s">
        <v>483</v>
      </c>
      <c r="C10" s="210" t="s">
        <v>103</v>
      </c>
      <c r="D10" s="75"/>
      <c r="E10" s="75"/>
      <c r="F10" s="823"/>
      <c r="G10" s="75"/>
      <c r="H10" s="75"/>
      <c r="I10" s="75"/>
      <c r="J10" s="75"/>
    </row>
    <row r="11" spans="1:22" ht="19.5" thickBot="1">
      <c r="A11" s="75"/>
      <c r="B11" s="211" t="s">
        <v>628</v>
      </c>
      <c r="C11" s="570" t="s">
        <v>331</v>
      </c>
      <c r="D11" s="75"/>
      <c r="E11" s="75"/>
      <c r="F11" s="823"/>
      <c r="G11" s="75"/>
      <c r="H11" s="75"/>
      <c r="I11" s="75"/>
      <c r="J11" s="75"/>
      <c r="K11" s="75"/>
      <c r="L11" s="75"/>
      <c r="M11" s="75"/>
      <c r="N11" s="75"/>
    </row>
    <row r="12" spans="1:22" ht="18.75">
      <c r="A12" s="75"/>
      <c r="B12" s="211" t="s">
        <v>102</v>
      </c>
      <c r="C12" s="210" t="s">
        <v>609</v>
      </c>
      <c r="D12" s="75"/>
      <c r="E12" s="75"/>
      <c r="F12" s="824" t="s">
        <v>670</v>
      </c>
      <c r="G12" s="75"/>
      <c r="H12" s="75"/>
      <c r="I12" s="75"/>
      <c r="J12" s="75"/>
      <c r="K12" s="75"/>
      <c r="L12" s="75"/>
      <c r="M12" s="75"/>
      <c r="N12" s="75"/>
    </row>
    <row r="13" spans="1:22" ht="18.75">
      <c r="A13" s="75"/>
      <c r="B13" s="211" t="s">
        <v>302</v>
      </c>
      <c r="C13" s="570" t="s">
        <v>610</v>
      </c>
      <c r="D13" s="75"/>
      <c r="E13" s="75"/>
      <c r="F13" s="825" t="s">
        <v>672</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671</v>
      </c>
      <c r="G15" s="75"/>
      <c r="H15" s="75"/>
      <c r="I15" s="75"/>
      <c r="J15" s="75"/>
      <c r="K15" s="75"/>
      <c r="L15" s="75"/>
      <c r="M15" s="75"/>
      <c r="N15" s="75"/>
    </row>
    <row r="16" spans="1:22" s="23" customFormat="1" ht="18.75">
      <c r="A16" s="75"/>
      <c r="B16" s="211" t="s">
        <v>173</v>
      </c>
      <c r="C16" s="210" t="s">
        <v>342</v>
      </c>
      <c r="D16" s="75"/>
      <c r="E16" s="75"/>
      <c r="F16" s="825" t="s">
        <v>681</v>
      </c>
      <c r="G16" s="75"/>
      <c r="H16" s="75"/>
      <c r="I16" s="75"/>
      <c r="J16" s="75"/>
      <c r="K16" s="75"/>
      <c r="L16" s="75"/>
      <c r="M16" s="75"/>
      <c r="N16" s="75"/>
    </row>
    <row r="17" spans="1:14" ht="18.75">
      <c r="A17" s="75"/>
      <c r="B17" s="211" t="s">
        <v>104</v>
      </c>
      <c r="C17" s="570" t="s">
        <v>493</v>
      </c>
      <c r="D17" s="75"/>
      <c r="E17" s="75"/>
      <c r="F17" s="825" t="s">
        <v>673</v>
      </c>
      <c r="G17" s="75"/>
      <c r="H17" s="75"/>
      <c r="I17" s="75"/>
      <c r="J17" s="75"/>
      <c r="K17" s="75"/>
      <c r="L17" s="75"/>
      <c r="M17" s="75"/>
      <c r="N17" s="75"/>
    </row>
    <row r="18" spans="1:14" ht="18.75">
      <c r="A18" s="75"/>
      <c r="B18" s="211" t="s">
        <v>303</v>
      </c>
      <c r="C18" s="210" t="s">
        <v>342</v>
      </c>
      <c r="D18" s="75"/>
      <c r="E18" s="23"/>
      <c r="F18" s="825" t="s">
        <v>676</v>
      </c>
      <c r="G18" s="75"/>
      <c r="H18" s="75"/>
      <c r="I18" s="75"/>
      <c r="J18" s="75"/>
      <c r="K18" s="75"/>
      <c r="L18" s="75"/>
      <c r="M18" s="75"/>
      <c r="N18" s="75"/>
    </row>
    <row r="19" spans="1:14" ht="18.75" customHeight="1">
      <c r="A19" s="75"/>
      <c r="B19" s="211" t="s">
        <v>105</v>
      </c>
      <c r="C19" s="570" t="s">
        <v>782</v>
      </c>
      <c r="D19" s="818" t="s">
        <v>484</v>
      </c>
      <c r="E19" s="819"/>
      <c r="F19" s="827" t="s">
        <v>674</v>
      </c>
      <c r="G19" s="75"/>
      <c r="H19" s="75"/>
      <c r="I19" s="75"/>
      <c r="J19" s="75"/>
      <c r="K19" s="75"/>
      <c r="L19" s="75"/>
      <c r="M19" s="75"/>
      <c r="N19" s="75"/>
    </row>
    <row r="20" spans="1:14" s="23" customFormat="1" ht="18.75">
      <c r="A20" s="75"/>
      <c r="B20" s="211" t="s">
        <v>106</v>
      </c>
      <c r="C20" s="210" t="s">
        <v>129</v>
      </c>
      <c r="D20" s="75"/>
      <c r="E20" s="639"/>
      <c r="F20" s="828" t="s">
        <v>675</v>
      </c>
      <c r="G20" s="75"/>
      <c r="H20" s="75"/>
      <c r="I20" s="75"/>
      <c r="J20" s="75"/>
      <c r="K20" s="75"/>
      <c r="L20" s="75"/>
      <c r="M20" s="75"/>
      <c r="N20" s="75"/>
    </row>
    <row r="21" spans="1:14" ht="18.75">
      <c r="A21" s="75"/>
      <c r="B21" s="211" t="s">
        <v>113</v>
      </c>
      <c r="C21" s="570" t="s">
        <v>114</v>
      </c>
      <c r="D21" s="75"/>
      <c r="E21" s="639"/>
      <c r="F21" s="827" t="s">
        <v>677</v>
      </c>
      <c r="G21" s="75"/>
      <c r="H21" s="75"/>
      <c r="I21" s="75"/>
      <c r="J21" s="75"/>
      <c r="K21" s="75"/>
      <c r="L21" s="75"/>
      <c r="M21" s="75"/>
      <c r="N21" s="75"/>
    </row>
    <row r="22" spans="1:14" ht="18.75">
      <c r="A22" s="75"/>
      <c r="B22" s="211" t="s">
        <v>128</v>
      </c>
      <c r="C22" s="210" t="s">
        <v>494</v>
      </c>
      <c r="D22" s="75"/>
      <c r="E22" s="75"/>
      <c r="F22" s="829" t="s">
        <v>680</v>
      </c>
      <c r="G22" s="75"/>
      <c r="H22" s="75"/>
      <c r="I22" s="75"/>
      <c r="J22" s="75"/>
      <c r="K22" s="75"/>
      <c r="L22" s="75"/>
      <c r="M22" s="75"/>
      <c r="N22" s="75"/>
    </row>
    <row r="23" spans="1:14" s="23" customFormat="1" ht="18.75">
      <c r="A23" s="75"/>
      <c r="B23" s="211" t="s">
        <v>532</v>
      </c>
      <c r="C23" s="570" t="s">
        <v>791</v>
      </c>
      <c r="D23" s="75"/>
      <c r="E23" s="75"/>
      <c r="F23" s="830" t="s">
        <v>678</v>
      </c>
      <c r="G23" s="75"/>
      <c r="H23" s="75"/>
      <c r="I23" s="75"/>
      <c r="J23" s="75"/>
      <c r="K23" s="75"/>
      <c r="L23" s="75"/>
      <c r="M23" s="75"/>
      <c r="N23" s="75"/>
    </row>
    <row r="24" spans="1:14" s="23" customFormat="1" ht="18.75">
      <c r="A24" s="75"/>
      <c r="B24" s="211" t="s">
        <v>531</v>
      </c>
      <c r="C24" s="570" t="s">
        <v>488</v>
      </c>
      <c r="D24" s="75"/>
      <c r="E24" s="75"/>
      <c r="F24" s="830" t="s">
        <v>679</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7" t="s">
        <v>343</v>
      </c>
      <c r="C31" s="1058"/>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7" t="s">
        <v>345</v>
      </c>
      <c r="C36" s="1058"/>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3" t="str">
        <f>S.General.RulemakingTitle</f>
        <v>Grants Pass Limited Maintenance Plans for CO and PM10</v>
      </c>
      <c r="C2" s="1063"/>
      <c r="D2" s="1063"/>
      <c r="E2" s="1063"/>
      <c r="F2" s="75"/>
      <c r="G2" s="526">
        <f ca="1">TODAY()</f>
        <v>41907</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60" t="s">
        <v>128</v>
      </c>
      <c r="F4" s="75"/>
      <c r="G4" s="453" t="s">
        <v>233</v>
      </c>
      <c r="H4" s="75"/>
      <c r="I4" s="75"/>
      <c r="J4" s="75"/>
      <c r="K4" s="75"/>
      <c r="L4" s="75"/>
      <c r="M4" s="75"/>
      <c r="N4" s="75"/>
      <c r="O4" s="75"/>
    </row>
    <row r="5" spans="1:15" s="23" customFormat="1" ht="18.75" thickBot="1">
      <c r="A5" s="75"/>
      <c r="B5" s="792" t="s">
        <v>644</v>
      </c>
      <c r="C5" s="792" t="s">
        <v>567</v>
      </c>
      <c r="D5" s="792" t="s">
        <v>568</v>
      </c>
      <c r="E5" s="1061"/>
      <c r="F5" s="75"/>
      <c r="G5" s="778"/>
      <c r="H5" s="75"/>
      <c r="I5" s="75"/>
      <c r="J5" s="75"/>
      <c r="K5" s="75"/>
      <c r="L5" s="75"/>
      <c r="M5" s="75"/>
      <c r="N5" s="75"/>
      <c r="O5" s="75"/>
    </row>
    <row r="6" spans="1:15" ht="15" thickTop="1">
      <c r="A6" s="75"/>
      <c r="B6" s="451" t="str">
        <f>S.Hearing.1stCity</f>
        <v>Grants Pass</v>
      </c>
      <c r="C6" s="788">
        <f>S.Hearing.1stDate</f>
        <v>42019</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-blank -</v>
      </c>
      <c r="C7" s="789" t="str">
        <f>IF(S.Hearing.2ndInvolve="N","-blank -",S.Hearing.2ndDate)</f>
        <v>-blank -</v>
      </c>
      <c r="D7" s="789" t="str">
        <f>IF(S.Hearing.2ndInvolve="N","-blank -",S.Hearing.2ndTime)</f>
        <v>-blank -</v>
      </c>
      <c r="E7" s="789" t="str">
        <f>IF(S.Hearing.2ndInvolve="N","-blank -","DEQ Staff")</f>
        <v>-blank -</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62" t="s">
        <v>231</v>
      </c>
      <c r="C17" s="1062"/>
      <c r="D17" s="778"/>
      <c r="E17" s="75"/>
      <c r="F17" s="75"/>
      <c r="G17" s="454"/>
      <c r="H17" s="75"/>
      <c r="I17" s="75"/>
      <c r="J17" s="75"/>
      <c r="K17" s="75"/>
      <c r="L17" s="75"/>
      <c r="M17" s="75"/>
      <c r="N17" s="75"/>
      <c r="O17" s="75"/>
    </row>
    <row r="18" spans="1:15">
      <c r="A18" s="75"/>
      <c r="B18" s="451" t="str">
        <f>S.Notice.AD.PubID1</f>
        <v>NOTICE.AD1Oregonian</v>
      </c>
      <c r="C18" s="788">
        <f>S.Notice.AD.PubDate1</f>
        <v>41989</v>
      </c>
      <c r="D18" s="452"/>
      <c r="E18" s="75"/>
      <c r="F18" s="75"/>
      <c r="G18" s="499"/>
      <c r="H18" s="75"/>
      <c r="I18" s="75"/>
      <c r="J18" s="75"/>
      <c r="K18" s="75"/>
      <c r="L18" s="75"/>
      <c r="M18" s="75"/>
      <c r="N18" s="75"/>
      <c r="O18" s="75"/>
    </row>
    <row r="19" spans="1:15">
      <c r="A19" s="75"/>
      <c r="B19" s="451" t="str">
        <f>S.Notice.AD.PubID2</f>
        <v>NOTICE.AD2Other</v>
      </c>
      <c r="C19" s="788">
        <f>S.Notice.AD.PubDate2</f>
        <v>41989</v>
      </c>
      <c r="D19" s="452"/>
      <c r="E19" s="75"/>
      <c r="F19" s="75"/>
      <c r="G19" s="499"/>
      <c r="H19" s="75"/>
      <c r="I19" s="75"/>
      <c r="J19" s="75"/>
      <c r="K19" s="75"/>
      <c r="L19" s="75"/>
      <c r="M19" s="75"/>
      <c r="N19" s="75"/>
      <c r="O19" s="75"/>
    </row>
    <row r="20" spans="1:15">
      <c r="A20" s="75"/>
      <c r="B20" s="451" t="str">
        <f>S.Notice.AD.PubID3</f>
        <v>NOTICE.AD3None</v>
      </c>
      <c r="C20" s="788">
        <f>S.Notice.AD.PubDate3</f>
        <v>41989</v>
      </c>
      <c r="D20" s="452"/>
      <c r="E20" s="75"/>
      <c r="F20" s="75"/>
      <c r="G20" s="499"/>
      <c r="H20" s="75"/>
      <c r="I20" s="75"/>
      <c r="J20" s="75"/>
      <c r="K20" s="75"/>
      <c r="L20" s="75"/>
      <c r="M20" s="75"/>
      <c r="N20" s="75"/>
      <c r="O20" s="75"/>
    </row>
    <row r="21" spans="1:15">
      <c r="A21" s="75"/>
      <c r="B21" s="451" t="str">
        <f>S.Notice.AD.PubID4</f>
        <v>NOTICE.AD4None</v>
      </c>
      <c r="C21" s="788">
        <f>S.Notice.AD.PubDate4</f>
        <v>41989</v>
      </c>
      <c r="D21" s="452"/>
      <c r="E21" s="75"/>
      <c r="F21" s="75"/>
      <c r="G21" s="499"/>
      <c r="H21" s="75"/>
      <c r="I21" s="75"/>
      <c r="J21" s="75"/>
      <c r="K21" s="75"/>
      <c r="L21" s="75"/>
      <c r="M21" s="75"/>
      <c r="N21" s="75"/>
      <c r="O21" s="75"/>
    </row>
    <row r="22" spans="1:15">
      <c r="A22" s="75"/>
      <c r="B22" s="451" t="str">
        <f>S.Notice.AD.PubID5</f>
        <v>NOTICE.AD5None</v>
      </c>
      <c r="C22" s="788">
        <f>S.Notice.AD.PubDate5</f>
        <v>41989</v>
      </c>
      <c r="D22" s="452"/>
      <c r="E22" s="75"/>
      <c r="F22" s="75"/>
      <c r="G22" s="499"/>
      <c r="H22" s="75"/>
      <c r="I22" s="75"/>
      <c r="J22" s="75"/>
      <c r="K22" s="75"/>
      <c r="L22" s="75"/>
      <c r="M22" s="75"/>
      <c r="N22" s="75"/>
      <c r="O22" s="75"/>
    </row>
    <row r="23" spans="1:15">
      <c r="A23" s="75"/>
      <c r="B23" s="451" t="str">
        <f>S.Notice.AD.PubID6</f>
        <v>NOTICE.AD6None</v>
      </c>
      <c r="C23" s="788">
        <f>S.Notice.AD.PubDate6</f>
        <v>41989</v>
      </c>
      <c r="D23" s="452"/>
      <c r="E23" s="75"/>
      <c r="F23" s="75"/>
      <c r="G23" s="499"/>
      <c r="H23" s="75"/>
      <c r="I23" s="75"/>
      <c r="J23" s="75"/>
      <c r="K23" s="75"/>
      <c r="L23" s="75"/>
      <c r="M23" s="75"/>
      <c r="N23" s="75"/>
      <c r="O23" s="75"/>
    </row>
    <row r="24" spans="1:15">
      <c r="A24" s="75"/>
      <c r="B24" s="451" t="str">
        <f>S.Notice.AD.PubID7</f>
        <v>NOTICE.AD7None</v>
      </c>
      <c r="C24" s="788">
        <f>S.Notice.AD.PubDate7</f>
        <v>41989</v>
      </c>
      <c r="D24" s="452"/>
      <c r="E24" s="75"/>
      <c r="F24" s="75"/>
      <c r="G24" s="499"/>
      <c r="H24" s="75"/>
      <c r="I24" s="75"/>
      <c r="J24" s="75"/>
      <c r="K24" s="75"/>
      <c r="L24" s="75"/>
      <c r="M24" s="75"/>
      <c r="N24" s="75"/>
      <c r="O24" s="75"/>
    </row>
    <row r="25" spans="1:15">
      <c r="A25" s="75"/>
      <c r="B25" s="451" t="str">
        <f>S.Notice.AD.PubID8</f>
        <v>NOTICE.AD8None</v>
      </c>
      <c r="C25" s="788">
        <f>S.Notice.AD.PubDate8</f>
        <v>41989</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5" t="s">
        <v>350</v>
      </c>
      <c r="H4" s="1065"/>
      <c r="I4" s="1065"/>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5"/>
      <c r="H5" s="1065"/>
      <c r="I5" s="1065"/>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5"/>
      <c r="H6" s="1065"/>
      <c r="I6" s="1065"/>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5"/>
      <c r="H7" s="1065"/>
      <c r="I7" s="1065"/>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4" t="s">
        <v>34</v>
      </c>
      <c r="K27" s="1064"/>
      <c r="L27" s="1064"/>
      <c r="M27" s="1064"/>
      <c r="N27" s="1064"/>
      <c r="O27" s="1064"/>
      <c r="P27" s="1064"/>
      <c r="Q27" s="53"/>
      <c r="R27" s="2"/>
      <c r="S27" s="2"/>
      <c r="T27" s="2"/>
    </row>
    <row r="28" spans="1:20">
      <c r="A28" s="22">
        <v>41275</v>
      </c>
      <c r="B28" s="20" t="s">
        <v>5</v>
      </c>
      <c r="C28" s="30">
        <f>A28</f>
        <v>41275</v>
      </c>
      <c r="D28" s="30"/>
      <c r="E28" s="55"/>
      <c r="F28" s="55"/>
      <c r="G28" s="55"/>
      <c r="H28" s="55"/>
      <c r="I28" s="2"/>
      <c r="J28" s="1064"/>
      <c r="K28" s="1064"/>
      <c r="L28" s="1064"/>
      <c r="M28" s="1064"/>
      <c r="N28" s="1064"/>
      <c r="O28" s="1064"/>
      <c r="P28" s="1064"/>
      <c r="Q28" s="53"/>
      <c r="R28" s="2"/>
      <c r="S28" s="2"/>
      <c r="T28" s="2"/>
    </row>
    <row r="29" spans="1:20">
      <c r="A29" s="22">
        <v>41292</v>
      </c>
      <c r="B29" s="20" t="s">
        <v>3</v>
      </c>
      <c r="C29" s="30">
        <f t="shared" ref="C29:C76" si="8">A29</f>
        <v>41292</v>
      </c>
      <c r="D29" s="30"/>
      <c r="E29" s="55"/>
      <c r="F29" s="55"/>
      <c r="G29" s="55"/>
      <c r="H29" s="55"/>
      <c r="I29" s="2"/>
      <c r="J29" s="1064"/>
      <c r="K29" s="1064"/>
      <c r="L29" s="1064"/>
      <c r="M29" s="1064"/>
      <c r="N29" s="1064"/>
      <c r="O29" s="1064"/>
      <c r="P29" s="1064"/>
      <c r="Q29" s="53"/>
      <c r="R29" s="2"/>
      <c r="S29" s="2"/>
      <c r="T29" s="2"/>
    </row>
    <row r="30" spans="1:20">
      <c r="A30" s="22">
        <v>41295</v>
      </c>
      <c r="B30" s="20" t="s">
        <v>6</v>
      </c>
      <c r="C30" s="30">
        <f t="shared" si="8"/>
        <v>41295</v>
      </c>
      <c r="D30" s="30"/>
      <c r="E30" s="55"/>
      <c r="F30" s="55"/>
      <c r="G30" s="55"/>
      <c r="H30" s="55"/>
      <c r="I30" s="2"/>
      <c r="J30" s="1064"/>
      <c r="K30" s="1064"/>
      <c r="L30" s="1064"/>
      <c r="M30" s="1064"/>
      <c r="N30" s="1064"/>
      <c r="O30" s="1064"/>
      <c r="P30" s="1064"/>
      <c r="Q30" s="53"/>
      <c r="R30" s="2"/>
      <c r="S30" s="2"/>
      <c r="T30" s="2"/>
    </row>
    <row r="31" spans="1:20">
      <c r="A31" s="22">
        <v>41323</v>
      </c>
      <c r="B31" s="20" t="s">
        <v>7</v>
      </c>
      <c r="C31" s="30">
        <f t="shared" si="8"/>
        <v>41323</v>
      </c>
      <c r="D31" s="30"/>
      <c r="E31" s="55"/>
      <c r="F31" s="55"/>
      <c r="G31" s="55"/>
      <c r="H31" s="55"/>
      <c r="I31" s="2"/>
      <c r="J31" s="1064"/>
      <c r="K31" s="1064"/>
      <c r="L31" s="1064"/>
      <c r="M31" s="1064"/>
      <c r="N31" s="1064"/>
      <c r="O31" s="1064"/>
      <c r="P31" s="1064"/>
      <c r="Q31" s="53"/>
      <c r="R31" s="2"/>
      <c r="S31" s="2"/>
      <c r="T31" s="2"/>
    </row>
    <row r="32" spans="1:20">
      <c r="A32" s="22">
        <v>41383</v>
      </c>
      <c r="B32" s="20" t="s">
        <v>3</v>
      </c>
      <c r="C32" s="30">
        <f t="shared" si="8"/>
        <v>41383</v>
      </c>
      <c r="D32" s="30"/>
      <c r="E32" s="55"/>
      <c r="F32" s="55"/>
      <c r="G32" s="55"/>
      <c r="H32" s="55"/>
      <c r="I32" s="2"/>
      <c r="J32" s="1064"/>
      <c r="K32" s="1064"/>
      <c r="L32" s="1064"/>
      <c r="M32" s="1064"/>
      <c r="N32" s="1064"/>
      <c r="O32" s="1064"/>
      <c r="P32" s="1064"/>
      <c r="Q32" s="53"/>
      <c r="R32" s="2"/>
      <c r="S32" s="2"/>
      <c r="T32" s="2"/>
    </row>
    <row r="33" spans="1:20">
      <c r="A33" s="22">
        <v>41418</v>
      </c>
      <c r="B33" s="20" t="s">
        <v>3</v>
      </c>
      <c r="C33" s="30">
        <f t="shared" si="8"/>
        <v>41418</v>
      </c>
      <c r="D33" s="30"/>
      <c r="E33" s="55"/>
      <c r="F33" s="55"/>
      <c r="G33" s="55"/>
      <c r="H33" s="55"/>
      <c r="I33" s="2"/>
      <c r="J33" s="1064"/>
      <c r="K33" s="1064"/>
      <c r="L33" s="1064"/>
      <c r="M33" s="1064"/>
      <c r="N33" s="1064"/>
      <c r="O33" s="1064"/>
      <c r="P33" s="1064"/>
      <c r="Q33" s="53"/>
      <c r="R33" s="2"/>
      <c r="S33" s="2"/>
      <c r="T33" s="2"/>
    </row>
    <row r="34" spans="1:20">
      <c r="A34" s="22">
        <v>41421</v>
      </c>
      <c r="B34" s="20" t="s">
        <v>8</v>
      </c>
      <c r="C34" s="30">
        <f t="shared" si="8"/>
        <v>41421</v>
      </c>
      <c r="D34" s="30"/>
      <c r="E34" s="55"/>
      <c r="F34" s="55"/>
      <c r="G34" s="55"/>
      <c r="H34" s="55"/>
      <c r="I34" s="2"/>
      <c r="J34" s="1064"/>
      <c r="K34" s="1064"/>
      <c r="L34" s="1064"/>
      <c r="M34" s="1064"/>
      <c r="N34" s="1064"/>
      <c r="O34" s="1064"/>
      <c r="P34" s="1064"/>
      <c r="Q34" s="53"/>
      <c r="R34" s="2"/>
      <c r="S34" s="2"/>
      <c r="T34" s="2"/>
    </row>
    <row r="35" spans="1:20">
      <c r="A35" s="22">
        <v>41459</v>
      </c>
      <c r="B35" s="20" t="s">
        <v>9</v>
      </c>
      <c r="C35" s="30">
        <f t="shared" si="8"/>
        <v>41459</v>
      </c>
      <c r="D35" s="30"/>
      <c r="E35" s="55"/>
      <c r="F35" s="55"/>
      <c r="G35" s="55"/>
      <c r="H35" s="55"/>
      <c r="I35" s="2"/>
      <c r="J35" s="1064"/>
      <c r="K35" s="1064"/>
      <c r="L35" s="1064"/>
      <c r="M35" s="1064"/>
      <c r="N35" s="1064"/>
      <c r="O35" s="1064"/>
      <c r="P35" s="1064"/>
      <c r="Q35" s="53"/>
      <c r="R35" s="2"/>
      <c r="S35" s="2"/>
      <c r="T35" s="2"/>
    </row>
    <row r="36" spans="1:20">
      <c r="A36" s="22">
        <v>41519</v>
      </c>
      <c r="B36" s="20" t="s">
        <v>10</v>
      </c>
      <c r="C36" s="30">
        <f t="shared" si="8"/>
        <v>41519</v>
      </c>
      <c r="D36" s="30"/>
      <c r="E36" s="55"/>
      <c r="F36" s="55"/>
      <c r="G36" s="55"/>
      <c r="H36" s="55"/>
      <c r="I36" s="2"/>
      <c r="J36" s="1064"/>
      <c r="K36" s="1064"/>
      <c r="L36" s="1064"/>
      <c r="M36" s="1064"/>
      <c r="N36" s="1064"/>
      <c r="O36" s="1064"/>
      <c r="P36" s="1064"/>
      <c r="Q36" s="53"/>
      <c r="R36" s="2"/>
      <c r="S36" s="2"/>
      <c r="T36" s="2"/>
    </row>
    <row r="37" spans="1:20">
      <c r="A37" s="22">
        <v>41589</v>
      </c>
      <c r="B37" s="20" t="s">
        <v>1</v>
      </c>
      <c r="C37" s="30">
        <f t="shared" si="8"/>
        <v>41589</v>
      </c>
      <c r="D37" s="30"/>
      <c r="E37" s="55"/>
      <c r="F37" s="55"/>
      <c r="G37" s="55"/>
      <c r="H37" s="55"/>
      <c r="I37" s="2"/>
      <c r="J37" s="1064"/>
      <c r="K37" s="1064"/>
      <c r="L37" s="1064"/>
      <c r="M37" s="1064"/>
      <c r="N37" s="1064"/>
      <c r="O37" s="1064"/>
      <c r="P37" s="1064"/>
      <c r="Q37" s="53"/>
      <c r="R37" s="2"/>
      <c r="S37" s="2"/>
      <c r="T37" s="2"/>
    </row>
    <row r="38" spans="1:20">
      <c r="A38" s="22">
        <v>41606</v>
      </c>
      <c r="B38" s="20" t="s">
        <v>2</v>
      </c>
      <c r="C38" s="30">
        <f t="shared" si="8"/>
        <v>41606</v>
      </c>
      <c r="D38" s="30"/>
      <c r="E38" s="55"/>
      <c r="F38" s="55"/>
      <c r="G38" s="55"/>
      <c r="H38" s="55"/>
      <c r="I38" s="2"/>
      <c r="J38" s="1064"/>
      <c r="K38" s="1064"/>
      <c r="L38" s="1064"/>
      <c r="M38" s="1064"/>
      <c r="N38" s="1064"/>
      <c r="O38" s="1064"/>
      <c r="P38" s="1064"/>
      <c r="Q38" s="53"/>
      <c r="R38" s="2"/>
      <c r="S38" s="2"/>
      <c r="T38" s="2"/>
    </row>
    <row r="39" spans="1:20">
      <c r="A39" s="22">
        <v>41633</v>
      </c>
      <c r="B39" s="20" t="s">
        <v>4</v>
      </c>
      <c r="C39" s="30">
        <f t="shared" si="8"/>
        <v>41633</v>
      </c>
      <c r="D39" s="30"/>
      <c r="E39" s="55"/>
      <c r="F39" s="55"/>
      <c r="G39" s="55"/>
      <c r="H39" s="55"/>
      <c r="I39" s="2"/>
      <c r="J39" s="1064"/>
      <c r="K39" s="1064"/>
      <c r="L39" s="1064"/>
      <c r="M39" s="1064"/>
      <c r="N39" s="1064"/>
      <c r="O39" s="1064"/>
      <c r="P39" s="1064"/>
      <c r="Q39" s="53"/>
      <c r="R39" s="2"/>
      <c r="S39" s="2"/>
      <c r="T39" s="2"/>
    </row>
    <row r="40" spans="1:20">
      <c r="A40" s="22">
        <v>41640</v>
      </c>
      <c r="B40" s="20" t="s">
        <v>5</v>
      </c>
      <c r="C40" s="30">
        <f t="shared" si="8"/>
        <v>41640</v>
      </c>
      <c r="D40" s="30"/>
      <c r="E40" s="55"/>
      <c r="F40" s="55"/>
      <c r="G40" s="55"/>
      <c r="H40" s="55"/>
      <c r="I40" s="2"/>
      <c r="J40" s="1064"/>
      <c r="K40" s="1064"/>
      <c r="L40" s="1064"/>
      <c r="M40" s="1064"/>
      <c r="N40" s="1064"/>
      <c r="O40" s="1064"/>
      <c r="P40" s="1064"/>
      <c r="Q40" s="53"/>
      <c r="R40" s="2"/>
      <c r="S40" s="2"/>
      <c r="T40" s="2"/>
    </row>
    <row r="41" spans="1:20">
      <c r="A41" s="22">
        <v>41659</v>
      </c>
      <c r="B41" s="20" t="s">
        <v>6</v>
      </c>
      <c r="C41" s="30">
        <f t="shared" si="8"/>
        <v>41659</v>
      </c>
      <c r="D41" s="30"/>
      <c r="E41" s="55"/>
      <c r="F41" s="55"/>
      <c r="G41" s="55"/>
      <c r="H41" s="55"/>
      <c r="I41" s="2"/>
      <c r="J41" s="1064"/>
      <c r="K41" s="1064"/>
      <c r="L41" s="1064"/>
      <c r="M41" s="1064"/>
      <c r="N41" s="1064"/>
      <c r="O41" s="1064"/>
      <c r="P41" s="1064"/>
      <c r="Q41" s="53"/>
      <c r="R41" s="2"/>
      <c r="S41" s="2"/>
      <c r="T41" s="2"/>
    </row>
    <row r="42" spans="1:20">
      <c r="A42" s="22">
        <v>41687</v>
      </c>
      <c r="B42" s="20" t="s">
        <v>7</v>
      </c>
      <c r="C42" s="30">
        <f t="shared" si="8"/>
        <v>41687</v>
      </c>
      <c r="D42" s="30"/>
      <c r="E42" s="55"/>
      <c r="F42" s="55"/>
      <c r="G42" s="55"/>
      <c r="H42" s="55"/>
      <c r="I42" s="2"/>
      <c r="J42" s="1064"/>
      <c r="K42" s="1064"/>
      <c r="L42" s="1064"/>
      <c r="M42" s="1064"/>
      <c r="N42" s="1064"/>
      <c r="O42" s="1064"/>
      <c r="P42" s="1064"/>
      <c r="Q42" s="53"/>
      <c r="R42" s="2"/>
      <c r="S42" s="2"/>
      <c r="T42" s="2"/>
    </row>
    <row r="43" spans="1:20">
      <c r="A43" s="22">
        <v>41785</v>
      </c>
      <c r="B43" s="20" t="s">
        <v>8</v>
      </c>
      <c r="C43" s="30">
        <f t="shared" si="8"/>
        <v>41785</v>
      </c>
      <c r="D43" s="30"/>
      <c r="E43" s="55"/>
      <c r="F43" s="55"/>
      <c r="G43" s="55"/>
      <c r="H43" s="55"/>
      <c r="I43" s="2"/>
      <c r="J43" s="1064"/>
      <c r="K43" s="1064"/>
      <c r="L43" s="1064"/>
      <c r="M43" s="1064"/>
      <c r="N43" s="1064"/>
      <c r="O43" s="1064"/>
      <c r="P43" s="1064"/>
      <c r="Q43" s="53"/>
      <c r="R43" s="2"/>
      <c r="S43" s="2"/>
      <c r="T43" s="2"/>
    </row>
    <row r="44" spans="1:20">
      <c r="A44" s="22">
        <v>41824</v>
      </c>
      <c r="B44" s="20" t="s">
        <v>9</v>
      </c>
      <c r="C44" s="30">
        <f t="shared" si="8"/>
        <v>41824</v>
      </c>
      <c r="D44" s="30"/>
      <c r="E44" s="55"/>
      <c r="F44" s="55"/>
      <c r="G44" s="55"/>
      <c r="H44" s="55"/>
      <c r="I44" s="2"/>
      <c r="J44" s="1064"/>
      <c r="K44" s="1064"/>
      <c r="L44" s="1064"/>
      <c r="M44" s="1064"/>
      <c r="N44" s="1064"/>
      <c r="O44" s="1064"/>
      <c r="P44" s="1064"/>
      <c r="Q44" s="53"/>
      <c r="R44" s="2"/>
      <c r="S44" s="2"/>
      <c r="T44" s="2"/>
    </row>
    <row r="45" spans="1:20">
      <c r="A45" s="22">
        <v>41884</v>
      </c>
      <c r="B45" s="20" t="s">
        <v>10</v>
      </c>
      <c r="C45" s="30">
        <f t="shared" si="8"/>
        <v>41884</v>
      </c>
      <c r="D45" s="30"/>
      <c r="E45" s="55"/>
      <c r="F45" s="55"/>
      <c r="G45" s="55"/>
      <c r="H45" s="55"/>
      <c r="I45" s="2"/>
      <c r="J45" s="1064"/>
      <c r="K45" s="1064"/>
      <c r="L45" s="1064"/>
      <c r="M45" s="1064"/>
      <c r="N45" s="1064"/>
      <c r="O45" s="1064"/>
      <c r="P45" s="1064"/>
      <c r="Q45" s="53"/>
      <c r="R45" s="2"/>
      <c r="S45" s="2"/>
      <c r="T45" s="2"/>
    </row>
    <row r="46" spans="1:20">
      <c r="A46" s="22">
        <v>41954</v>
      </c>
      <c r="B46" s="20" t="s">
        <v>1</v>
      </c>
      <c r="C46" s="30">
        <f t="shared" si="8"/>
        <v>41954</v>
      </c>
      <c r="D46" s="30"/>
      <c r="E46" s="55"/>
      <c r="F46" s="55"/>
      <c r="G46" s="55"/>
      <c r="H46" s="55"/>
      <c r="I46" s="2"/>
      <c r="J46" s="1064"/>
      <c r="K46" s="1064"/>
      <c r="L46" s="1064"/>
      <c r="M46" s="1064"/>
      <c r="N46" s="1064"/>
      <c r="O46" s="1064"/>
      <c r="P46" s="1064"/>
      <c r="Q46" s="53"/>
      <c r="R46" s="2"/>
      <c r="S46" s="2"/>
      <c r="T46" s="2"/>
    </row>
    <row r="47" spans="1:20">
      <c r="A47" s="22">
        <v>41970</v>
      </c>
      <c r="B47" s="20" t="s">
        <v>2</v>
      </c>
      <c r="C47" s="30">
        <f t="shared" si="8"/>
        <v>41970</v>
      </c>
      <c r="D47" s="30"/>
      <c r="E47" s="55"/>
      <c r="F47" s="55"/>
      <c r="G47" s="55"/>
      <c r="H47" s="55"/>
      <c r="I47" s="2"/>
      <c r="J47" s="1064"/>
      <c r="K47" s="1064"/>
      <c r="L47" s="1064"/>
      <c r="M47" s="1064"/>
      <c r="N47" s="1064"/>
      <c r="O47" s="1064"/>
      <c r="P47" s="1064"/>
      <c r="Q47" s="53"/>
      <c r="R47" s="2"/>
      <c r="S47" s="2"/>
      <c r="T47" s="2"/>
    </row>
    <row r="48" spans="1:20">
      <c r="A48" s="22">
        <v>41998</v>
      </c>
      <c r="B48" s="20" t="s">
        <v>4</v>
      </c>
      <c r="C48" s="30">
        <f t="shared" si="8"/>
        <v>41998</v>
      </c>
      <c r="D48" s="30"/>
      <c r="E48" s="55"/>
      <c r="F48" s="55"/>
      <c r="G48" s="55"/>
      <c r="H48" s="55"/>
      <c r="I48" s="2"/>
      <c r="J48" s="1064"/>
      <c r="K48" s="1064"/>
      <c r="L48" s="1064"/>
      <c r="M48" s="1064"/>
      <c r="N48" s="1064"/>
      <c r="O48" s="1064"/>
      <c r="P48" s="1064"/>
      <c r="Q48" s="53"/>
      <c r="R48" s="2"/>
      <c r="S48" s="2"/>
      <c r="T48" s="2"/>
    </row>
    <row r="49" spans="1:20">
      <c r="A49" s="22">
        <v>42005</v>
      </c>
      <c r="B49" s="20" t="s">
        <v>5</v>
      </c>
      <c r="C49" s="30">
        <f t="shared" si="8"/>
        <v>42005</v>
      </c>
      <c r="D49" s="30"/>
      <c r="E49" s="55"/>
      <c r="F49" s="55"/>
      <c r="G49" s="55"/>
      <c r="H49" s="55"/>
      <c r="I49" s="2"/>
      <c r="J49" s="1064"/>
      <c r="K49" s="1064"/>
      <c r="L49" s="1064"/>
      <c r="M49" s="1064"/>
      <c r="N49" s="1064"/>
      <c r="O49" s="1064"/>
      <c r="P49" s="1064"/>
      <c r="Q49" s="53"/>
      <c r="R49" s="2"/>
      <c r="S49" s="2"/>
      <c r="T49" s="2"/>
    </row>
    <row r="50" spans="1:20">
      <c r="A50" s="22">
        <v>42023</v>
      </c>
      <c r="B50" s="20" t="s">
        <v>6</v>
      </c>
      <c r="C50" s="30">
        <f t="shared" si="8"/>
        <v>42023</v>
      </c>
      <c r="D50" s="30"/>
      <c r="E50" s="55"/>
      <c r="F50" s="55"/>
      <c r="G50" s="55"/>
      <c r="H50" s="55"/>
      <c r="I50" s="2"/>
      <c r="J50" s="1064"/>
      <c r="K50" s="1064"/>
      <c r="L50" s="1064"/>
      <c r="M50" s="1064"/>
      <c r="N50" s="1064"/>
      <c r="O50" s="1064"/>
      <c r="P50" s="1064"/>
      <c r="Q50" s="53"/>
      <c r="R50" s="2"/>
      <c r="S50" s="2"/>
      <c r="T50" s="2"/>
    </row>
    <row r="51" spans="1:20">
      <c r="A51" s="22">
        <v>42051</v>
      </c>
      <c r="B51" s="20" t="s">
        <v>7</v>
      </c>
      <c r="C51" s="30">
        <f t="shared" si="8"/>
        <v>42051</v>
      </c>
      <c r="D51" s="30"/>
      <c r="E51" s="55"/>
      <c r="F51" s="55"/>
      <c r="G51" s="55"/>
      <c r="H51" s="55"/>
      <c r="I51" s="2"/>
      <c r="J51" s="1064"/>
      <c r="K51" s="1064"/>
      <c r="L51" s="1064"/>
      <c r="M51" s="1064"/>
      <c r="N51" s="1064"/>
      <c r="O51" s="1064"/>
      <c r="P51" s="1064"/>
      <c r="Q51" s="53"/>
      <c r="R51" s="2"/>
      <c r="S51" s="2"/>
      <c r="T51" s="2"/>
    </row>
    <row r="52" spans="1:20">
      <c r="A52" s="22">
        <v>42149</v>
      </c>
      <c r="B52" s="20" t="s">
        <v>8</v>
      </c>
      <c r="C52" s="30">
        <f t="shared" si="8"/>
        <v>42149</v>
      </c>
      <c r="D52" s="30"/>
      <c r="E52" s="55"/>
      <c r="F52" s="55"/>
      <c r="G52" s="55"/>
      <c r="H52" s="55"/>
      <c r="I52" s="2"/>
      <c r="J52" s="1064"/>
      <c r="K52" s="1064"/>
      <c r="L52" s="1064"/>
      <c r="M52" s="1064"/>
      <c r="N52" s="1064"/>
      <c r="O52" s="1064"/>
      <c r="P52" s="1064"/>
      <c r="Q52" s="53"/>
      <c r="R52" s="2"/>
      <c r="S52" s="2"/>
      <c r="T52" s="2"/>
    </row>
    <row r="53" spans="1:20">
      <c r="A53" s="22">
        <v>42188</v>
      </c>
      <c r="B53" s="20" t="s">
        <v>9</v>
      </c>
      <c r="C53" s="30">
        <f t="shared" si="8"/>
        <v>42188</v>
      </c>
      <c r="D53" s="30"/>
      <c r="E53" s="55"/>
      <c r="F53" s="55"/>
      <c r="G53" s="55"/>
      <c r="H53" s="55"/>
      <c r="I53" s="2"/>
      <c r="J53" s="1064"/>
      <c r="K53" s="1064"/>
      <c r="L53" s="1064"/>
      <c r="M53" s="1064"/>
      <c r="N53" s="1064"/>
      <c r="O53" s="1064"/>
      <c r="P53" s="1064"/>
      <c r="Q53" s="53"/>
      <c r="R53" s="2"/>
      <c r="S53" s="2"/>
      <c r="T53" s="2"/>
    </row>
    <row r="54" spans="1:20">
      <c r="A54" s="22">
        <v>42254</v>
      </c>
      <c r="B54" s="20" t="s">
        <v>10</v>
      </c>
      <c r="C54" s="30">
        <f t="shared" si="8"/>
        <v>42254</v>
      </c>
      <c r="D54" s="30"/>
      <c r="E54" s="55"/>
      <c r="F54" s="55"/>
      <c r="G54" s="55"/>
      <c r="H54" s="55"/>
      <c r="I54" s="2"/>
      <c r="J54" s="1064"/>
      <c r="K54" s="1064"/>
      <c r="L54" s="1064"/>
      <c r="M54" s="1064"/>
      <c r="N54" s="1064"/>
      <c r="O54" s="1064"/>
      <c r="P54" s="1064"/>
      <c r="Q54" s="53"/>
      <c r="R54" s="2"/>
      <c r="S54" s="2"/>
      <c r="T54" s="2"/>
    </row>
    <row r="55" spans="1:20">
      <c r="A55" s="22">
        <v>42319</v>
      </c>
      <c r="B55" s="20" t="s">
        <v>1</v>
      </c>
      <c r="C55" s="30">
        <f t="shared" si="8"/>
        <v>42319</v>
      </c>
      <c r="D55" s="30"/>
      <c r="E55" s="55"/>
      <c r="F55" s="55"/>
      <c r="G55" s="55"/>
      <c r="H55" s="55"/>
      <c r="I55" s="2"/>
      <c r="J55" s="1064"/>
      <c r="K55" s="1064"/>
      <c r="L55" s="1064"/>
      <c r="M55" s="1064"/>
      <c r="N55" s="1064"/>
      <c r="O55" s="1064"/>
      <c r="P55" s="1064"/>
      <c r="Q55" s="53"/>
      <c r="R55" s="2"/>
      <c r="S55" s="2"/>
      <c r="T55" s="2"/>
    </row>
    <row r="56" spans="1:20">
      <c r="A56" s="22">
        <v>42334</v>
      </c>
      <c r="B56" s="20" t="s">
        <v>2</v>
      </c>
      <c r="C56" s="30">
        <f t="shared" si="8"/>
        <v>42334</v>
      </c>
      <c r="D56" s="30"/>
      <c r="E56" s="55"/>
      <c r="F56" s="55"/>
      <c r="G56" s="55"/>
      <c r="H56" s="55"/>
      <c r="I56" s="2"/>
      <c r="J56" s="1064"/>
      <c r="K56" s="1064"/>
      <c r="L56" s="1064"/>
      <c r="M56" s="1064"/>
      <c r="N56" s="1064"/>
      <c r="O56" s="1064"/>
      <c r="P56" s="1064"/>
      <c r="Q56" s="53"/>
      <c r="R56" s="2"/>
      <c r="S56" s="2"/>
      <c r="T56" s="2"/>
    </row>
    <row r="57" spans="1:20">
      <c r="A57" s="22">
        <v>42363</v>
      </c>
      <c r="B57" s="20" t="s">
        <v>4</v>
      </c>
      <c r="C57" s="30">
        <f t="shared" si="8"/>
        <v>42363</v>
      </c>
      <c r="D57" s="30"/>
      <c r="E57" s="55"/>
      <c r="F57" s="55"/>
      <c r="G57" s="55"/>
      <c r="H57" s="55"/>
      <c r="I57" s="2"/>
      <c r="J57" s="1064"/>
      <c r="K57" s="1064"/>
      <c r="L57" s="1064"/>
      <c r="M57" s="1064"/>
      <c r="N57" s="1064"/>
      <c r="O57" s="1064"/>
      <c r="P57" s="1064"/>
      <c r="Q57" s="53"/>
      <c r="R57" s="2"/>
      <c r="S57" s="2"/>
      <c r="T57" s="2"/>
    </row>
    <row r="58" spans="1:20">
      <c r="A58" s="22">
        <v>42370</v>
      </c>
      <c r="B58" s="20" t="s">
        <v>5</v>
      </c>
      <c r="C58" s="30">
        <f t="shared" ref="C58:C66" si="9">A58</f>
        <v>42370</v>
      </c>
      <c r="D58" s="30"/>
      <c r="E58" s="55"/>
      <c r="F58" s="55"/>
      <c r="G58" s="55"/>
      <c r="H58" s="55"/>
      <c r="I58" s="2"/>
      <c r="J58" s="1064"/>
      <c r="K58" s="1064"/>
      <c r="L58" s="1064"/>
      <c r="M58" s="1064"/>
      <c r="N58" s="1064"/>
      <c r="O58" s="1064"/>
      <c r="P58" s="1064"/>
      <c r="Q58" s="53"/>
      <c r="R58" s="2"/>
      <c r="S58" s="2"/>
      <c r="T58" s="2"/>
    </row>
    <row r="59" spans="1:20">
      <c r="A59" s="22">
        <v>42387</v>
      </c>
      <c r="B59" s="20" t="s">
        <v>6</v>
      </c>
      <c r="C59" s="30">
        <f t="shared" si="9"/>
        <v>42387</v>
      </c>
      <c r="D59" s="30"/>
      <c r="E59" s="55"/>
      <c r="F59" s="55"/>
      <c r="G59" s="55"/>
      <c r="H59" s="55"/>
      <c r="I59" s="2"/>
      <c r="J59" s="1064"/>
      <c r="K59" s="1064"/>
      <c r="L59" s="1064"/>
      <c r="M59" s="1064"/>
      <c r="N59" s="1064"/>
      <c r="O59" s="1064"/>
      <c r="P59" s="1064"/>
      <c r="Q59" s="53"/>
      <c r="R59" s="2"/>
      <c r="S59" s="2"/>
      <c r="T59" s="2"/>
    </row>
    <row r="60" spans="1:20">
      <c r="A60" s="22">
        <v>42415</v>
      </c>
      <c r="B60" s="20" t="s">
        <v>7</v>
      </c>
      <c r="C60" s="30">
        <f t="shared" si="9"/>
        <v>42415</v>
      </c>
      <c r="D60" s="30"/>
      <c r="E60" s="55"/>
      <c r="F60" s="55"/>
      <c r="G60" s="55"/>
      <c r="H60" s="55"/>
      <c r="I60" s="2"/>
      <c r="J60" s="1064"/>
      <c r="K60" s="1064"/>
      <c r="L60" s="1064"/>
      <c r="M60" s="1064"/>
      <c r="N60" s="1064"/>
      <c r="O60" s="1064"/>
      <c r="P60" s="1064"/>
      <c r="Q60" s="53"/>
      <c r="R60" s="2"/>
      <c r="S60" s="2"/>
      <c r="T60" s="2"/>
    </row>
    <row r="61" spans="1:20">
      <c r="A61" s="22">
        <v>42520</v>
      </c>
      <c r="B61" s="20" t="s">
        <v>8</v>
      </c>
      <c r="C61" s="30">
        <f t="shared" si="9"/>
        <v>42520</v>
      </c>
      <c r="D61" s="30"/>
      <c r="E61" s="55"/>
      <c r="F61" s="55"/>
      <c r="G61" s="55"/>
      <c r="H61" s="55"/>
      <c r="I61" s="2"/>
      <c r="J61" s="1064"/>
      <c r="K61" s="1064"/>
      <c r="L61" s="1064"/>
      <c r="M61" s="1064"/>
      <c r="N61" s="1064"/>
      <c r="O61" s="1064"/>
      <c r="P61" s="1064"/>
      <c r="Q61" s="53"/>
      <c r="R61" s="2"/>
      <c r="S61" s="2"/>
      <c r="T61" s="2"/>
    </row>
    <row r="62" spans="1:20">
      <c r="A62" s="22">
        <v>42555</v>
      </c>
      <c r="B62" s="20" t="s">
        <v>9</v>
      </c>
      <c r="C62" s="30">
        <f t="shared" si="9"/>
        <v>42555</v>
      </c>
      <c r="D62" s="30"/>
      <c r="E62" s="55"/>
      <c r="F62" s="55"/>
      <c r="G62" s="55"/>
      <c r="H62" s="55"/>
      <c r="I62" s="2"/>
      <c r="J62" s="1064"/>
      <c r="K62" s="1064"/>
      <c r="L62" s="1064"/>
      <c r="M62" s="1064"/>
      <c r="N62" s="1064"/>
      <c r="O62" s="1064"/>
      <c r="P62" s="1064"/>
      <c r="Q62" s="53"/>
      <c r="R62" s="2"/>
      <c r="S62" s="2"/>
      <c r="T62" s="2"/>
    </row>
    <row r="63" spans="1:20">
      <c r="A63" s="22">
        <v>42618</v>
      </c>
      <c r="B63" s="20" t="s">
        <v>10</v>
      </c>
      <c r="C63" s="30">
        <f t="shared" si="9"/>
        <v>42618</v>
      </c>
      <c r="D63" s="30"/>
      <c r="E63" s="55"/>
      <c r="F63" s="55"/>
      <c r="G63" s="55"/>
      <c r="H63" s="55"/>
      <c r="I63" s="2"/>
      <c r="J63" s="1064"/>
      <c r="K63" s="1064"/>
      <c r="L63" s="1064"/>
      <c r="M63" s="1064"/>
      <c r="N63" s="1064"/>
      <c r="O63" s="1064"/>
      <c r="P63" s="1064"/>
      <c r="Q63" s="53"/>
      <c r="R63" s="2"/>
      <c r="S63" s="2"/>
      <c r="T63" s="2"/>
    </row>
    <row r="64" spans="1:20">
      <c r="A64" s="22">
        <v>42685</v>
      </c>
      <c r="B64" s="20" t="s">
        <v>1</v>
      </c>
      <c r="C64" s="30">
        <f t="shared" si="9"/>
        <v>42685</v>
      </c>
      <c r="D64" s="30"/>
      <c r="E64" s="55"/>
      <c r="F64" s="55"/>
      <c r="G64" s="55"/>
      <c r="H64" s="55"/>
      <c r="I64" s="2"/>
      <c r="J64" s="1064"/>
      <c r="K64" s="1064"/>
      <c r="L64" s="1064"/>
      <c r="M64" s="1064"/>
      <c r="N64" s="1064"/>
      <c r="O64" s="1064"/>
      <c r="P64" s="1064"/>
      <c r="Q64" s="53"/>
      <c r="R64" s="2"/>
      <c r="S64" s="2"/>
      <c r="T64" s="2"/>
    </row>
    <row r="65" spans="1:20">
      <c r="A65" s="22">
        <v>42698</v>
      </c>
      <c r="B65" s="20" t="s">
        <v>2</v>
      </c>
      <c r="C65" s="30">
        <f t="shared" si="9"/>
        <v>42698</v>
      </c>
      <c r="D65" s="30"/>
      <c r="E65" s="55"/>
      <c r="F65" s="55"/>
      <c r="G65" s="55"/>
      <c r="H65" s="55"/>
      <c r="I65" s="2"/>
      <c r="J65" s="1064"/>
      <c r="K65" s="1064"/>
      <c r="L65" s="1064"/>
      <c r="M65" s="1064"/>
      <c r="N65" s="1064"/>
      <c r="O65" s="1064"/>
      <c r="P65" s="1064"/>
      <c r="Q65" s="53"/>
      <c r="R65" s="2"/>
      <c r="S65" s="2"/>
      <c r="T65" s="2"/>
    </row>
    <row r="66" spans="1:20">
      <c r="A66" s="22">
        <v>42730</v>
      </c>
      <c r="B66" s="20" t="s">
        <v>4</v>
      </c>
      <c r="C66" s="30">
        <f t="shared" si="9"/>
        <v>42730</v>
      </c>
      <c r="D66" s="30"/>
      <c r="E66" s="55"/>
      <c r="F66" s="55"/>
      <c r="G66" s="55"/>
      <c r="H66" s="55"/>
      <c r="I66" s="2"/>
      <c r="J66" s="1064"/>
      <c r="K66" s="1064"/>
      <c r="L66" s="1064"/>
      <c r="M66" s="1064"/>
      <c r="N66" s="1064"/>
      <c r="O66" s="1064"/>
      <c r="P66" s="1064"/>
      <c r="Q66" s="53"/>
      <c r="R66" s="2"/>
      <c r="S66" s="2"/>
      <c r="T66" s="2"/>
    </row>
    <row r="67" spans="1:20">
      <c r="A67" s="22">
        <v>42737</v>
      </c>
      <c r="B67" s="20" t="s">
        <v>5</v>
      </c>
      <c r="C67" s="30">
        <f t="shared" ref="C67:C75" si="10">A67</f>
        <v>42737</v>
      </c>
      <c r="D67" s="30"/>
      <c r="E67" s="55"/>
      <c r="F67" s="55"/>
      <c r="G67" s="55"/>
      <c r="H67" s="55"/>
      <c r="I67" s="2"/>
      <c r="J67" s="1064"/>
      <c r="K67" s="1064"/>
      <c r="L67" s="1064"/>
      <c r="M67" s="1064"/>
      <c r="N67" s="1064"/>
      <c r="O67" s="1064"/>
      <c r="P67" s="1064"/>
      <c r="Q67" s="53"/>
      <c r="R67" s="2"/>
      <c r="S67" s="2"/>
      <c r="T67" s="2"/>
    </row>
    <row r="68" spans="1:20">
      <c r="A68" s="22">
        <v>42751</v>
      </c>
      <c r="B68" s="20" t="s">
        <v>6</v>
      </c>
      <c r="C68" s="30">
        <f t="shared" si="10"/>
        <v>42751</v>
      </c>
      <c r="D68" s="30"/>
      <c r="E68" s="55"/>
      <c r="F68" s="55"/>
      <c r="G68" s="55"/>
      <c r="H68" s="55"/>
      <c r="I68" s="2"/>
      <c r="J68" s="1064"/>
      <c r="K68" s="1064"/>
      <c r="L68" s="1064"/>
      <c r="M68" s="1064"/>
      <c r="N68" s="1064"/>
      <c r="O68" s="1064"/>
      <c r="P68" s="1064"/>
      <c r="Q68" s="53"/>
      <c r="R68" s="2"/>
      <c r="S68" s="2"/>
      <c r="T68" s="2"/>
    </row>
    <row r="69" spans="1:20">
      <c r="A69" s="22">
        <v>42786</v>
      </c>
      <c r="B69" s="20" t="s">
        <v>7</v>
      </c>
      <c r="C69" s="30">
        <f t="shared" si="10"/>
        <v>42786</v>
      </c>
      <c r="D69" s="30"/>
      <c r="E69" s="55"/>
      <c r="F69" s="55"/>
      <c r="G69" s="55"/>
      <c r="H69" s="55"/>
      <c r="I69" s="2"/>
      <c r="J69" s="1064"/>
      <c r="K69" s="1064"/>
      <c r="L69" s="1064"/>
      <c r="M69" s="1064"/>
      <c r="N69" s="1064"/>
      <c r="O69" s="1064"/>
      <c r="P69" s="1064"/>
      <c r="Q69" s="53"/>
      <c r="R69" s="2"/>
      <c r="S69" s="2"/>
      <c r="T69" s="2"/>
    </row>
    <row r="70" spans="1:20">
      <c r="A70" s="22">
        <v>42884</v>
      </c>
      <c r="B70" s="20" t="s">
        <v>8</v>
      </c>
      <c r="C70" s="30">
        <f t="shared" si="10"/>
        <v>42884</v>
      </c>
      <c r="D70" s="30"/>
      <c r="E70" s="55"/>
      <c r="F70" s="55"/>
      <c r="G70" s="55"/>
      <c r="H70" s="55"/>
      <c r="I70" s="2"/>
      <c r="J70" s="1064"/>
      <c r="K70" s="1064"/>
      <c r="L70" s="1064"/>
      <c r="M70" s="1064"/>
      <c r="N70" s="1064"/>
      <c r="O70" s="1064"/>
      <c r="P70" s="1064"/>
      <c r="Q70" s="53"/>
      <c r="R70" s="2"/>
      <c r="S70" s="2"/>
      <c r="T70" s="2"/>
    </row>
    <row r="71" spans="1:20">
      <c r="A71" s="22">
        <v>42920</v>
      </c>
      <c r="B71" s="20" t="s">
        <v>9</v>
      </c>
      <c r="C71" s="30">
        <f t="shared" si="10"/>
        <v>42920</v>
      </c>
      <c r="D71" s="30"/>
      <c r="E71" s="55"/>
      <c r="F71" s="55"/>
      <c r="G71" s="55"/>
      <c r="H71" s="55"/>
      <c r="I71" s="2"/>
      <c r="J71" s="1064"/>
      <c r="K71" s="1064"/>
      <c r="L71" s="1064"/>
      <c r="M71" s="1064"/>
      <c r="N71" s="1064"/>
      <c r="O71" s="1064"/>
      <c r="P71" s="1064"/>
      <c r="Q71" s="53"/>
      <c r="R71" s="2"/>
      <c r="S71" s="2"/>
      <c r="T71" s="2"/>
    </row>
    <row r="72" spans="1:20">
      <c r="A72" s="22">
        <v>42982</v>
      </c>
      <c r="B72" s="20" t="s">
        <v>10</v>
      </c>
      <c r="C72" s="30">
        <f t="shared" si="10"/>
        <v>42982</v>
      </c>
      <c r="D72" s="30"/>
      <c r="E72" s="55"/>
      <c r="F72" s="55"/>
      <c r="G72" s="55"/>
      <c r="H72" s="55"/>
      <c r="I72" s="2"/>
      <c r="J72" s="1064"/>
      <c r="K72" s="1064"/>
      <c r="L72" s="1064"/>
      <c r="M72" s="1064"/>
      <c r="N72" s="1064"/>
      <c r="O72" s="1064"/>
      <c r="P72" s="1064"/>
      <c r="Q72" s="53"/>
      <c r="R72" s="2"/>
      <c r="S72" s="2"/>
      <c r="T72" s="2"/>
    </row>
    <row r="73" spans="1:20">
      <c r="A73" s="22">
        <v>43049</v>
      </c>
      <c r="B73" s="20" t="s">
        <v>1</v>
      </c>
      <c r="C73" s="30">
        <f t="shared" si="10"/>
        <v>43049</v>
      </c>
      <c r="D73" s="30"/>
      <c r="E73" s="55"/>
      <c r="F73" s="55"/>
      <c r="G73" s="55"/>
      <c r="H73" s="55"/>
      <c r="I73" s="2"/>
      <c r="J73" s="1064"/>
      <c r="K73" s="1064"/>
      <c r="L73" s="1064"/>
      <c r="M73" s="1064"/>
      <c r="N73" s="1064"/>
      <c r="O73" s="1064"/>
      <c r="P73" s="1064"/>
      <c r="Q73" s="53"/>
      <c r="R73" s="2"/>
      <c r="S73" s="2"/>
      <c r="T73" s="2"/>
    </row>
    <row r="74" spans="1:20">
      <c r="A74" s="22">
        <v>43062</v>
      </c>
      <c r="B74" s="20" t="s">
        <v>2</v>
      </c>
      <c r="C74" s="30">
        <f t="shared" si="10"/>
        <v>43062</v>
      </c>
      <c r="D74" s="30"/>
      <c r="E74" s="55"/>
      <c r="F74" s="55"/>
      <c r="G74" s="55"/>
      <c r="H74" s="55"/>
      <c r="I74" s="2"/>
      <c r="J74" s="1064"/>
      <c r="K74" s="1064"/>
      <c r="L74" s="1064"/>
      <c r="M74" s="1064"/>
      <c r="N74" s="1064"/>
      <c r="O74" s="1064"/>
      <c r="P74" s="1064"/>
      <c r="Q74" s="53"/>
      <c r="R74" s="2"/>
      <c r="S74" s="2"/>
      <c r="T74" s="2"/>
    </row>
    <row r="75" spans="1:20">
      <c r="A75" s="22">
        <v>43094</v>
      </c>
      <c r="B75" s="20" t="s">
        <v>4</v>
      </c>
      <c r="C75" s="30">
        <f t="shared" si="10"/>
        <v>43094</v>
      </c>
      <c r="D75" s="30"/>
      <c r="E75" s="55"/>
      <c r="F75" s="55"/>
      <c r="G75" s="55"/>
      <c r="H75" s="55"/>
      <c r="I75" s="2"/>
      <c r="J75" s="1064"/>
      <c r="K75" s="1064"/>
      <c r="L75" s="1064"/>
      <c r="M75" s="1064"/>
      <c r="N75" s="1064"/>
      <c r="O75" s="1064"/>
      <c r="P75" s="1064"/>
      <c r="Q75" s="53"/>
      <c r="R75" s="2"/>
      <c r="S75" s="2"/>
      <c r="T75" s="2"/>
    </row>
    <row r="76" spans="1:20">
      <c r="A76" s="22">
        <v>43101</v>
      </c>
      <c r="B76" s="20" t="s">
        <v>5</v>
      </c>
      <c r="C76" s="30">
        <f t="shared" si="8"/>
        <v>43101</v>
      </c>
      <c r="D76" s="30"/>
      <c r="E76" s="55"/>
      <c r="F76" s="55"/>
      <c r="G76" s="55"/>
      <c r="H76" s="55"/>
      <c r="I76" s="2"/>
      <c r="J76" s="1064"/>
      <c r="K76" s="1064"/>
      <c r="L76" s="1064"/>
      <c r="M76" s="1064"/>
      <c r="N76" s="1064"/>
      <c r="O76" s="1064"/>
      <c r="P76" s="1064"/>
      <c r="Q76" s="53"/>
      <c r="R76" s="2"/>
      <c r="S76" s="2"/>
      <c r="T76" s="2"/>
    </row>
    <row r="77" spans="1:20">
      <c r="A77" s="18" t="s">
        <v>17</v>
      </c>
      <c r="B77" s="19"/>
      <c r="C77" s="7"/>
      <c r="D77" s="7"/>
      <c r="E77" s="56"/>
      <c r="F77" s="56"/>
      <c r="G77" s="56"/>
      <c r="H77" s="56"/>
      <c r="I77" s="2"/>
      <c r="J77" s="1064"/>
      <c r="K77" s="1064"/>
      <c r="L77" s="1064"/>
      <c r="M77" s="1064"/>
      <c r="N77" s="1064"/>
      <c r="O77" s="1064"/>
      <c r="P77" s="1064"/>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597</v>
      </c>
      <c r="C193" s="21" t="s">
        <v>776</v>
      </c>
      <c r="D193" s="15"/>
      <c r="E193" s="56"/>
      <c r="F193" s="56"/>
      <c r="G193" s="56"/>
      <c r="H193" s="56"/>
      <c r="I193" s="56"/>
      <c r="J193" s="2"/>
      <c r="K193" s="2"/>
      <c r="L193" s="15"/>
      <c r="M193" s="15"/>
      <c r="N193" s="2"/>
      <c r="O193" s="2"/>
      <c r="P193" s="53"/>
      <c r="Q193" s="53"/>
      <c r="R193" s="2"/>
      <c r="S193" s="2"/>
      <c r="T193" s="2"/>
    </row>
    <row r="194" spans="1:20">
      <c r="A194" s="726" t="s">
        <v>0</v>
      </c>
      <c r="B194" s="756" t="s">
        <v>599</v>
      </c>
      <c r="C194" s="7"/>
      <c r="D194" s="7"/>
      <c r="E194" s="56"/>
      <c r="F194" s="56"/>
      <c r="G194" s="56"/>
      <c r="H194" s="56"/>
      <c r="I194" s="56"/>
      <c r="J194" s="2"/>
      <c r="K194" s="2"/>
      <c r="L194" s="7"/>
      <c r="M194" s="7"/>
      <c r="N194" s="2"/>
      <c r="O194" s="2"/>
      <c r="P194" s="53"/>
      <c r="Q194" s="53"/>
      <c r="R194" s="2"/>
      <c r="S194" s="2"/>
      <c r="T194" s="2"/>
    </row>
    <row r="195" spans="1:20">
      <c r="A195" s="14"/>
      <c r="B195" s="756" t="s">
        <v>600</v>
      </c>
      <c r="C195" s="15"/>
      <c r="D195" s="15"/>
      <c r="E195" s="56"/>
      <c r="F195" s="56"/>
      <c r="G195" s="56"/>
      <c r="H195" s="56"/>
      <c r="I195" s="56"/>
      <c r="J195" s="2"/>
      <c r="K195" s="2"/>
      <c r="L195" s="15"/>
      <c r="M195" s="15"/>
      <c r="N195" s="2"/>
      <c r="O195" s="2"/>
      <c r="P195" s="53"/>
      <c r="Q195" s="53"/>
      <c r="R195" s="2"/>
      <c r="S195" s="2"/>
      <c r="T195" s="2"/>
    </row>
    <row r="196" spans="1:20">
      <c r="A196" s="3"/>
      <c r="B196" s="756" t="s">
        <v>601</v>
      </c>
      <c r="C196" s="2"/>
      <c r="D196" s="2"/>
      <c r="E196" s="56"/>
      <c r="F196" s="56"/>
      <c r="G196" s="56"/>
      <c r="H196" s="56"/>
      <c r="I196" s="56"/>
      <c r="J196" s="2"/>
      <c r="K196" s="2"/>
      <c r="L196" s="2"/>
      <c r="M196" s="2"/>
      <c r="N196" s="2"/>
      <c r="O196" s="2"/>
      <c r="P196" s="53"/>
      <c r="Q196" s="53"/>
      <c r="R196" s="2"/>
      <c r="S196" s="2"/>
      <c r="T196" s="2"/>
    </row>
    <row r="197" spans="1:20">
      <c r="A197" s="3"/>
      <c r="B197" s="756" t="s">
        <v>602</v>
      </c>
      <c r="C197" s="2"/>
      <c r="D197" s="2"/>
      <c r="E197" s="56"/>
      <c r="F197" s="56"/>
      <c r="G197" s="56"/>
      <c r="H197" s="56"/>
      <c r="I197" s="56"/>
      <c r="J197" s="2"/>
      <c r="K197" s="2"/>
      <c r="L197" s="2"/>
      <c r="M197" s="2"/>
      <c r="N197" s="2"/>
      <c r="O197" s="2"/>
      <c r="P197" s="53"/>
      <c r="Q197" s="53"/>
      <c r="R197" s="2"/>
      <c r="S197" s="2"/>
      <c r="T197" s="2"/>
    </row>
    <row r="198" spans="1:20">
      <c r="A198" s="3"/>
      <c r="B198" s="756" t="s">
        <v>598</v>
      </c>
      <c r="C198" s="2"/>
      <c r="D198" s="2"/>
      <c r="E198" s="56"/>
      <c r="F198" s="56"/>
      <c r="G198" s="56"/>
      <c r="H198" s="56"/>
      <c r="I198" s="56"/>
      <c r="J198" s="2"/>
      <c r="K198" s="2"/>
      <c r="L198" s="2"/>
      <c r="M198" s="2"/>
      <c r="N198" s="2"/>
      <c r="O198" s="2"/>
      <c r="P198" s="53"/>
      <c r="Q198" s="53"/>
      <c r="R198" s="2"/>
      <c r="S198" s="2"/>
      <c r="T198" s="2"/>
    </row>
    <row r="199" spans="1:20">
      <c r="A199" s="3"/>
      <c r="B199" s="756" t="s">
        <v>603</v>
      </c>
      <c r="C199" s="2"/>
      <c r="D199" s="2"/>
      <c r="E199" s="56"/>
      <c r="F199" s="56"/>
      <c r="G199" s="56"/>
      <c r="H199" s="56"/>
      <c r="I199" s="56"/>
      <c r="J199" s="2"/>
      <c r="K199" s="2"/>
      <c r="L199" s="2"/>
      <c r="M199" s="2"/>
      <c r="N199" s="2"/>
      <c r="O199" s="2"/>
      <c r="P199" s="53"/>
      <c r="Q199" s="53"/>
      <c r="R199" s="2"/>
      <c r="S199" s="2"/>
      <c r="T199" s="2"/>
    </row>
    <row r="200" spans="1:20">
      <c r="A200" s="3"/>
      <c r="B200" s="755" t="s">
        <v>604</v>
      </c>
      <c r="C200" s="2"/>
      <c r="D200" s="2"/>
      <c r="E200" s="56"/>
      <c r="F200" s="56"/>
      <c r="G200" s="56"/>
      <c r="H200" s="56"/>
      <c r="I200" s="56"/>
      <c r="J200" s="2"/>
      <c r="K200" s="2"/>
      <c r="L200" s="2"/>
      <c r="M200" s="2"/>
      <c r="N200" s="2"/>
      <c r="O200" s="2"/>
      <c r="P200" s="53"/>
      <c r="Q200" s="53"/>
      <c r="R200" s="2"/>
      <c r="S200" s="2"/>
      <c r="T200" s="2"/>
    </row>
    <row r="201" spans="1:20">
      <c r="A201" s="3"/>
      <c r="B201" s="755" t="s">
        <v>606</v>
      </c>
      <c r="C201" s="2"/>
      <c r="D201" s="2"/>
      <c r="E201" s="56"/>
      <c r="F201" s="56"/>
      <c r="G201" s="56"/>
      <c r="H201" s="56"/>
      <c r="I201" s="56"/>
      <c r="J201" s="2"/>
      <c r="K201" s="2"/>
      <c r="L201" s="2"/>
      <c r="M201" s="2"/>
      <c r="N201" s="2"/>
      <c r="O201" s="2"/>
      <c r="P201" s="53"/>
      <c r="Q201" s="53"/>
      <c r="R201" s="2"/>
      <c r="S201" s="2"/>
      <c r="T201" s="2"/>
    </row>
    <row r="202" spans="1:20">
      <c r="A202" s="3"/>
      <c r="B202" s="755" t="s">
        <v>605</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6" t="s">
        <v>363</v>
      </c>
      <c r="C2" s="1066"/>
      <c r="D2" s="1066"/>
      <c r="E2" s="1066"/>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8" t="s">
        <v>414</v>
      </c>
      <c r="C15" s="1068"/>
      <c r="D15" s="1068"/>
      <c r="E15" s="1068"/>
      <c r="F15" s="1068"/>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7" t="str">
        <f>S.Staff.Program.Mgr.FullName&amp;", "&amp;S.Staff.Program.Mgr.Div&amp;": "&amp;S.Staff.Program.Mgr.SectionName&amp;""</f>
        <v>David Collier, OP: Air Quality Planning</v>
      </c>
      <c r="D17" s="1067"/>
      <c r="E17" s="1067"/>
      <c r="F17" s="75"/>
      <c r="G17" s="75"/>
      <c r="H17" s="75"/>
      <c r="I17" s="75"/>
      <c r="J17" s="75"/>
      <c r="K17" s="75"/>
      <c r="L17" s="75"/>
      <c r="M17" s="75"/>
      <c r="N17" s="75"/>
    </row>
    <row r="18" spans="1:14" ht="25.5" customHeight="1">
      <c r="B18" s="612" t="s">
        <v>478</v>
      </c>
      <c r="C18" s="1067" t="str">
        <f>S.Staff.Subject.Expert.FullName&amp;", "&amp;S.Staff.Program.Mgr.Div&amp;": "&amp;S.Staff.Program.Mgr.SectionName&amp;""</f>
        <v>Brian Finneran, OP: Air Quality Planning</v>
      </c>
      <c r="D18" s="1067"/>
      <c r="E18" s="1067"/>
      <c r="F18" s="75"/>
      <c r="G18" s="75"/>
      <c r="H18" s="75"/>
      <c r="I18" s="75"/>
      <c r="J18" s="75"/>
      <c r="K18" s="75"/>
      <c r="L18" s="75"/>
      <c r="M18" s="75"/>
      <c r="N18" s="75"/>
    </row>
    <row r="19" spans="1:14" ht="25.5" customHeight="1">
      <c r="B19" s="612" t="s">
        <v>479</v>
      </c>
      <c r="C19" s="1067" t="str">
        <f>S.Staff.RG.Lead.Full.Name&amp;", "&amp;S.Staff.RG.Lead.Div&amp;": "&amp;S.Staff.RG.Lead.SectionName&amp;""</f>
        <v>Andrea Gartenbaum, OP: Agency Rules</v>
      </c>
      <c r="D19" s="1067"/>
      <c r="E19" s="1067"/>
      <c r="F19" s="75"/>
      <c r="G19" s="75"/>
      <c r="H19" s="75"/>
      <c r="I19" s="75"/>
      <c r="J19" s="75"/>
      <c r="K19" s="75"/>
      <c r="L19" s="75"/>
      <c r="M19" s="75"/>
      <c r="N19" s="75"/>
    </row>
    <row r="20" spans="1:14" ht="12" customHeight="1">
      <c r="B20" s="1069" t="s">
        <v>519</v>
      </c>
      <c r="C20" s="1069"/>
      <c r="D20" s="1069"/>
      <c r="E20" s="1069"/>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S.PlanningKickoff</f>
        <v>41820</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S.Planning.DraftWorkbooksEnd</f>
        <v>41820</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S.Planning.AddConceptToPlanDate</f>
        <v>41820</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41967</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41974</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Wendy</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Wendy</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70" t="s">
        <v>360</v>
      </c>
      <c r="B103" s="1070"/>
      <c r="C103" s="615"/>
      <c r="D103" s="615"/>
      <c r="E103" s="615"/>
      <c r="F103" s="75"/>
      <c r="G103" s="75"/>
      <c r="H103" s="75"/>
      <c r="I103" s="75"/>
      <c r="J103" s="75"/>
      <c r="K103" s="75"/>
      <c r="L103" s="75"/>
      <c r="M103" s="75"/>
      <c r="N103" s="75"/>
    </row>
    <row r="104" spans="1:14" s="23" customFormat="1" ht="20.25">
      <c r="A104" s="616"/>
      <c r="B104" s="75"/>
      <c r="C104" s="1071" t="str">
        <f>S.Staff.Program.Mgr.FullName&amp;", "&amp;S.Staff.Program.Mgr.Div&amp;": "&amp;S.Staff.Program.Mgr.SectionName&amp;"     DATE"</f>
        <v>David Collier, OP: Air Quality Planning     DATE</v>
      </c>
      <c r="D104" s="1071"/>
      <c r="E104" s="1071"/>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70" t="s">
        <v>479</v>
      </c>
      <c r="B106" s="1070"/>
      <c r="C106" s="615"/>
      <c r="D106" s="615"/>
      <c r="E106" s="615"/>
      <c r="F106" s="75"/>
      <c r="G106" s="75"/>
      <c r="H106" s="75"/>
      <c r="I106" s="75"/>
      <c r="J106" s="75"/>
      <c r="K106" s="75"/>
      <c r="L106" s="75"/>
      <c r="M106" s="75"/>
      <c r="N106" s="75"/>
    </row>
    <row r="107" spans="1:14" s="23" customFormat="1" ht="30.75" customHeight="1">
      <c r="A107" s="75"/>
      <c r="B107" s="75"/>
      <c r="C107" s="1072" t="str">
        <f>S.Staff.RG.Lead.Full.Name&amp;", "&amp;S.Staff.RG.Lead.Div&amp;": "&amp;S.Staff.RG.Lead.SectionName&amp;"     DATE"</f>
        <v>Andrea Gartenbaum, OP: Agency Rules     DATE</v>
      </c>
      <c r="D107" s="1072"/>
      <c r="E107" s="1072"/>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2014-09-25T16:07:46Z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