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5705" windowHeight="645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AK110" i="94"/>
  <c r="B14" i="84" l="1"/>
  <c r="C14"/>
  <c r="B15"/>
  <c r="C15"/>
  <c r="B16"/>
  <c r="C16"/>
  <c r="B17"/>
  <c r="C17"/>
  <c r="B18"/>
  <c r="C18"/>
  <c r="B221" i="94" l="1"/>
  <c r="C636"/>
  <c r="C624"/>
  <c r="C597"/>
  <c r="AF229"/>
  <c r="AK31"/>
  <c r="AK233" l="1"/>
  <c r="F20"/>
  <c r="AK183"/>
  <c r="AK105"/>
  <c r="AK112"/>
  <c r="D2" i="96" l="1"/>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F564"/>
  <c r="AK24"/>
  <c r="AK23"/>
  <c r="AF25"/>
  <c r="AK97"/>
  <c r="B97" s="1"/>
  <c r="AK82"/>
  <c r="AF79"/>
  <c r="AK70"/>
  <c r="B70" s="1"/>
  <c r="AK81"/>
  <c r="AF81"/>
  <c r="AK96"/>
  <c r="AF96"/>
  <c r="AF69"/>
  <c r="AF70"/>
  <c r="AK83"/>
  <c r="AK94"/>
  <c r="AF94"/>
  <c r="AK87"/>
  <c r="AF87"/>
  <c r="AF97"/>
  <c r="C116"/>
  <c r="B82" l="1"/>
  <c r="AK58"/>
  <c r="AK71"/>
  <c r="AF82"/>
  <c r="AI192"/>
  <c r="AF195"/>
  <c r="AF194"/>
  <c r="D12"/>
  <c r="F18" l="1"/>
  <c r="F16"/>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7"/>
  <c r="D6"/>
  <c r="AF216" i="94"/>
  <c r="AF217"/>
  <c r="AK217"/>
  <c r="B217" s="1"/>
  <c r="AF218"/>
  <c r="AK218"/>
  <c r="AF219"/>
  <c r="AF220"/>
  <c r="AH220"/>
  <c r="H220" s="1"/>
  <c r="AF221"/>
  <c r="AH221"/>
  <c r="H221" s="1"/>
  <c r="D8" i="99" s="1"/>
  <c r="B222" i="94"/>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K229"/>
  <c r="B229" s="1"/>
  <c r="AF230"/>
  <c r="AK230"/>
  <c r="B230" s="1"/>
  <c r="AK524"/>
  <c r="AK516"/>
  <c r="B516" s="1"/>
  <c r="AF516"/>
  <c r="B107"/>
  <c r="AF107"/>
  <c r="AF106"/>
  <c r="AF105"/>
  <c r="AF104"/>
  <c r="AF108"/>
  <c r="AF103"/>
  <c r="AK114"/>
  <c r="AF113"/>
  <c r="AF111"/>
  <c r="AF109"/>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AF310"/>
  <c r="AF292"/>
  <c r="B292"/>
  <c r="C294"/>
  <c r="AF294"/>
  <c r="C295"/>
  <c r="AF295"/>
  <c r="AF724"/>
  <c r="AF723"/>
  <c r="AF722"/>
  <c r="AF806"/>
  <c r="AK204"/>
  <c r="AK203"/>
  <c r="C723" l="1"/>
  <c r="C736"/>
  <c r="C533"/>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9"/>
  <c r="C20"/>
  <c r="C21"/>
  <c r="C22"/>
  <c r="C23"/>
  <c r="C24"/>
  <c r="C25"/>
  <c r="B19"/>
  <c r="B20"/>
  <c r="B21"/>
  <c r="B22"/>
  <c r="B23"/>
  <c r="B24"/>
  <c r="B25"/>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AH37"/>
  <c r="B35" i="102" s="1"/>
  <c r="C35" s="1"/>
  <c r="E35" s="1"/>
  <c r="AG22" i="94"/>
  <c r="G22" s="1"/>
  <c r="B13" i="102"/>
  <c r="AG12" i="94"/>
  <c r="AG14"/>
  <c r="AG54"/>
  <c r="AG283"/>
  <c r="G54"/>
  <c r="AH117"/>
  <c r="H117" s="1"/>
  <c r="AH118"/>
  <c r="H118" s="1"/>
  <c r="B34" i="102" l="1"/>
  <c r="C34" s="1"/>
  <c r="E34" s="1"/>
  <c r="AG493" i="94"/>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AG264"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G264"/>
  <c r="AH282"/>
  <c r="H282" s="1"/>
  <c r="AH284"/>
  <c r="H284" s="1"/>
  <c r="AH279"/>
  <c r="H279" s="1"/>
  <c r="AH175"/>
  <c r="H175" s="1"/>
  <c r="A26" i="103"/>
  <c r="AH181" i="94"/>
  <c r="H181" s="1"/>
  <c r="AH281"/>
  <c r="H281" s="1"/>
  <c r="B8" i="102"/>
  <c r="C8" s="1"/>
  <c r="E8" s="1"/>
  <c r="AH271" i="94"/>
  <c r="H271" s="1"/>
  <c r="AG190"/>
  <c r="G190" s="1"/>
  <c r="AH190" s="1"/>
  <c r="AH264" l="1"/>
  <c r="H264" s="1"/>
  <c r="F424"/>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20" s="1"/>
  <c r="H20" s="1"/>
  <c r="AH779"/>
  <c r="H779" s="1"/>
  <c r="AH822"/>
  <c r="H822" s="1"/>
  <c r="AH824"/>
  <c r="H824" s="1"/>
  <c r="AH821"/>
  <c r="H821" s="1"/>
  <c r="AH823"/>
  <c r="H823" s="1"/>
  <c r="AH467"/>
  <c r="H467" s="1"/>
  <c r="B21" i="102"/>
  <c r="C21" s="1"/>
  <c r="E21" s="1"/>
  <c r="B55"/>
  <c r="C55" s="1"/>
  <c r="E55" s="1"/>
  <c r="AH30" i="94" l="1"/>
  <c r="H30" s="1"/>
  <c r="AG29"/>
  <c r="AH25"/>
  <c r="AH593" s="1"/>
  <c r="AH596" s="1"/>
  <c r="B48" i="102"/>
  <c r="AG34" i="94"/>
  <c r="G34" s="1"/>
  <c r="B17" i="102"/>
  <c r="C17" s="1"/>
  <c r="E17" s="1"/>
  <c r="B16"/>
  <c r="F467" i="94"/>
  <c r="C16" i="102"/>
  <c r="E16" s="1"/>
  <c r="AH229" i="94" l="1"/>
  <c r="AH249"/>
  <c r="AH637"/>
  <c r="AH250"/>
  <c r="AH233"/>
  <c r="AH251"/>
  <c r="AH642"/>
  <c r="AH630"/>
  <c r="AG749"/>
  <c r="AG761"/>
  <c r="AH244"/>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G749"/>
  <c r="AG736"/>
  <c r="G736" s="1"/>
  <c r="AG786"/>
  <c r="G786" s="1"/>
  <c r="AG779" l="1"/>
  <c r="G779" s="1"/>
  <c r="B44" i="102" l="1"/>
  <c r="AG645" i="94"/>
  <c r="G645" s="1"/>
  <c r="H233"/>
  <c r="H249" s="1"/>
  <c r="AH237"/>
  <c r="H237" s="1"/>
  <c r="C18" i="99" s="1"/>
  <c r="H251" i="94"/>
  <c r="AG637" s="1"/>
  <c r="AH19"/>
  <c r="H19" s="1"/>
  <c r="H642"/>
  <c r="H250"/>
  <c r="H630"/>
  <c r="H637"/>
  <c r="AH31"/>
  <c r="AH16"/>
  <c r="H16" s="1"/>
  <c r="AG220" l="1"/>
  <c r="G220" s="1"/>
  <c r="H31"/>
  <c r="C6" i="99" s="1"/>
  <c r="AG221" i="94"/>
  <c r="G221" s="1"/>
  <c r="C7" i="99"/>
  <c r="AH673" i="94"/>
  <c r="H673" s="1"/>
  <c r="AH626"/>
  <c r="H626" s="1"/>
  <c r="B42" i="102"/>
  <c r="C42" s="1"/>
  <c r="E42" s="1"/>
  <c r="AH472" i="94"/>
  <c r="H472" s="1"/>
  <c r="AH475" s="1"/>
  <c r="H475" s="1"/>
  <c r="AH476" s="1"/>
  <c r="H476" s="1"/>
  <c r="B23" i="102"/>
  <c r="C23" s="1"/>
  <c r="E23" s="1"/>
  <c r="B19"/>
  <c r="C19" s="1"/>
  <c r="E19" s="1"/>
  <c r="B39"/>
  <c r="C39" s="1"/>
  <c r="E39" s="1"/>
  <c r="AK19" i="94"/>
  <c r="B19" s="1"/>
  <c r="AG219"/>
  <c r="G219" s="1"/>
  <c r="B49" i="102"/>
  <c r="AH669" i="94"/>
  <c r="H669" s="1"/>
  <c r="AH668"/>
  <c r="H668" s="1"/>
  <c r="AH654"/>
  <c r="H654" s="1"/>
  <c r="AH671"/>
  <c r="H671" s="1"/>
  <c r="AG227" l="1"/>
  <c r="G227" s="1"/>
  <c r="AH32" s="1"/>
  <c r="H32" s="1"/>
  <c r="C8" i="99"/>
  <c r="AH675" i="94"/>
  <c r="H675" s="1"/>
  <c r="AG482"/>
  <c r="G482" s="1"/>
  <c r="AH482" s="1"/>
  <c r="H482" s="1"/>
  <c r="AG477"/>
  <c r="G477" s="1"/>
  <c r="AG478"/>
  <c r="G478" s="1"/>
  <c r="H229"/>
  <c r="AG692" l="1"/>
  <c r="G692" s="1"/>
  <c r="AG687"/>
  <c r="G687" s="1"/>
  <c r="C49" i="102"/>
  <c r="E49" s="1"/>
  <c r="AH42" i="94"/>
  <c r="AH692"/>
  <c r="H692" s="1"/>
  <c r="AH700" s="1"/>
  <c r="H700" s="1"/>
  <c r="AG701" s="1"/>
  <c r="G701" s="1"/>
  <c r="AH701" s="1"/>
  <c r="H701" s="1"/>
  <c r="AH707" s="1"/>
  <c r="H707" s="1"/>
  <c r="AH691"/>
  <c r="H691" s="1"/>
  <c r="AH477"/>
  <c r="H477" s="1"/>
  <c r="F477" s="1"/>
  <c r="AH478"/>
  <c r="H478" s="1"/>
  <c r="AG484" s="1"/>
  <c r="G484" s="1"/>
  <c r="AH22" l="1"/>
  <c r="H22" s="1"/>
  <c r="AH646" s="1"/>
  <c r="H646"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F692"/>
  <c r="AH484"/>
  <c r="H484" s="1"/>
  <c r="F484" s="1"/>
  <c r="AG708"/>
  <c r="G708" s="1"/>
  <c r="AH708" s="1"/>
  <c r="H708" s="1"/>
  <c r="AH713" s="1"/>
  <c r="H713" s="1"/>
  <c r="F478"/>
  <c r="AH489" l="1"/>
  <c r="H489" s="1"/>
  <c r="AH762"/>
  <c r="H762" s="1"/>
  <c r="AH749"/>
  <c r="H749" s="1"/>
  <c r="AG766" s="1"/>
  <c r="G766" s="1"/>
  <c r="AH761"/>
  <c r="AH645"/>
  <c r="H645" s="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AH736"/>
  <c r="H736" s="1"/>
  <c r="AH786"/>
  <c r="H786" s="1"/>
  <c r="AH763"/>
  <c r="H763" s="1"/>
  <c r="AH764"/>
  <c r="H764" s="1"/>
  <c r="AH787"/>
  <c r="H787" s="1"/>
  <c r="AH29"/>
  <c r="H29" s="1"/>
  <c r="AH38"/>
  <c r="H38" s="1"/>
  <c r="B37" i="102" s="1"/>
  <c r="C37" s="1"/>
  <c r="E37" s="1"/>
  <c r="B36"/>
  <c r="C36" s="1"/>
  <c r="E36" s="1"/>
  <c r="B24"/>
  <c r="C24" s="1"/>
  <c r="E24" s="1"/>
  <c r="B54"/>
  <c r="C54" s="1"/>
  <c r="E54" s="1"/>
  <c r="AH39" i="94"/>
  <c r="AI39"/>
  <c r="AK20"/>
  <c r="H25"/>
  <c r="AG25" s="1"/>
  <c r="G25" s="1"/>
  <c r="AG593" l="1"/>
  <c r="AH23"/>
  <c r="H23" s="1"/>
  <c r="AG23" s="1"/>
  <c r="G23" s="1"/>
  <c r="AI38"/>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G593"/>
  <c r="AG596" s="1"/>
  <c r="AH589"/>
  <c r="H589" s="1"/>
  <c r="AH24"/>
  <c r="AH539"/>
  <c r="AH541"/>
  <c r="H541" s="1"/>
  <c r="AH540"/>
  <c r="H540" s="1"/>
  <c r="B20"/>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G24" s="1"/>
  <c r="AH573" l="1"/>
  <c r="H573" s="1"/>
  <c r="AG755"/>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569" l="1"/>
  <c r="H569" s="1"/>
  <c r="AH504"/>
  <c r="AG573"/>
  <c r="G573" s="1"/>
  <c r="G755"/>
  <c r="AH493"/>
  <c r="AH563"/>
  <c r="H563" s="1"/>
  <c r="AH755" l="1"/>
  <c r="H755" s="1"/>
  <c r="AH760" s="1"/>
  <c r="AG569"/>
  <c r="G569" s="1"/>
  <c r="AG584"/>
  <c r="G584" s="1"/>
  <c r="AH584" s="1"/>
  <c r="AG563"/>
  <c r="G563" s="1"/>
  <c r="AH543"/>
  <c r="H543" s="1"/>
  <c r="H493"/>
  <c r="G761"/>
  <c r="AH507"/>
  <c r="H507" s="1"/>
  <c r="H761" l="1"/>
  <c r="H584"/>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G596" i="94"/>
  <c r="AH586" l="1"/>
  <c r="H586" s="1"/>
  <c r="E45" i="102"/>
  <c r="A47" i="103"/>
  <c r="AG603" i="94"/>
  <c r="G603" s="1"/>
  <c r="H593"/>
  <c r="C47" i="102" s="1"/>
  <c r="E47" s="1"/>
  <c r="H596" i="94"/>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AGarten</author>
  </authors>
  <commentList>
    <comment ref="AK31" authorId="0">
      <text>
        <r>
          <rPr>
            <b/>
            <sz val="9"/>
            <color indexed="81"/>
            <rFont val="Tahoma"/>
            <family val="2"/>
          </rPr>
          <t>AGarten:</t>
        </r>
        <r>
          <rPr>
            <sz val="9"/>
            <color indexed="81"/>
            <rFont val="Tahoma"/>
            <family val="2"/>
          </rPr>
          <t xml:space="preserve">
Changed EPA requirement to EPA SIP requirement</t>
        </r>
      </text>
    </comment>
    <comment ref="AK105" authorId="0">
      <text>
        <r>
          <rPr>
            <b/>
            <sz val="9"/>
            <color indexed="81"/>
            <rFont val="Tahoma"/>
            <family val="2"/>
          </rPr>
          <t>AGarten:</t>
        </r>
        <r>
          <rPr>
            <sz val="9"/>
            <color indexed="81"/>
            <rFont val="Tahoma"/>
            <family val="2"/>
          </rPr>
          <t xml:space="preserve">
Fix. Should be address for SharePoint work
</t>
        </r>
      </text>
    </comment>
    <comment ref="AK107" authorId="0">
      <text>
        <r>
          <rPr>
            <b/>
            <sz val="9"/>
            <color indexed="81"/>
            <rFont val="Tahoma"/>
            <family val="2"/>
          </rPr>
          <t>AGarten:</t>
        </r>
        <r>
          <rPr>
            <sz val="9"/>
            <color indexed="81"/>
            <rFont val="Tahoma"/>
            <family val="2"/>
          </rPr>
          <t xml:space="preserve">
Fix. Should be address for Rules Development - non collaborative work. Should we add a folder for this, to keep people out of the other folders on rules development?
</t>
        </r>
      </text>
    </comment>
    <comment ref="AK112" authorId="0">
      <text>
        <r>
          <rPr>
            <b/>
            <sz val="9"/>
            <color indexed="81"/>
            <rFont val="Tahoma"/>
            <family val="2"/>
          </rPr>
          <t>AGarten:</t>
        </r>
        <r>
          <rPr>
            <sz val="9"/>
            <color indexed="81"/>
            <rFont val="Tahoma"/>
            <family val="2"/>
          </rPr>
          <t xml:space="preserve">
Change the year from 2013 to 2014</t>
        </r>
      </text>
    </comment>
    <comment ref="AK114" authorId="0">
      <text>
        <r>
          <rPr>
            <b/>
            <sz val="9"/>
            <color indexed="81"/>
            <rFont val="Tahoma"/>
            <family val="2"/>
          </rPr>
          <t xml:space="preserve">AGarten: change </t>
        </r>
        <r>
          <rPr>
            <sz val="9"/>
            <color indexed="81"/>
            <rFont val="Tahoma"/>
            <family val="2"/>
          </rPr>
          <t>commas to periods</t>
        </r>
      </text>
    </comment>
    <comment ref="AK183" authorId="0">
      <text>
        <r>
          <rPr>
            <b/>
            <sz val="9"/>
            <color indexed="81"/>
            <rFont val="Tahoma"/>
            <family val="2"/>
          </rPr>
          <t>AGarten:</t>
        </r>
        <r>
          <rPr>
            <sz val="9"/>
            <color indexed="81"/>
            <rFont val="Tahoma"/>
            <family val="2"/>
          </rPr>
          <t xml:space="preserve">
typo</t>
        </r>
      </text>
    </comment>
    <comment ref="AH229" authorId="0">
      <text>
        <r>
          <rPr>
            <b/>
            <sz val="9"/>
            <color indexed="81"/>
            <rFont val="Tahoma"/>
            <family val="2"/>
          </rPr>
          <t>AGarten:</t>
        </r>
        <r>
          <rPr>
            <sz val="9"/>
            <color indexed="81"/>
            <rFont val="Tahoma"/>
            <family val="2"/>
          </rPr>
          <t xml:space="preserve">
I updated this formula. The end date of this task should be a couple weeks before the Notice is submitted to SOS</t>
        </r>
      </text>
    </comment>
    <comment ref="B230" authorId="0">
      <text>
        <r>
          <rPr>
            <b/>
            <sz val="9"/>
            <color indexed="81"/>
            <rFont val="Tahoma"/>
            <family val="2"/>
          </rPr>
          <t>AGarten:</t>
        </r>
        <r>
          <rPr>
            <sz val="9"/>
            <color indexed="81"/>
            <rFont val="Tahoma"/>
            <family val="2"/>
          </rPr>
          <t xml:space="preserve">
Revise for clarity</t>
        </r>
      </text>
    </comment>
    <comment ref="C230" authorId="0">
      <text>
        <r>
          <rPr>
            <b/>
            <sz val="9"/>
            <color indexed="81"/>
            <rFont val="Tahoma"/>
            <family val="2"/>
          </rPr>
          <t>AGarten:</t>
        </r>
        <r>
          <rPr>
            <sz val="9"/>
            <color indexed="81"/>
            <rFont val="Tahoma"/>
            <family val="2"/>
          </rPr>
          <t xml:space="preserve">
this link to the hearing and ad tab doesn't work if the tab is hidden.</t>
        </r>
      </text>
    </comment>
    <comment ref="AH233" authorId="0">
      <text>
        <r>
          <rPr>
            <b/>
            <sz val="9"/>
            <color indexed="81"/>
            <rFont val="Tahoma"/>
            <family val="2"/>
          </rPr>
          <t>AGarten:</t>
        </r>
        <r>
          <rPr>
            <sz val="9"/>
            <color indexed="81"/>
            <rFont val="Tahoma"/>
            <family val="2"/>
          </rPr>
          <t xml:space="preserve">
This step needs to happen earlier. I changed it from 2 days to 18 days before the notice is published
</t>
        </r>
      </text>
    </comment>
    <comment ref="AK233" authorId="0">
      <text>
        <r>
          <rPr>
            <b/>
            <sz val="9"/>
            <color indexed="81"/>
            <rFont val="Tahoma"/>
            <family val="2"/>
          </rPr>
          <t>AGarten:</t>
        </r>
        <r>
          <rPr>
            <sz val="9"/>
            <color indexed="81"/>
            <rFont val="Tahoma"/>
            <family val="2"/>
          </rPr>
          <t xml:space="preserve">
Changed for Jill's rulemaking. Removed part of formula since Jill doesn't have a support person. 
</t>
        </r>
      </text>
    </comment>
    <comment ref="H236" authorId="0">
      <text>
        <r>
          <rPr>
            <b/>
            <sz val="9"/>
            <color indexed="81"/>
            <rFont val="Tahoma"/>
            <family val="2"/>
          </rPr>
          <t>AGarten:</t>
        </r>
        <r>
          <rPr>
            <sz val="9"/>
            <color indexed="81"/>
            <rFont val="Tahoma"/>
            <family val="2"/>
          </rPr>
          <t xml:space="preserve">
Verify date works with newspaper. Newspapers are not published every day of the week.</t>
        </r>
      </text>
    </comment>
    <comment ref="AH249" authorId="0">
      <text>
        <r>
          <rPr>
            <b/>
            <sz val="9"/>
            <color indexed="81"/>
            <rFont val="Tahoma"/>
            <family val="2"/>
          </rPr>
          <t>AGarten:</t>
        </r>
        <r>
          <rPr>
            <sz val="9"/>
            <color indexed="81"/>
            <rFont val="Tahoma"/>
            <family val="2"/>
          </rPr>
          <t xml:space="preserve">
Changed from H233 to =IF(AF249=0,,IF(S.Notice.AD.Involved="N",,WORKDAY(S.Notice.OpenComment,-10,S.DDL_DEQClosed)))</t>
        </r>
      </text>
    </comment>
    <comment ref="B250" authorId="0">
      <text>
        <r>
          <rPr>
            <b/>
            <sz val="9"/>
            <color indexed="81"/>
            <rFont val="Tahoma"/>
            <family val="2"/>
          </rPr>
          <t>AGarten:</t>
        </r>
        <r>
          <rPr>
            <sz val="9"/>
            <color indexed="81"/>
            <rFont val="Tahoma"/>
            <family val="2"/>
          </rPr>
          <t xml:space="preserve">
Revise for clarity</t>
        </r>
      </text>
    </comment>
    <comment ref="C250" authorId="0">
      <text>
        <r>
          <rPr>
            <b/>
            <sz val="9"/>
            <color indexed="81"/>
            <rFont val="Tahoma"/>
            <family val="2"/>
          </rPr>
          <t>AGarten:</t>
        </r>
        <r>
          <rPr>
            <sz val="9"/>
            <color indexed="81"/>
            <rFont val="Tahoma"/>
            <family val="2"/>
          </rPr>
          <t xml:space="preserve">
this link to the hearing and ad tab doesn't work if the tab is hidden</t>
        </r>
      </text>
    </comment>
    <comment ref="AH250" authorId="0">
      <text>
        <r>
          <rPr>
            <b/>
            <sz val="9"/>
            <color indexed="81"/>
            <rFont val="Tahoma"/>
            <family val="2"/>
          </rPr>
          <t>AGarten:</t>
        </r>
        <r>
          <rPr>
            <sz val="9"/>
            <color indexed="81"/>
            <rFont val="Tahoma"/>
            <family val="2"/>
          </rPr>
          <t xml:space="preserve">
Changed from 2 days to 13 days
</t>
        </r>
      </text>
    </comment>
    <comment ref="AH251" authorId="0">
      <text>
        <r>
          <rPr>
            <b/>
            <sz val="9"/>
            <color indexed="81"/>
            <rFont val="Tahoma"/>
            <family val="2"/>
          </rPr>
          <t>AGarten:</t>
        </r>
        <r>
          <rPr>
            <sz val="9"/>
            <color indexed="81"/>
            <rFont val="Tahoma"/>
            <family val="2"/>
          </rPr>
          <t xml:space="preserve">
Changed from 2 days to 13 days
</t>
        </r>
      </text>
    </comment>
    <comment ref="H332" authorId="0">
      <text>
        <r>
          <rPr>
            <b/>
            <sz val="9"/>
            <color indexed="81"/>
            <rFont val="Tahoma"/>
            <family val="2"/>
          </rPr>
          <t>AGarten:</t>
        </r>
        <r>
          <rPr>
            <sz val="9"/>
            <color indexed="81"/>
            <rFont val="Tahoma"/>
            <family val="2"/>
          </rPr>
          <t xml:space="preserve">
Fixed punctuation</t>
        </r>
      </text>
    </comment>
    <comment ref="B509" authorId="0">
      <text>
        <r>
          <rPr>
            <b/>
            <sz val="9"/>
            <color indexed="81"/>
            <rFont val="Tahoma"/>
            <family val="2"/>
          </rPr>
          <t>AGarten:</t>
        </r>
        <r>
          <rPr>
            <sz val="9"/>
            <color indexed="81"/>
            <rFont val="Tahoma"/>
            <family val="2"/>
          </rPr>
          <t xml:space="preserve">
spelling</t>
        </r>
      </text>
    </comment>
    <comment ref="AG593" authorId="0">
      <text>
        <r>
          <rPr>
            <b/>
            <sz val="9"/>
            <color indexed="81"/>
            <rFont val="Tahoma"/>
            <family val="2"/>
          </rPr>
          <t>AGarten:</t>
        </r>
        <r>
          <rPr>
            <sz val="9"/>
            <color indexed="81"/>
            <rFont val="Tahoma"/>
            <family val="2"/>
          </rPr>
          <t xml:space="preserve">
I changed this. I think it's linked to wrong date. Should be linked to S.Notice.Submit.ToADA in AG25
</t>
        </r>
      </text>
    </comment>
    <comment ref="B607" authorId="0">
      <text>
        <r>
          <rPr>
            <b/>
            <sz val="9"/>
            <color indexed="81"/>
            <rFont val="Tahoma"/>
            <family val="2"/>
          </rPr>
          <t>AGarten:</t>
        </r>
        <r>
          <rPr>
            <sz val="9"/>
            <color indexed="81"/>
            <rFont val="Tahoma"/>
            <family val="2"/>
          </rPr>
          <t xml:space="preserve">
Increase height or add row to display the last word of this responsibility</t>
        </r>
      </text>
    </comment>
    <comment ref="AH610" authorId="0">
      <text>
        <r>
          <rPr>
            <b/>
            <sz val="9"/>
            <color indexed="81"/>
            <rFont val="Tahoma"/>
            <family val="2"/>
          </rPr>
          <t>AGarten:</t>
        </r>
        <r>
          <rPr>
            <sz val="9"/>
            <color indexed="81"/>
            <rFont val="Tahoma"/>
            <family val="2"/>
          </rPr>
          <t xml:space="preserve">
I changed days from 5 to 3 because this approval should come from Leah before our SOS submittal work begins. </t>
        </r>
      </text>
    </comment>
    <comment ref="C618" authorId="0">
      <text>
        <r>
          <rPr>
            <b/>
            <sz val="9"/>
            <color indexed="81"/>
            <rFont val="Tahoma"/>
            <family val="2"/>
          </rPr>
          <t>AGarten:</t>
        </r>
        <r>
          <rPr>
            <sz val="9"/>
            <color indexed="81"/>
            <rFont val="Tahoma"/>
            <family val="2"/>
          </rPr>
          <t xml:space="preserve">
Change hyperlink to http://www.oregon.gov/deq/RulesandRegulations/Pages/proposedrule.aspx</t>
        </r>
      </text>
    </comment>
    <comment ref="C624" authorId="0">
      <text>
        <r>
          <rPr>
            <b/>
            <sz val="9"/>
            <color indexed="81"/>
            <rFont val="Tahoma"/>
            <family val="2"/>
          </rPr>
          <t>AGarten:</t>
        </r>
        <r>
          <rPr>
            <sz val="9"/>
            <color indexed="81"/>
            <rFont val="Tahoma"/>
            <family val="2"/>
          </rPr>
          <t xml:space="preserve">
Change hyperlink to \\deqhq1\Rule_Development\Currrent Plan</t>
        </r>
      </text>
    </comment>
    <comment ref="B630" authorId="0">
      <text>
        <r>
          <rPr>
            <b/>
            <sz val="9"/>
            <color indexed="81"/>
            <rFont val="Tahoma"/>
            <family val="2"/>
          </rPr>
          <t>AGarten:</t>
        </r>
        <r>
          <rPr>
            <sz val="9"/>
            <color indexed="81"/>
            <rFont val="Tahoma"/>
            <family val="2"/>
          </rPr>
          <t xml:space="preserve">
Currently, GovDelivery performed by one person for all of AQ. Not sure the subject expert should perform GovDelivery. Training issue.</t>
        </r>
      </text>
    </comment>
    <comment ref="C636" authorId="0">
      <text>
        <r>
          <rPr>
            <b/>
            <sz val="9"/>
            <color indexed="81"/>
            <rFont val="Tahoma"/>
            <family val="2"/>
          </rPr>
          <t>AGarten:</t>
        </r>
        <r>
          <rPr>
            <sz val="9"/>
            <color indexed="81"/>
            <rFont val="Tahoma"/>
            <family val="2"/>
          </rPr>
          <t xml:space="preserve">
Change hyperlink to 
</t>
        </r>
      </text>
    </comment>
    <comment ref="AH637" authorId="0">
      <text>
        <r>
          <rPr>
            <b/>
            <sz val="9"/>
            <color indexed="81"/>
            <rFont val="Tahoma"/>
            <family val="2"/>
          </rPr>
          <t>AGarten:</t>
        </r>
        <r>
          <rPr>
            <sz val="9"/>
            <color indexed="81"/>
            <rFont val="Tahoma"/>
            <family val="2"/>
          </rPr>
          <t xml:space="preserve">
I changed -2days to -5days to allow adequate time for review
</t>
        </r>
      </text>
    </comment>
    <comment ref="AH642" authorId="0">
      <text>
        <r>
          <rPr>
            <b/>
            <sz val="9"/>
            <color indexed="81"/>
            <rFont val="Tahoma"/>
            <family val="2"/>
          </rPr>
          <t>AGarten:</t>
        </r>
        <r>
          <rPr>
            <sz val="9"/>
            <color indexed="81"/>
            <rFont val="Tahoma"/>
            <family val="2"/>
          </rPr>
          <t xml:space="preserve">
I changed this formula. It  needs to be the date we open the comment period, not IF(AF642=0,,WORKDAY(S.Notice.OpenComment,-2,S.DDL_DEQClosed))</t>
        </r>
      </text>
    </comment>
    <comment ref="B699" authorId="0">
      <text>
        <r>
          <rPr>
            <b/>
            <sz val="9"/>
            <color indexed="81"/>
            <rFont val="Tahoma"/>
            <family val="2"/>
          </rPr>
          <t>AGarten:</t>
        </r>
        <r>
          <rPr>
            <sz val="9"/>
            <color indexed="81"/>
            <rFont val="Tahoma"/>
            <family val="2"/>
          </rPr>
          <t xml:space="preserve">
Change from "ALL REVIEWS ARE COMPLETE" to "staff report is finalized"</t>
        </r>
      </text>
    </comment>
    <comment ref="C700" authorId="0">
      <text>
        <r>
          <rPr>
            <b/>
            <sz val="9"/>
            <color indexed="81"/>
            <rFont val="Tahoma"/>
            <family val="2"/>
          </rPr>
          <t>AGarten:</t>
        </r>
        <r>
          <rPr>
            <sz val="9"/>
            <color indexed="81"/>
            <rFont val="Tahoma"/>
            <family val="2"/>
          </rPr>
          <t xml:space="preserve">
fix typo</t>
        </r>
      </text>
    </comment>
    <comment ref="B716" authorId="0">
      <text>
        <r>
          <rPr>
            <b/>
            <sz val="9"/>
            <color indexed="81"/>
            <rFont val="Tahoma"/>
            <family val="2"/>
          </rPr>
          <t>AGarten:</t>
        </r>
        <r>
          <rPr>
            <sz val="9"/>
            <color indexed="81"/>
            <rFont val="Tahoma"/>
            <family val="2"/>
          </rPr>
          <t xml:space="preserve">
The dates in this section need more work. It needs to be clear when the staff report is due to the director's office, and the reviewer periods should auto populate based on that deadline or the close of comment deadline</t>
        </r>
      </text>
    </comment>
    <comment ref="B727" authorId="0">
      <text>
        <r>
          <rPr>
            <b/>
            <sz val="9"/>
            <color indexed="81"/>
            <rFont val="Tahoma"/>
            <family val="2"/>
          </rPr>
          <t>AGarten:</t>
        </r>
        <r>
          <rPr>
            <sz val="9"/>
            <color indexed="81"/>
            <rFont val="Tahoma"/>
            <family val="2"/>
          </rPr>
          <t xml:space="preserve">
This is a change from current practice. Do we want the subject expert to do this instead of the rule lead?</t>
        </r>
      </text>
    </comment>
    <comment ref="B747" authorId="0">
      <text>
        <r>
          <rPr>
            <b/>
            <sz val="9"/>
            <color indexed="81"/>
            <rFont val="Tahoma"/>
            <family val="2"/>
          </rPr>
          <t>AGarten:</t>
        </r>
        <r>
          <rPr>
            <sz val="9"/>
            <color indexed="81"/>
            <rFont val="Tahoma"/>
            <family val="2"/>
          </rPr>
          <t xml:space="preserve">
what does this mean?</t>
        </r>
      </text>
    </comment>
    <comment ref="G755" authorId="0">
      <text>
        <r>
          <rPr>
            <b/>
            <sz val="9"/>
            <color indexed="81"/>
            <rFont val="Tahoma"/>
            <family val="2"/>
          </rPr>
          <t>AGarten:</t>
        </r>
        <r>
          <rPr>
            <sz val="9"/>
            <color indexed="81"/>
            <rFont val="Tahoma"/>
            <family val="2"/>
          </rPr>
          <t xml:space="preserve">
these dates need work</t>
        </r>
      </text>
    </comment>
    <comment ref="AH760" authorId="0">
      <text>
        <r>
          <rPr>
            <b/>
            <sz val="9"/>
            <color indexed="81"/>
            <rFont val="Tahoma"/>
            <family val="2"/>
          </rPr>
          <t>AGarten:</t>
        </r>
        <r>
          <rPr>
            <sz val="9"/>
            <color indexed="81"/>
            <rFont val="Tahoma"/>
            <family val="2"/>
          </rPr>
          <t xml:space="preserve">
delete</t>
        </r>
      </text>
    </comment>
    <comment ref="AG761" authorId="0">
      <text>
        <r>
          <rPr>
            <b/>
            <sz val="9"/>
            <color indexed="81"/>
            <rFont val="Tahoma"/>
            <family val="2"/>
          </rPr>
          <t>AGarten:</t>
        </r>
        <r>
          <rPr>
            <sz val="9"/>
            <color indexed="81"/>
            <rFont val="Tahoma"/>
            <family val="2"/>
          </rPr>
          <t xml:space="preserve">
Change from =WORKDAY(H755,2,S.DDL_DEQClosed) to
=S.EQC.BANNER.Begin
</t>
        </r>
      </text>
    </comment>
    <comment ref="AH761" authorId="0">
      <text>
        <r>
          <rPr>
            <b/>
            <sz val="9"/>
            <color indexed="81"/>
            <rFont val="Tahoma"/>
            <family val="2"/>
          </rPr>
          <t>AGarten:</t>
        </r>
        <r>
          <rPr>
            <sz val="9"/>
            <color indexed="81"/>
            <rFont val="Tahoma"/>
            <family val="2"/>
          </rPr>
          <t xml:space="preserve">
Changed from =WORKDAY(G761+2,1,S.DDL_DEQClosed) to =S.EQC.SubmitStaffRpt</t>
        </r>
      </text>
    </comment>
  </commentList>
</comments>
</file>

<file path=xl/sharedStrings.xml><?xml version="1.0" encoding="utf-8"?>
<sst xmlns="http://schemas.openxmlformats.org/spreadsheetml/2006/main" count="2000" uniqueCount="794">
  <si>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</si>
  <si>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</si>
  <si>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</si>
  <si>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</si>
  <si>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</si>
  <si>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</si>
  <si>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</si>
  <si>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</si>
  <si>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</si>
  <si>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</si>
  <si>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</si>
  <si>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</si>
  <si>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</si>
  <si>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</si>
  <si>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</si>
  <si>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</si>
  <si>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</si>
  <si>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</si>
  <si>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</si>
  <si>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</si>
  <si>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</si>
  <si>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</si>
  <si>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</si>
  <si>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</si>
  <si>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</si>
  <si>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</si>
  <si>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</si>
  <si>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</si>
  <si>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</si>
  <si>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</si>
  <si>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</si>
  <si>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</si>
  <si>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</si>
  <si>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</si>
  <si>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</si>
  <si>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</si>
  <si>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</si>
  <si>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</si>
  <si>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</si>
  <si>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</si>
  <si>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</si>
  <si>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</si>
  <si>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</si>
  <si>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</si>
  <si>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</si>
  <si>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</si>
  <si>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</si>
  <si>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</si>
  <si>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</si>
  <si>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</si>
  <si>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</si>
  <si>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</si>
  <si>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</si>
  <si>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</si>
  <si>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</si>
  <si>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</si>
  <si>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</si>
  <si>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</si>
  <si>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</si>
  <si>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</si>
  <si>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</si>
  <si>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</si>
  <si>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</si>
  <si>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</si>
  <si>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</si>
  <si>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</si>
  <si>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</si>
  <si>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</si>
  <si>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</si>
  <si>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</si>
  <si>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</si>
  <si>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</si>
  <si>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</si>
  <si>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</si>
  <si>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</si>
  <si>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</si>
  <si>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</si>
  <si>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</si>
  <si>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</si>
  <si>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</si>
  <si>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</si>
  <si>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</si>
  <si>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</si>
  <si>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</si>
  <si>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</si>
  <si>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</si>
  <si>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</si>
  <si>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</si>
  <si>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</si>
  <si>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</si>
  <si>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</si>
  <si>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</si>
  <si>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</si>
  <si>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</si>
  <si>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</si>
  <si>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</si>
  <si>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</si>
  <si>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</si>
  <si>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</si>
  <si>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</si>
  <si>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</si>
  <si>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</si>
  <si>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</si>
  <si>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</si>
  <si>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</si>
  <si>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</si>
  <si>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</si>
  <si>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</si>
  <si>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</si>
  <si>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</si>
  <si>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</si>
  <si>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</si>
  <si>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</si>
  <si>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</si>
  <si>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</si>
  <si>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</si>
  <si>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</si>
  <si>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</si>
  <si>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</si>
  <si>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</si>
  <si>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</si>
  <si>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</si>
  <si>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</si>
  <si>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</si>
  <si>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</si>
  <si>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</si>
  <si>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</si>
  <si>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</si>
  <si>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</si>
  <si>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</si>
  <si>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</si>
  <si>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</si>
  <si>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</si>
  <si>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</si>
  <si>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</si>
  <si>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</si>
  <si>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</si>
  <si>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</si>
  <si>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</si>
  <si>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</si>
  <si>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</si>
  <si>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</si>
  <si>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</si>
  <si>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</si>
  <si>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</si>
  <si>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</si>
  <si>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</si>
  <si>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</si>
  <si>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</si>
  <si>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</si>
  <si>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</si>
  <si>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</si>
  <si>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</si>
  <si>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</si>
  <si>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</si>
  <si>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</si>
  <si>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</si>
  <si>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</si>
  <si>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</si>
  <si>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</si>
  <si>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</si>
  <si>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</si>
  <si>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</si>
  <si>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</si>
  <si>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</si>
  <si>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</si>
  <si>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</si>
  <si>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</si>
  <si>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</si>
  <si>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</si>
  <si>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</si>
  <si>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</si>
  <si>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</si>
  <si>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</si>
  <si>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</si>
  <si>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</si>
  <si>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</si>
  <si>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</si>
  <si>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</si>
  <si>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</si>
  <si>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</si>
  <si>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</si>
  <si>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</si>
  <si>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</si>
  <si>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</si>
  <si>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</si>
  <si>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</si>
  <si>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</si>
  <si>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</si>
  <si>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</si>
  <si>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</si>
  <si>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</si>
  <si>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</si>
  <si>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</si>
  <si>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</si>
  <si>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</si>
  <si>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</si>
  <si>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</si>
  <si>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</si>
  <si>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</si>
  <si>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</si>
  <si>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</si>
  <si>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</si>
  <si>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</si>
  <si>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</si>
  <si>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</si>
  <si>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</si>
  <si>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</si>
  <si>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</si>
  <si>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</si>
  <si>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</si>
  <si>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</si>
  <si>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</si>
  <si>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</si>
  <si>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</si>
  <si>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</si>
  <si>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</si>
  <si>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</si>
  <si>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</si>
  <si>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</si>
  <si>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</si>
  <si>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</si>
  <si>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</si>
  <si>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</si>
  <si>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</si>
  <si>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</si>
  <si>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</si>
  <si>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</si>
  <si>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</si>
  <si>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</si>
  <si>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</si>
  <si>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</si>
  <si>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</si>
  <si>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</si>
  <si>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</si>
  <si>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</si>
  <si>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</si>
  <si>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</si>
  <si>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</si>
  <si>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</si>
  <si>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</si>
  <si>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</si>
  <si>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</si>
  <si>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</si>
  <si>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</si>
  <si>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</si>
  <si>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</si>
  <si>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</si>
  <si>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</si>
  <si>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</si>
  <si>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</si>
  <si>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</si>
  <si>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</si>
  <si>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</si>
  <si>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</si>
  <si>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</si>
  <si>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</si>
  <si>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</si>
  <si>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</si>
  <si>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</si>
  <si>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</si>
  <si>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</si>
  <si>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</si>
  <si>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</si>
  <si>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</si>
  <si>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</si>
  <si>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</si>
  <si>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</si>
  <si>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</si>
  <si>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</si>
  <si>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</si>
  <si>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</si>
  <si>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</si>
  <si>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</si>
  <si>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</si>
  <si>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</si>
  <si>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</si>
  <si>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</si>
  <si>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</si>
  <si>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</si>
  <si>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</si>
  <si>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</si>
  <si>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</si>
  <si>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</si>
  <si>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</si>
  <si>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</si>
  <si>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</si>
  <si>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</si>
  <si>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</si>
  <si>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</si>
  <si>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</si>
  <si>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</si>
  <si>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</si>
  <si>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</si>
  <si>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</si>
  <si>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</si>
  <si>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</si>
  <si>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</si>
  <si>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</si>
  <si>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</si>
  <si>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</si>
  <si>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</si>
  <si>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</si>
  <si>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</si>
  <si>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</si>
  <si>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</si>
  <si>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</si>
  <si>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</si>
  <si>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</si>
  <si>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</si>
  <si>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</si>
  <si>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</si>
  <si>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</si>
  <si>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</si>
  <si>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</si>
  <si>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</si>
  <si>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</si>
  <si>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</si>
  <si>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</si>
  <si>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</si>
  <si>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</si>
  <si>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</si>
  <si>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</si>
  <si>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</si>
  <si>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</si>
  <si>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</si>
  <si>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</si>
  <si>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</si>
  <si>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</si>
  <si>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</si>
  <si>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</si>
  <si>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</si>
  <si>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</si>
  <si>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</si>
  <si>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</si>
  <si>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</si>
  <si>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</si>
  <si>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</si>
  <si>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</si>
  <si>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</si>
  <si>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</si>
  <si>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</si>
  <si>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</si>
  <si>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</si>
  <si>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</si>
  <si>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</si>
  <si>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</si>
  <si>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</si>
  <si>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</si>
  <si>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</si>
  <si>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</si>
  <si>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</si>
  <si>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</si>
  <si>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</si>
  <si>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</si>
  <si>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</si>
  <si>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</si>
  <si>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</si>
  <si>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</si>
  <si>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</si>
  <si>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</si>
  <si>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</si>
  <si>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</si>
  <si>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</si>
  <si>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</si>
  <si>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</si>
  <si>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</si>
  <si>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</si>
  <si>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</si>
  <si>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</si>
  <si>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</si>
  <si>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</si>
  <si>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</si>
  <si>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</si>
  <si>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</si>
  <si>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</si>
  <si>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</si>
  <si>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</si>
  <si>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</si>
  <si>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</si>
  <si>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</si>
  <si>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</si>
  <si>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</si>
  <si>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</si>
  <si>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</si>
  <si>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</si>
  <si>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</si>
  <si>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</si>
  <si>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</si>
  <si>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</si>
  <si>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</si>
  <si>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</si>
  <si>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</si>
  <si>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</si>
  <si>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</si>
  <si>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</si>
  <si>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</si>
  <si>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</si>
  <si>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</si>
  <si>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</si>
  <si>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</si>
  <si>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</si>
  <si>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</si>
  <si>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</si>
  <si>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</si>
  <si>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</si>
  <si>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</si>
  <si>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</si>
  <si>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</si>
  <si>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</si>
  <si>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</si>
  <si>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</si>
  <si>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</si>
  <si>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</si>
  <si>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</si>
  <si>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</si>
  <si>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</si>
  <si>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</si>
  <si>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</si>
  <si>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</si>
  <si>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</si>
  <si>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</si>
  <si>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</si>
  <si>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</si>
  <si>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</si>
  <si>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</si>
  <si>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</si>
  <si>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</si>
  <si>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</si>
  <si>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</si>
  <si>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</si>
  <si>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</si>
  <si>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</si>
  <si>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</si>
  <si>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</si>
  <si>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</si>
  <si>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</si>
  <si>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</si>
  <si>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</si>
  <si>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</si>
  <si>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</si>
  <si>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</si>
  <si>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</si>
  <si>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</si>
  <si>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</si>
  <si>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</si>
  <si>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</si>
  <si>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</si>
  <si>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</si>
  <si>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</si>
  <si>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</si>
  <si>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</si>
  <si>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</si>
  <si>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</si>
  <si>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</si>
  <si>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</si>
  <si>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</si>
  <si>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</si>
  <si>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</si>
  <si>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</si>
  <si>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</si>
  <si>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</si>
  <si>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</si>
  <si>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</si>
  <si>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</si>
  <si>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</si>
  <si>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</si>
  <si>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</si>
  <si>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</si>
  <si>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</si>
  <si>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</si>
  <si>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</si>
  <si>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</si>
  <si>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</si>
  <si>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</si>
  <si>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</si>
  <si>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</si>
  <si>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</si>
  <si>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</si>
  <si>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</si>
  <si>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</si>
  <si>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</si>
  <si>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</si>
  <si>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</si>
  <si>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</si>
  <si>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</si>
  <si>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</si>
  <si>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</si>
  <si>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</si>
  <si>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</si>
  <si>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</si>
  <si>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</si>
  <si>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</si>
  <si>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</si>
  <si>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</si>
  <si>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</si>
  <si>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</si>
  <si>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</si>
  <si>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</si>
  <si>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</si>
  <si>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</si>
  <si>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</si>
  <si>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</si>
  <si>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</si>
  <si>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</si>
  <si>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</si>
  <si>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</si>
  <si>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</si>
  <si>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</si>
  <si>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</si>
  <si>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</si>
  <si>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</si>
  <si>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</si>
  <si>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</si>
  <si>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</si>
  <si>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</si>
  <si>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</si>
  <si>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</si>
  <si>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</si>
  <si>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</si>
  <si>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</si>
  <si>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</si>
  <si>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</si>
  <si>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</si>
  <si>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</si>
  <si>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</si>
  <si>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</si>
  <si>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</si>
  <si>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</si>
  <si>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</si>
  <si>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</si>
  <si>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</si>
  <si>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</si>
  <si>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</si>
  <si>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</si>
  <si>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</si>
  <si>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</si>
  <si>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</si>
  <si>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</si>
  <si>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</si>
  <si>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</si>
  <si>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</si>
  <si>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</si>
  <si>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</si>
  <si>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</si>
  <si>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</si>
  <si>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</si>
  <si>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</si>
  <si>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</si>
  <si>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</si>
  <si>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</si>
  <si>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</si>
  <si>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</si>
  <si>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</si>
  <si>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</si>
  <si>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</si>
  <si>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</si>
  <si>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</si>
  <si>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</si>
  <si>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</si>
  <si>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</si>
  <si>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</si>
  <si>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</si>
  <si>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</si>
  <si>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</si>
  <si>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</si>
  <si>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</si>
  <si>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</si>
  <si>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</si>
  <si>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</si>
  <si>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</si>
  <si>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</si>
  <si>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</si>
  <si>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</si>
  <si>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</si>
  <si>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</si>
  <si>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</si>
  <si>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</si>
  <si>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</si>
  <si>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</si>
  <si>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</si>
  <si>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</si>
  <si>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</si>
  <si>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</si>
  <si>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</si>
  <si>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</si>
  <si>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</si>
  <si>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</si>
  <si>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</si>
  <si>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</si>
  <si>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</si>
  <si>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</si>
  <si>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</si>
  <si>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</si>
  <si>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</si>
  <si>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</si>
  <si>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</si>
  <si>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</si>
  <si>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</si>
  <si>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</si>
  <si>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</si>
  <si>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</si>
  <si>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</si>
  <si>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</si>
  <si>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</si>
  <si>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</si>
  <si>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</si>
  <si>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</si>
  <si>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</si>
  <si>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</si>
  <si>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</si>
  <si>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</si>
  <si>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</si>
  <si>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</si>
  <si>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</si>
  <si>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</si>
  <si>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</si>
  <si>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</si>
  <si>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</si>
  <si>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</si>
  <si>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</si>
  <si>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</si>
  <si>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</si>
  <si>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</si>
  <si>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</si>
  <si>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</si>
  <si>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</si>
  <si>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</si>
  <si>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</si>
  <si>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</si>
  <si>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</si>
  <si>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</si>
  <si>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</si>
  <si>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</si>
  <si>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</si>
  <si>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</si>
  <si>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</si>
  <si>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</si>
  <si>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</si>
  <si>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</si>
  <si>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</si>
  <si>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</si>
  <si>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</si>
  <si>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</si>
  <si>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</si>
  <si>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</si>
  <si>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</si>
  <si>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</si>
  <si>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</si>
  <si>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</si>
  <si>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</si>
  <si>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</si>
  <si>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</si>
  <si>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</si>
  <si>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</si>
  <si>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</si>
  <si>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</si>
  <si>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</si>
  <si>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</si>
  <si>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</si>
  <si>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</si>
  <si>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</si>
  <si>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</si>
  <si>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</si>
  <si>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</si>
  <si>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</si>
  <si>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</si>
  <si>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</si>
  <si>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</si>
  <si>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</si>
  <si>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</si>
  <si>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</si>
  <si>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</si>
  <si>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</si>
  <si>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</si>
  <si>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</si>
  <si>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</si>
  <si>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</si>
  <si>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</si>
  <si>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</si>
  <si>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</si>
  <si>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</si>
  <si>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</si>
  <si>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</si>
  <si>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</si>
  <si>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</si>
  <si>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</si>
  <si>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</si>
  <si>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</si>
  <si>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</si>
  <si>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</si>
  <si>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</si>
  <si>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</si>
  <si>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</si>
  <si>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</si>
  <si>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</si>
  <si>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</si>
  <si>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</si>
  <si>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</si>
  <si>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</si>
  <si>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</si>
  <si>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</si>
  <si>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</si>
  <si>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</si>
  <si>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</si>
  <si>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</si>
  <si>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</si>
  <si>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</si>
  <si>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</si>
  <si>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</si>
  <si>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</si>
  <si>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</si>
  <si>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</si>
  <si>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</si>
  <si>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</si>
  <si>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</si>
  <si>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</si>
  <si>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</si>
  <si>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</si>
  <si>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</si>
  <si>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</si>
  <si>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</si>
  <si>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</si>
  <si>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</si>
  <si>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</si>
  <si>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</si>
  <si>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</si>
  <si>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</si>
  <si>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</si>
  <si>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</si>
  <si>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</si>
  <si>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</si>
  <si>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</si>
  <si>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</si>
  <si>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</si>
  <si>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</si>
  <si>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</si>
  <si>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</si>
  <si>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</si>
  <si>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</si>
  <si>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</si>
  <si>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</si>
  <si>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</si>
  <si>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</si>
  <si>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</si>
  <si>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</si>
  <si>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</si>
  <si>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</si>
  <si>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</si>
  <si>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</si>
  <si>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</si>
  <si>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</si>
  <si>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</si>
  <si>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</si>
  <si>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</si>
  <si>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</si>
  <si>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</si>
  <si>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</si>
  <si>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</si>
  <si>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</si>
  <si>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</si>
  <si>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</si>
  <si>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</si>
  <si>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</si>
  <si>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</si>
  <si>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</si>
  <si>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</si>
  <si>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</si>
  <si>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</si>
  <si>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</si>
  <si>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</si>
  <si>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</si>
  <si>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</si>
  <si>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 xml:space="preserve">         copied text from other locations or turned track changes off</t>
  </si>
  <si>
    <t>PREVIEW PERIOD</t>
  </si>
  <si>
    <t>Cc…to all contributing and affected staff</t>
  </si>
  <si>
    <t>EQC Facilitated Hearing</t>
  </si>
  <si>
    <t>Andrea Gartenbaum</t>
  </si>
  <si>
    <t xml:space="preserve">&gt; meeting sponsoring manager's task deadlines identified in this Schedule </t>
  </si>
  <si>
    <t>- establish SharePoint sub site, Rule_Development drive and archival spaces</t>
  </si>
  <si>
    <t>Review version history to help maintain rulemaking record                 &gt;</t>
  </si>
  <si>
    <t>DO NOT MAIL TO COMMENTERS UNTIL ALL STAFF REPORT IS FINALIZED</t>
  </si>
  <si>
    <t>Brian</t>
  </si>
  <si>
    <t>DavidC</t>
  </si>
  <si>
    <t>Brian Finneran</t>
  </si>
  <si>
    <t>David Collier</t>
  </si>
  <si>
    <t>Q-Time number = ?????</t>
  </si>
  <si>
    <t>\\deqhq1\Rule_Development\Currrent Plan\AQ-RM-GrantsPassLMP-Brian Finneran\1-Planning</t>
  </si>
  <si>
    <t>GPLMP</t>
  </si>
  <si>
    <t>Grants Pass</t>
  </si>
  <si>
    <t>Grants Pass Limited Maintenance Plans for CO and PM10</t>
  </si>
  <si>
    <t>Lydia</t>
  </si>
  <si>
    <t>http://deqsps/programs/rulemaking/aq/gplimited/default.aspx</t>
  </si>
  <si>
    <t>&amp;</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</si>
</sst>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s>
  <fills count="45">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bgColor theme="5" tint="0.39994506668294322"/>
      </patternFill>
    </fill>
    <fill>
      <patternFill patternType="solid">
        <fgColor rgb="FF92D050"/>
        <bgColor indexed="64"/>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3">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0"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39"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8" borderId="35" xfId="0" applyFont="1" applyFill="1" applyBorder="1" applyAlignment="1">
      <alignment horizontal="center"/>
    </xf>
    <xf numFmtId="164" fontId="119" fillId="10" borderId="71" xfId="0" applyFont="1" applyFill="1" applyBorder="1" applyAlignment="1">
      <alignment horizontal="left" indent="1"/>
    </xf>
    <xf numFmtId="164" fontId="56" fillId="38" borderId="72" xfId="0" applyFont="1" applyFill="1" applyBorder="1" applyAlignment="1">
      <alignment horizontal="center"/>
    </xf>
    <xf numFmtId="164" fontId="56" fillId="38" borderId="68" xfId="0" applyFont="1" applyFill="1" applyBorder="1" applyAlignment="1">
      <alignment horizontal="center" vertical="center"/>
    </xf>
    <xf numFmtId="164" fontId="0" fillId="38"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5" xfId="0" applyBorder="1"/>
    <xf numFmtId="0" fontId="147" fillId="6" borderId="81" xfId="0" applyNumberFormat="1" applyFont="1" applyFill="1" applyBorder="1" applyAlignment="1" applyProtection="1">
      <alignment horizontal="center" wrapText="1"/>
    </xf>
    <xf numFmtId="0" fontId="147" fillId="6" borderId="82"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xf numFmtId="166" fontId="73" fillId="8" borderId="87"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3"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89" xfId="0" applyFont="1" applyFill="1" applyBorder="1" applyAlignment="1">
      <alignment horizontal="center" vertical="center"/>
    </xf>
    <xf numFmtId="164" fontId="161" fillId="9" borderId="91"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2" xfId="0" applyNumberFormat="1" applyFont="1" applyFill="1" applyBorder="1" applyAlignment="1" applyProtection="1">
      <protection locked="0"/>
    </xf>
    <xf numFmtId="166" fontId="73" fillId="5" borderId="93" xfId="0" applyNumberFormat="1" applyFont="1" applyFill="1" applyBorder="1" applyAlignment="1" applyProtection="1">
      <protection locked="0"/>
    </xf>
    <xf numFmtId="164" fontId="0" fillId="0" borderId="94" xfId="0" applyBorder="1"/>
    <xf numFmtId="164" fontId="0" fillId="0" borderId="95" xfId="0" applyBorder="1"/>
    <xf numFmtId="166" fontId="73" fillId="42" borderId="96" xfId="0" applyNumberFormat="1" applyFont="1" applyFill="1" applyBorder="1" applyAlignment="1" applyProtection="1">
      <protection locked="0"/>
    </xf>
    <xf numFmtId="166" fontId="73" fillId="42" borderId="97" xfId="0" applyNumberFormat="1" applyFont="1" applyFill="1" applyBorder="1" applyAlignment="1" applyProtection="1">
      <protection locked="0"/>
    </xf>
    <xf numFmtId="164" fontId="3" fillId="9" borderId="94" xfId="0" applyFont="1" applyFill="1" applyBorder="1"/>
    <xf numFmtId="164" fontId="3" fillId="9" borderId="95" xfId="0" applyFont="1" applyFill="1" applyBorder="1"/>
    <xf numFmtId="166" fontId="73" fillId="11" borderId="96" xfId="0" applyNumberFormat="1" applyFont="1" applyFill="1" applyBorder="1" applyAlignment="1" applyProtection="1">
      <protection locked="0"/>
    </xf>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0"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1" xfId="0" applyFont="1" applyFill="1" applyBorder="1" applyAlignment="1">
      <alignment horizontal="center" vertical="center"/>
    </xf>
    <xf numFmtId="164" fontId="161" fillId="9" borderId="90"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73" fillId="2" borderId="0" xfId="0" quotePrefix="1" applyNumberFormat="1" applyFont="1" applyFill="1" applyBorder="1" applyAlignment="1" applyProtection="1">
      <alignment horizontal="left" vertical="center" wrapText="1" indent="4"/>
    </xf>
    <xf numFmtId="164" fontId="110" fillId="43" borderId="31" xfId="1" applyNumberFormat="1" applyFill="1" applyAlignment="1" applyProtection="1">
      <alignment horizontal="center" vertical="center"/>
    </xf>
    <xf numFmtId="166" fontId="89" fillId="0" borderId="0" xfId="0" applyNumberFormat="1" applyFont="1" applyFill="1" applyBorder="1" applyAlignment="1" applyProtection="1">
      <protection locked="0"/>
    </xf>
    <xf numFmtId="166" fontId="89" fillId="0" borderId="0" xfId="0" applyNumberFormat="1" applyFont="1" applyFill="1" applyBorder="1" applyAlignment="1" applyProtection="1"/>
    <xf numFmtId="0" fontId="110" fillId="35" borderId="31" xfId="1" applyAlignment="1" applyProtection="1">
      <alignment horizontal="center" vertical="center"/>
    </xf>
    <xf numFmtId="166" fontId="73" fillId="40" borderId="60" xfId="0" applyNumberFormat="1" applyFont="1" applyFill="1" applyBorder="1" applyAlignment="1" applyProtection="1">
      <alignment horizontal="right"/>
      <protection locked="0"/>
    </xf>
    <xf numFmtId="166" fontId="73" fillId="40" borderId="45" xfId="0" applyNumberFormat="1" applyFont="1" applyFill="1" applyBorder="1" applyAlignment="1" applyProtection="1">
      <alignment horizontal="right"/>
      <protection locked="0"/>
    </xf>
    <xf numFmtId="167" fontId="110" fillId="35" borderId="31" xfId="1" applyNumberFormat="1" applyAlignment="1" applyProtection="1">
      <alignment horizontal="left" vertical="center" wrapText="1"/>
    </xf>
    <xf numFmtId="166" fontId="80" fillId="0" borderId="73" xfId="0" applyNumberFormat="1" applyFont="1" applyFill="1" applyBorder="1" applyAlignment="1" applyProtection="1">
      <alignment horizontal="right" vertical="center"/>
      <protection locked="0"/>
    </xf>
    <xf numFmtId="164" fontId="73" fillId="44" borderId="0" xfId="0" applyNumberFormat="1" applyFont="1" applyFill="1" applyBorder="1" applyAlignment="1" applyProtection="1">
      <alignment horizontal="left" vertical="center" wrapText="1" indent="1"/>
    </xf>
    <xf numFmtId="164" fontId="73" fillId="44" borderId="0" xfId="1" applyNumberFormat="1" applyFont="1" applyFill="1" applyBorder="1" applyAlignment="1" applyProtection="1">
      <alignment horizontal="left" vertical="center" wrapText="1"/>
    </xf>
    <xf numFmtId="167" fontId="110" fillId="35" borderId="31" xfId="1" applyNumberFormat="1" applyAlignment="1" applyProtection="1">
      <alignment horizontal="left" vertical="center" wrapText="1" indent="2"/>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6"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4"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0" xfId="0" applyFont="1" applyFill="1" applyBorder="1" applyAlignment="1">
      <alignment horizontal="center" vertical="center" wrapText="1"/>
    </xf>
    <xf numFmtId="0" fontId="88" fillId="0" borderId="0" xfId="0" applyNumberFormat="1" applyFont="1" applyBorder="1" applyAlignment="1">
      <alignment horizontal="center" vertical="center"/>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8" borderId="68" xfId="0" applyFont="1" applyFill="1" applyBorder="1" applyAlignment="1">
      <alignment horizontal="center" vertical="center"/>
    </xf>
    <xf numFmtId="164" fontId="56" fillId="38"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8"/>
    </tableStyle>
    <tableStyle name="Table Style 2" pivot="0" count="1">
      <tableStyleElement type="wholeTable" dxfId="67"/>
    </tableStyle>
    <tableStyle name="TableStyleMedium9 2" pivot="0" count="7">
      <tableStyleElement type="wholeTable" dxfId="66"/>
      <tableStyleElement type="headerRow" dxfId="65"/>
      <tableStyleElement type="totalRow" dxfId="64"/>
      <tableStyleElement type="firstColumn" dxfId="63"/>
      <tableStyleElement type="lastColumn" dxfId="62"/>
      <tableStyleElement type="firstRowStripe" dxfId="61"/>
      <tableStyleElement type="firstColumnStripe" dxfId="60"/>
    </tableStyle>
    <tableStyle name="TableStyleMedium9 3" pivot="0" count="7">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 name="TimeTable" pivot="0" count="1">
      <tableStyleElement type="wholeTable" dxfId="52"/>
    </tableStyle>
  </tableStyles>
  <colors>
    <mruColors>
      <color rgb="FF09FF78"/>
      <color rgb="FF3BABFF"/>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file://deq000/templates/General/Agenda%20Template.dotx" TargetMode="External"/><Relationship Id="rId21" Type="http://schemas.openxmlformats.org/officeDocument/2006/relationships/hyperlink" Target="mailto:RulePublications@deq.state.or.us"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63" Type="http://schemas.openxmlformats.org/officeDocument/2006/relationships/hyperlink" Target="mailto:JoKRanch@hotmail.com" TargetMode="External"/><Relationship Id="rId68" Type="http://schemas.openxmlformats.org/officeDocument/2006/relationships/hyperlink" Target="file://DEQHQ1/../CleanFuelsPhase2/default.aspx" TargetMode="Externa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cjohnson@eou.edu" TargetMode="External"/><Relationship Id="rId74" Type="http://schemas.openxmlformats.org/officeDocument/2006/relationships/comments" Target="../comments1.xml"/><Relationship Id="rId5" Type="http://schemas.openxmlformats.org/officeDocument/2006/relationships/hyperlink" Target="http://deq05/intranet/contentmanagement/login.asp" TargetMode="External"/><Relationship Id="rId61" Type="http://schemas.openxmlformats.org/officeDocument/2006/relationships/hyperlink" Target="http://arcweb.sos.state.or.us/pages/rules/oars_300/oar_340/340_018.html"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EdArmstrong2@gmail.com" TargetMode="External"/><Relationship Id="rId69" Type="http://schemas.openxmlformats.org/officeDocument/2006/relationships/hyperlink" Target="file://deqhq1/Rule_Development/Currrent%20Plan/AQ-RM-GrantsPassLMP-Brian%20Finneran/1-Planning"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drawing" Target="../drawings/drawing1.x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MEden@neea.org"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hyperlink" Target="file://DEQHQ1/default.aspx" TargetMode="External"/><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10" Type="http://schemas.openxmlformats.org/officeDocument/2006/relationships/hyperlink" Target="http://www.lc.state.or.us/arrs.htm"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AQPermit@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MorganRider@gmail.com" TargetMode="External"/><Relationship Id="rId73" Type="http://schemas.openxmlformats.org/officeDocument/2006/relationships/vmlDrawing" Target="../drawings/vmlDrawing1.v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39" Type="http://schemas.openxmlformats.org/officeDocument/2006/relationships/hyperlink" Target="file://deq000/templates/General/Minutes%20Template.dotx" TargetMode="External"/><Relationship Id="rId34" Type="http://schemas.openxmlformats.org/officeDocument/2006/relationships/hyperlink" Target="http://deq05/intranet/communication/WebRequests.ht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7" Type="http://schemas.openxmlformats.org/officeDocument/2006/relationships/hyperlink" Target="http://deq05/intranet/communication/docs/DEQAgencyTemplate1.potx" TargetMode="External"/><Relationship Id="rId7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869"/>
  <sheetViews>
    <sheetView showGridLines="0" tabSelected="1" zoomScaleNormal="100" workbookViewId="0">
      <selection activeCell="G18" sqref="G18"/>
    </sheetView>
  </sheetViews>
  <sheetFormatPr defaultColWidth="9" defaultRowHeight="14.25" outlineLevelRow="3" outlineLevelCol="2"/>
  <cols>
    <col min="1" max="1" width="1.5" customWidth="1"/>
    <col min="2" max="2" width="63.125" customWidth="1"/>
    <col min="3" max="3" width="2.375" style="39" customWidth="1"/>
    <col min="4" max="4" width="2.375" style="725" customWidth="1"/>
    <col min="5" max="5" width="2.375" style="725"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c r="A1" s="145" t="s">
        <v>0</v>
      </c>
      <c r="B1" s="105" t="s">
        <v>28</v>
      </c>
      <c r="C1" s="141"/>
      <c r="D1" s="690" t="s">
        <v>0</v>
      </c>
      <c r="E1" s="690"/>
      <c r="F1" s="820" t="s">
        <v>0</v>
      </c>
      <c r="G1" s="1022" t="s">
        <v>0</v>
      </c>
      <c r="H1" s="1022"/>
      <c r="I1" s="745"/>
      <c r="AF1" s="361" t="s">
        <v>21</v>
      </c>
      <c r="AG1" s="59"/>
      <c r="AH1" s="76"/>
      <c r="AI1" s="816"/>
      <c r="AJ1" s="1020"/>
      <c r="AK1" s="1020"/>
      <c r="AL1" s="1020"/>
      <c r="AM1" s="1020"/>
      <c r="AN1" s="1020"/>
      <c r="AO1" s="1020"/>
    </row>
    <row r="2" spans="1:51" s="23" customFormat="1" ht="14.1" customHeight="1">
      <c r="A2" s="145"/>
      <c r="B2" s="797" t="str">
        <f>S.General.CodeName</f>
        <v>GPLMP</v>
      </c>
      <c r="C2" s="86" t="s">
        <v>0</v>
      </c>
      <c r="D2" s="171"/>
      <c r="E2" s="171"/>
      <c r="F2" s="382" t="s">
        <v>0</v>
      </c>
      <c r="G2" s="375" t="s">
        <v>283</v>
      </c>
      <c r="H2" s="375" t="s">
        <v>172</v>
      </c>
      <c r="I2" s="745"/>
      <c r="J2"/>
      <c r="K2"/>
      <c r="L2"/>
      <c r="M2"/>
      <c r="N2"/>
      <c r="O2"/>
      <c r="P2"/>
      <c r="Q2"/>
      <c r="R2"/>
      <c r="S2"/>
      <c r="T2"/>
      <c r="U2"/>
      <c r="X2"/>
      <c r="AB2"/>
      <c r="AC2"/>
      <c r="AF2" s="361" t="s">
        <v>59</v>
      </c>
      <c r="AG2" s="76"/>
      <c r="AH2" s="76"/>
      <c r="AI2" s="59"/>
      <c r="AJ2" s="68"/>
      <c r="AK2" s="58"/>
      <c r="AL2" s="76"/>
    </row>
    <row r="3" spans="1:51" s="23" customFormat="1" ht="14.1" customHeight="1">
      <c r="A3" s="145"/>
      <c r="B3" s="798" t="s">
        <v>0</v>
      </c>
      <c r="C3" s="1037" t="s">
        <v>0</v>
      </c>
      <c r="D3" s="1037"/>
      <c r="E3" s="1037"/>
      <c r="F3" s="1037"/>
      <c r="G3" s="799">
        <f ca="1">AG3</f>
        <v>41907</v>
      </c>
      <c r="H3" s="800">
        <f>AH3</f>
        <v>42170</v>
      </c>
      <c r="I3" s="745"/>
      <c r="J3"/>
      <c r="K3"/>
      <c r="L3"/>
      <c r="M3"/>
      <c r="N3"/>
      <c r="O3"/>
      <c r="P3"/>
      <c r="Q3"/>
      <c r="R3"/>
      <c r="S3"/>
      <c r="T3"/>
      <c r="U3"/>
      <c r="X3"/>
      <c r="AB3"/>
      <c r="AC3"/>
      <c r="AF3" s="361" t="s">
        <v>59</v>
      </c>
      <c r="AG3" s="60">
        <f ca="1">TODAY()</f>
        <v>41907</v>
      </c>
      <c r="AH3" s="60">
        <f>S.EndOfRulemaking</f>
        <v>42170</v>
      </c>
      <c r="AI3" s="479" t="s">
        <v>0</v>
      </c>
      <c r="AJ3" s="380"/>
      <c r="AK3" s="348" t="str">
        <f>"Last row = "&amp;ROW(S.General.LastCellSchedule)</f>
        <v>Last row = 866</v>
      </c>
      <c r="AL3" s="76"/>
      <c r="AS3" s="1031"/>
      <c r="AT3" s="1031"/>
      <c r="AU3" s="1031"/>
      <c r="AV3" s="1031"/>
      <c r="AW3" s="1031"/>
      <c r="AX3" s="1031"/>
      <c r="AY3" s="1031"/>
    </row>
    <row r="4" spans="1:51" ht="6" customHeight="1" thickBot="1">
      <c r="A4" s="163"/>
      <c r="B4" s="106" t="s">
        <v>793</v>
      </c>
      <c r="C4" s="98"/>
      <c r="D4" s="691"/>
      <c r="E4" s="691"/>
      <c r="F4" s="99"/>
      <c r="G4" s="98"/>
      <c r="H4" s="98"/>
      <c r="I4" s="745"/>
      <c r="AF4" s="361" t="s">
        <v>16</v>
      </c>
      <c r="AG4" s="58"/>
      <c r="AH4" s="58"/>
      <c r="AI4" s="58"/>
      <c r="AJ4" s="160"/>
      <c r="AK4" s="58"/>
      <c r="AL4" s="76"/>
      <c r="AM4"/>
    </row>
    <row r="5" spans="1:51" s="23" customFormat="1" ht="39.75" hidden="1" customHeight="1" thickBot="1">
      <c r="A5" s="163"/>
      <c r="B5" s="1034" t="s">
        <v>645</v>
      </c>
      <c r="C5" s="1034"/>
      <c r="D5" s="1034"/>
      <c r="E5" s="1034"/>
      <c r="F5" s="1034"/>
      <c r="G5" s="840"/>
      <c r="H5" s="840"/>
      <c r="I5" s="918"/>
      <c r="J5"/>
      <c r="K5"/>
      <c r="L5"/>
      <c r="M5"/>
      <c r="N5"/>
      <c r="O5"/>
      <c r="P5"/>
      <c r="Q5"/>
      <c r="R5"/>
      <c r="S5"/>
      <c r="T5"/>
      <c r="U5"/>
      <c r="X5"/>
      <c r="AB5"/>
      <c r="AC5"/>
      <c r="AF5" s="361">
        <v>0</v>
      </c>
      <c r="AG5" s="58"/>
      <c r="AH5" s="808" t="s">
        <v>647</v>
      </c>
      <c r="AI5" s="58" t="s">
        <v>0</v>
      </c>
      <c r="AJ5" s="160"/>
      <c r="AK5" s="497" t="s">
        <v>0</v>
      </c>
      <c r="AL5" s="76"/>
    </row>
    <row r="6" spans="1:51" s="23" customFormat="1" ht="14.1" customHeight="1" thickTop="1" thickBot="1">
      <c r="A6" s="163"/>
      <c r="B6" s="330" t="s">
        <v>646</v>
      </c>
      <c r="C6" s="481" t="s">
        <v>16</v>
      </c>
      <c r="F6" s="899"/>
      <c r="G6" s="333">
        <v>41820</v>
      </c>
      <c r="I6" s="919"/>
      <c r="AF6" s="362">
        <f>IF(C6="N",0,1)</f>
        <v>1</v>
      </c>
      <c r="AG6" s="58"/>
      <c r="AH6" s="809">
        <f>IF(C6="N",S.Overview.BANNER.Start,G6)</f>
        <v>41820</v>
      </c>
      <c r="AI6" s="34"/>
      <c r="AJ6" s="344"/>
      <c r="AK6" s="58"/>
      <c r="AL6" s="76"/>
    </row>
    <row r="7" spans="1:51" s="23" customFormat="1" ht="6.75" customHeight="1" thickBot="1">
      <c r="A7" s="163"/>
      <c r="B7" s="328"/>
      <c r="C7" s="327"/>
      <c r="D7" s="524"/>
      <c r="E7" s="524"/>
      <c r="F7" s="900"/>
      <c r="G7" s="279"/>
      <c r="H7" s="279" t="s">
        <v>0</v>
      </c>
      <c r="I7" s="920"/>
      <c r="AF7" s="361">
        <v>0</v>
      </c>
      <c r="AG7" s="76"/>
      <c r="AH7" s="59"/>
      <c r="AI7" s="59"/>
      <c r="AJ7" s="344"/>
      <c r="AK7" s="34"/>
      <c r="AL7" s="76"/>
    </row>
    <row r="8" spans="1:51" s="39" customFormat="1" ht="13.5" customHeight="1" thickBot="1">
      <c r="A8" s="163"/>
      <c r="B8" s="371" t="str">
        <f>AK8</f>
        <v xml:space="preserve">PERMANENT Rulemaking </v>
      </c>
      <c r="C8" s="801" t="s">
        <v>358</v>
      </c>
      <c r="F8" s="901" t="s">
        <v>0</v>
      </c>
      <c r="I8" s="921">
        <f>IF(S.General.RuleType="P",60,30)</f>
        <v>60</v>
      </c>
      <c r="AF8" s="362">
        <v>1</v>
      </c>
      <c r="AG8" s="803"/>
      <c r="AH8" s="803"/>
      <c r="AI8" s="34"/>
      <c r="AJ8" s="804"/>
      <c r="AK8" s="805" t="str">
        <f>IF(S.General.RuleType="P","PERMANENT Rulemaking ","TEMPORARY Rulemaking")</f>
        <v xml:space="preserve">PERMANENT Rulemaking </v>
      </c>
      <c r="AL8" s="802"/>
    </row>
    <row r="9" spans="1:51" s="23" customFormat="1" ht="6.75" customHeight="1" thickBot="1">
      <c r="A9" s="163"/>
      <c r="B9" s="328"/>
      <c r="C9" s="327"/>
      <c r="D9" s="524"/>
      <c r="E9" s="524"/>
      <c r="F9" s="900"/>
      <c r="G9" s="279"/>
      <c r="H9" s="279"/>
      <c r="I9" s="920"/>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2</v>
      </c>
      <c r="F10" s="902" t="s">
        <v>0</v>
      </c>
      <c r="G10"/>
      <c r="H10"/>
      <c r="I10" s="922">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hidden="1" customHeight="1">
      <c r="A11" s="163"/>
      <c r="B11" s="328"/>
      <c r="C11" s="327"/>
      <c r="D11" s="524"/>
      <c r="E11" s="524"/>
      <c r="F11" s="900"/>
      <c r="G11" s="807"/>
      <c r="H11" s="279"/>
      <c r="I11" s="920"/>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6" t="str">
        <f>AK12</f>
        <v>Advisory Committee - not involved</v>
      </c>
      <c r="C12" s="481" t="s">
        <v>206</v>
      </c>
      <c r="D12" s="509" t="str">
        <f>HYPERLINK("\\deqhq1\Rule_Resources\i\2-AdvisoryCommittee.pdf","i")</f>
        <v>i</v>
      </c>
      <c r="E12" s="75"/>
      <c r="F12" s="902" t="s">
        <v>0</v>
      </c>
      <c r="G12" s="914">
        <v>41761</v>
      </c>
      <c r="H12" s="915">
        <f>AH12 AH12</f>
        <v>0</v>
      </c>
      <c r="I12" s="922">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7"/>
      <c r="C13" s="849"/>
      <c r="D13" s="850"/>
      <c r="E13" s="850"/>
      <c r="F13" s="903"/>
      <c r="G13" s="332"/>
      <c r="H13" s="332"/>
      <c r="I13" s="923"/>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1"/>
      <c r="E14" s="851"/>
      <c r="F14" s="902">
        <f>IF(S.Fee.Involved="N",0,14)</f>
        <v>0</v>
      </c>
      <c r="G14" s="291">
        <f>AG14</f>
        <v>0</v>
      </c>
      <c r="H14" s="309">
        <f>AH14</f>
        <v>0</v>
      </c>
      <c r="I14" s="922">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4" t="str">
        <f>HYPERLINK("\\deqhq1\Rule_Resources\i\3-FeeApproval.pdf","i")</f>
        <v>i</v>
      </c>
      <c r="E15" s="694"/>
      <c r="F15" s="902">
        <f>IF(S.Fee.Involved="N",0,IF(S.Fee.DASApprovalRequired="N",0,21))</f>
        <v>0</v>
      </c>
      <c r="G15" s="360"/>
      <c r="H15" s="360"/>
      <c r="I15" s="922">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6"/>
      <c r="E16" s="696"/>
      <c r="F16" s="902">
        <f>IF(F20=45,0,30)</f>
        <v>0</v>
      </c>
      <c r="G16" s="369" t="s">
        <v>0</v>
      </c>
      <c r="H16" s="811">
        <f>AH16</f>
        <v>0</v>
      </c>
      <c r="I16" s="922">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35"/>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thickBot="1">
      <c r="A17" s="145"/>
      <c r="B17" s="847"/>
      <c r="C17" s="849"/>
      <c r="D17" s="850"/>
      <c r="E17" s="850"/>
      <c r="F17" s="903"/>
      <c r="G17" s="332"/>
      <c r="H17" s="332"/>
      <c r="I17" s="923"/>
      <c r="J17"/>
      <c r="K17"/>
      <c r="L17"/>
      <c r="M17"/>
      <c r="N17"/>
      <c r="O17"/>
      <c r="P17"/>
      <c r="Q17"/>
      <c r="R17"/>
      <c r="S17"/>
      <c r="T17"/>
      <c r="U17"/>
      <c r="X17"/>
      <c r="AB17"/>
      <c r="AC17"/>
      <c r="AF17" s="361">
        <v>0</v>
      </c>
      <c r="AG17" s="64"/>
      <c r="AH17" s="59"/>
      <c r="AI17" s="1035"/>
      <c r="AJ17" s="344"/>
      <c r="AK17" s="65"/>
      <c r="AL17" s="76"/>
    </row>
    <row r="18" spans="1:41" s="23" customFormat="1" ht="13.5" customHeight="1" thickBot="1">
      <c r="A18" s="163"/>
      <c r="B18" s="330" t="str">
        <f>AK18</f>
        <v>State Implementation Plan (AQ rules)</v>
      </c>
      <c r="C18" s="481" t="s">
        <v>16</v>
      </c>
      <c r="D18" s="852"/>
      <c r="E18" s="852"/>
      <c r="F18" s="902">
        <f>IF(S.SIP.Involved="N",0,IF(S.General.Complexity=1,0,112))</f>
        <v>112</v>
      </c>
      <c r="G18" s="842" t="s">
        <v>0</v>
      </c>
      <c r="H18" s="75"/>
      <c r="I18" s="922">
        <f>IF(S.SIP.Involved="N",0,IF(S.General.Complexity=1,0,112))</f>
        <v>112</v>
      </c>
      <c r="J18"/>
      <c r="K18"/>
      <c r="L18"/>
      <c r="M18"/>
      <c r="N18"/>
      <c r="O18"/>
      <c r="P18"/>
      <c r="Q18"/>
      <c r="R18"/>
      <c r="S18"/>
      <c r="T18"/>
      <c r="U18"/>
      <c r="X18"/>
      <c r="AB18"/>
      <c r="AC18"/>
      <c r="AF18" s="362">
        <f>IF(S.SIP.Involved="N",0,1)</f>
        <v>1</v>
      </c>
      <c r="AG18" s="48"/>
      <c r="AH18" s="48"/>
      <c r="AI18" s="1035"/>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c r="A19" s="145"/>
      <c r="B19" s="204" t="str">
        <f>AK19</f>
        <v xml:space="preserve">EPA - submit SIP Development Plan 6 months before comment period opens </v>
      </c>
      <c r="C19" s="75"/>
      <c r="D19" s="853" t="s">
        <v>0</v>
      </c>
      <c r="E19" s="853"/>
      <c r="F19" s="903"/>
      <c r="G19" s="854" t="s">
        <v>0</v>
      </c>
      <c r="H19" s="811">
        <f>AH19</f>
        <v>41806</v>
      </c>
      <c r="I19" s="923"/>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41806</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c r="A20" s="163"/>
      <c r="B20" s="276" t="str">
        <f>AK20</f>
        <v>EPA - submit at least 45 days before submitting notice to Rules Publications</v>
      </c>
      <c r="D20" s="693"/>
      <c r="E20" s="693"/>
      <c r="F20" s="902">
        <f>IF(S.SIP.Involved="N",,IF(S.General.Complexity=1,0,45))</f>
        <v>45</v>
      </c>
      <c r="G20" s="843" t="s">
        <v>0</v>
      </c>
      <c r="H20" s="265">
        <f>AH20</f>
        <v>41897</v>
      </c>
      <c r="I20" s="922">
        <f>IF(S.SIP.Involved="N",,IF(S.General.Complexity=1,0,45))</f>
        <v>45</v>
      </c>
      <c r="AF20" s="362">
        <f>IF(S.SIP.Involved="Y",1,0)</f>
        <v>1</v>
      </c>
      <c r="AG20" s="48"/>
      <c r="AH20" s="916">
        <f>IF(S.SIP.Involved="N",,IF(S.Notice.Involved="N","ERROR",WORKDAY(S.Notice.SubmitToSOS-90,-1,S.DDL_DEQClosed)))</f>
        <v>41897</v>
      </c>
      <c r="AI20" s="868" t="s">
        <v>0</v>
      </c>
      <c r="AJ20" s="344"/>
      <c r="AK20" s="63" t="str">
        <f>IF(S.SIP.Involved="N","-blank-",IF(ISERROR(H20)=TRUE,"ERROR - Must enter 'Y' to involve public notice and hearing below","EPA - submit at least 45 days before submitting notice to Rules Publications"))</f>
        <v>EPA - submit at least 45 days before submitting notice to Rules Publications</v>
      </c>
      <c r="AL20" s="76"/>
    </row>
    <row r="21" spans="1:41" s="23" customFormat="1" ht="6" customHeight="1" thickBot="1">
      <c r="A21" s="145"/>
      <c r="B21" s="329"/>
      <c r="C21" s="329"/>
      <c r="D21" s="850"/>
      <c r="E21" s="850"/>
      <c r="F21" s="903"/>
      <c r="G21" s="332"/>
      <c r="H21" s="855"/>
      <c r="I21" s="923"/>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2"/>
      <c r="E22" s="852"/>
      <c r="F22" s="902" t="s">
        <v>767</v>
      </c>
      <c r="G22" s="977">
        <f>AG22</f>
        <v>41820</v>
      </c>
      <c r="H22" s="978">
        <f>AH22</f>
        <v>42024</v>
      </c>
      <c r="I22" s="922" t="s">
        <v>0</v>
      </c>
      <c r="J22"/>
      <c r="K22"/>
      <c r="L22"/>
      <c r="M22"/>
      <c r="N22"/>
      <c r="O22"/>
      <c r="P22"/>
      <c r="Q22"/>
      <c r="R22"/>
      <c r="S22"/>
      <c r="T22"/>
      <c r="U22"/>
      <c r="X22"/>
      <c r="AB22"/>
      <c r="AC22"/>
      <c r="AF22" s="361">
        <f>IF(S.Notice.Involved="N",0,1)</f>
        <v>1</v>
      </c>
      <c r="AG22" s="60">
        <f>IF(S.Notice.Involved="N",,S.DIRECTOR.Approves.ForDEQRulemakingPlan)</f>
        <v>41820</v>
      </c>
      <c r="AH22" s="60">
        <f>IF(S.Notice.Involved="N",,S.Notice.CloseComment)</f>
        <v>42024</v>
      </c>
      <c r="AI22" s="59" t="s">
        <v>768</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DavidC - approval to submit Notice Packet to Rule Publication</v>
      </c>
      <c r="F23" s="902">
        <v>5</v>
      </c>
      <c r="G23" s="291">
        <f>AG23</f>
        <v>41941</v>
      </c>
      <c r="H23" s="291">
        <f>AH23</f>
        <v>41946</v>
      </c>
      <c r="I23" s="922">
        <f>IF(S.Notice.Involved="N",0,10)</f>
        <v>10</v>
      </c>
      <c r="AF23" s="361">
        <f>IF(S.Notice.Involved="Y",1,0)</f>
        <v>1</v>
      </c>
      <c r="AG23" s="60">
        <f>IF(S.Notice.Involved="N",,WORKDAY(H23-F23+1,-1,S.DDL_DEQClosed))</f>
        <v>41941</v>
      </c>
      <c r="AH23" s="60">
        <f>IF(S.Notice.Involved="N",,WORKDAY(S.Notice.Submit.ToADA-20,-1,S.DDL_DEQClosed))</f>
        <v>41946</v>
      </c>
      <c r="AI23" s="951">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c r="A24" s="145" t="s">
        <v>0</v>
      </c>
      <c r="B24" s="204" t="str">
        <f t="shared" si="0"/>
        <v>Due to Rule Publication (AndreaG) - final edits and validations</v>
      </c>
      <c r="F24" s="902">
        <v>10</v>
      </c>
      <c r="G24" s="913">
        <f>AG24</f>
        <v>41943</v>
      </c>
      <c r="H24" s="309">
        <f t="shared" ref="H24" si="1">AH24</f>
        <v>41953</v>
      </c>
      <c r="I24" s="922">
        <f>IF(S.Notice.Involved="N",0,IF(S.General.Complexity=1,7,IF(S.General.Complexity=2,14,21)))</f>
        <v>14</v>
      </c>
      <c r="AF24" s="361">
        <f>IF(S.Notice.Involved="Y",1,0)</f>
        <v>1</v>
      </c>
      <c r="AG24" s="60">
        <f>IF(S.Notice.Involved="N",,WORKDAY(H24-F24+1,-1,S.DDL_DEQClosed))</f>
        <v>41943</v>
      </c>
      <c r="AH24" s="60">
        <f>IF(S.Notice.Involved="N",,WORKDAY(S.Notice.Submit.ToADA-13,-1,S.DDL_DEQClosed))</f>
        <v>41953</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c r="A25" s="145" t="s">
        <v>0</v>
      </c>
      <c r="B25" s="912" t="str">
        <f>AK25</f>
        <v>Due to Uri for input and approval to publish Notice Packet</v>
      </c>
      <c r="F25" s="902">
        <v>7</v>
      </c>
      <c r="G25" s="913">
        <f>AG25</f>
        <v>41967</v>
      </c>
      <c r="H25" s="309">
        <f>AH25</f>
        <v>41974</v>
      </c>
      <c r="I25" s="922">
        <v>7</v>
      </c>
      <c r="J25"/>
      <c r="K25"/>
      <c r="L25"/>
      <c r="M25"/>
      <c r="N25"/>
      <c r="O25"/>
      <c r="P25"/>
      <c r="Q25"/>
      <c r="R25"/>
      <c r="S25"/>
      <c r="T25"/>
      <c r="U25"/>
      <c r="X25"/>
      <c r="AB25"/>
      <c r="AC25"/>
      <c r="AF25" s="361">
        <f>IF(S.Notice.Involved="Y",1,0)</f>
        <v>1</v>
      </c>
      <c r="AG25" s="60">
        <f>IF(S.Notice.Involved="N",,WORKDAY(H25-F25+1,-1,S.DDL_DEQClosed))</f>
        <v>41967</v>
      </c>
      <c r="AH25" s="60">
        <f>IF(S.Notice.Involved="N",,WORKDAY(S.Notice.SubmitToSOS-13,-1,S.DDL_DEQClosed))</f>
        <v>41974</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5"/>
      <c r="E26" s="695"/>
      <c r="G26" s="843"/>
      <c r="H26" s="841">
        <f>AH26</f>
        <v>41988</v>
      </c>
      <c r="I26" s="745"/>
      <c r="AF26" s="361">
        <f>IF(S.Notice.Involved="Y",1,0)</f>
        <v>1</v>
      </c>
      <c r="AG26" s="48"/>
      <c r="AH26" s="60">
        <f>IF(S.Notice.Involved="N",,VLOOKUP(S.Notice.InOregonBulletin,VL_Bulletin,2,FALSE))</f>
        <v>41988</v>
      </c>
      <c r="AI26" s="868"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1038" t="s">
        <v>685</v>
      </c>
      <c r="D27" s="1038"/>
      <c r="E27" s="1038"/>
      <c r="F27" s="1038"/>
      <c r="G27" s="1039"/>
      <c r="H27" s="839">
        <v>42005</v>
      </c>
      <c r="I27" s="745"/>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41974</v>
      </c>
      <c r="AI27" s="868"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6"/>
      <c r="E29" s="856"/>
      <c r="F29" s="902" t="s">
        <v>0</v>
      </c>
      <c r="G29" s="977">
        <f>AG29</f>
        <v>41988</v>
      </c>
      <c r="H29" s="977">
        <f>AH29</f>
        <v>42037</v>
      </c>
      <c r="I29" s="924">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41988</v>
      </c>
      <c r="AH29" s="60">
        <f>IF(S.Notice.Involved="N",, S.EQC.SubmitStaffRpt)</f>
        <v>42037</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7"/>
      <c r="E30" s="857"/>
      <c r="F30" s="904"/>
      <c r="G30" s="369" t="s">
        <v>0</v>
      </c>
      <c r="H30" s="291">
        <f>AH30</f>
        <v>41989</v>
      </c>
      <c r="I30" s="925"/>
      <c r="J30"/>
      <c r="K30"/>
      <c r="L30"/>
      <c r="M30"/>
      <c r="N30"/>
      <c r="O30"/>
      <c r="P30"/>
      <c r="Q30"/>
      <c r="R30"/>
      <c r="S30"/>
      <c r="T30"/>
      <c r="U30"/>
      <c r="X30"/>
      <c r="AB30"/>
      <c r="AC30"/>
      <c r="AF30" s="361">
        <f>IF(S.Hearing.1stInvolve="N",0,1)</f>
        <v>1</v>
      </c>
      <c r="AG30" s="48"/>
      <c r="AH30" s="60">
        <f>IF(S.Hearing.1stInvolve="N",,WORKDAY(S.Notice.SubmitToSOS,1,S.DDL_DEQClosed))</f>
        <v>41989</v>
      </c>
      <c r="AI30" s="48"/>
      <c r="AJ30" s="162"/>
      <c r="AK30" s="78" t="str">
        <f>IF(S.Notice.Involved="N","-blank-","Open public comment ")</f>
        <v xml:space="preserve">Open public comment </v>
      </c>
      <c r="AL30" s="76"/>
    </row>
    <row r="31" spans="1:41" ht="13.5" customHeight="1">
      <c r="A31" s="145"/>
      <c r="B31" s="342" t="str">
        <f t="shared" si="0"/>
        <v>Hold 1st hearing at least 30 days AFTER open comment - EPA SIP requirement</v>
      </c>
      <c r="D31" s="851"/>
      <c r="E31" s="851"/>
      <c r="F31" s="905"/>
      <c r="G31" s="369" t="s">
        <v>0</v>
      </c>
      <c r="H31" s="291">
        <f>AH31</f>
        <v>42019</v>
      </c>
      <c r="I31" s="925"/>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42019</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c r="A32" s="145"/>
      <c r="B32" s="204" t="str">
        <f t="shared" si="0"/>
        <v>Close public comment - DEQ best practice, 3 days after last hearing</v>
      </c>
      <c r="C32" s="304"/>
      <c r="D32" s="858"/>
      <c r="E32" s="858"/>
      <c r="F32" s="905"/>
      <c r="G32" s="369" t="s">
        <v>0</v>
      </c>
      <c r="H32" s="291">
        <f>AH32</f>
        <v>42024</v>
      </c>
      <c r="I32" s="925"/>
      <c r="AF32" s="361">
        <f>IF(S.Hearing.1stInvolve="N",0,1)</f>
        <v>1</v>
      </c>
      <c r="AG32" s="48"/>
      <c r="AH32" s="60">
        <f>IF(AF32=0,,IF(S.Notice.Involved="N",S.DIRECTOR.Approves.ForDEQRulemakingPlan,WORKDAY(S.Notice.LastHearingDate+2,1,S.DDL_DEQClosed)))</f>
        <v>42024</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06"/>
      <c r="G33" s="329"/>
      <c r="H33" s="329"/>
      <c r="I33" s="926"/>
      <c r="AE33" s="40"/>
      <c r="AF33" s="361">
        <v>1</v>
      </c>
      <c r="AG33" s="48"/>
      <c r="AH33" s="60"/>
      <c r="AI33" s="59"/>
      <c r="AJ33" s="162"/>
      <c r="AK33" s="78"/>
      <c r="AL33" s="76"/>
    </row>
    <row r="34" spans="1:39" s="23" customFormat="1" ht="13.5" customHeight="1">
      <c r="A34" s="145"/>
      <c r="B34" s="330" t="s">
        <v>171</v>
      </c>
      <c r="C34" s="304"/>
      <c r="D34" s="845"/>
      <c r="E34" s="845"/>
      <c r="F34" s="904"/>
      <c r="G34" s="977">
        <f>AG34</f>
        <v>41988</v>
      </c>
      <c r="H34" s="977">
        <f>AH34</f>
        <v>42037</v>
      </c>
      <c r="I34" s="925"/>
      <c r="J34"/>
      <c r="K34"/>
      <c r="L34"/>
      <c r="M34"/>
      <c r="N34"/>
      <c r="O34"/>
      <c r="P34"/>
      <c r="Q34"/>
      <c r="R34"/>
      <c r="S34"/>
      <c r="T34"/>
      <c r="U34"/>
      <c r="X34"/>
      <c r="AB34"/>
      <c r="AC34"/>
      <c r="AF34" s="361">
        <v>1</v>
      </c>
      <c r="AG34" s="60">
        <f>S.Notice.SubmitToSOS</f>
        <v>41988</v>
      </c>
      <c r="AH34" s="60">
        <f>S.EQC.SubmitStaffRpt</f>
        <v>42037</v>
      </c>
      <c r="AI34" s="59"/>
      <c r="AJ34" s="161"/>
      <c r="AK34" s="869" t="s">
        <v>692</v>
      </c>
      <c r="AL34" s="76"/>
    </row>
    <row r="35" spans="1:39" s="23" customFormat="1" ht="6" customHeight="1">
      <c r="A35" s="145"/>
      <c r="B35" s="204"/>
      <c r="C35" s="335"/>
      <c r="D35" s="697"/>
      <c r="E35" s="697"/>
      <c r="F35" s="905"/>
      <c r="G35" s="369"/>
      <c r="H35" s="960"/>
      <c r="I35" s="925"/>
      <c r="AE35" s="40"/>
      <c r="AF35" s="361">
        <v>1</v>
      </c>
      <c r="AG35" s="48"/>
      <c r="AH35" s="48"/>
      <c r="AI35" s="59"/>
      <c r="AJ35" s="162"/>
      <c r="AK35" s="78"/>
      <c r="AL35" s="76"/>
    </row>
    <row r="36" spans="1:39" s="23" customFormat="1" ht="14.1" customHeight="1" thickBot="1">
      <c r="A36" s="163"/>
      <c r="B36" s="372" t="str">
        <f>AK36</f>
        <v>Involvement before Rulemaking Action Item</v>
      </c>
      <c r="C36" s="370"/>
      <c r="D36" s="699"/>
      <c r="E36" s="699"/>
      <c r="F36" s="907"/>
      <c r="G36" s="860" t="s">
        <v>69</v>
      </c>
      <c r="H36" s="861" t="s">
        <v>68</v>
      </c>
      <c r="I36" s="927"/>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c r="A37" s="163"/>
      <c r="B37" s="359" t="str">
        <f>AK37</f>
        <v>Director's Report - some material comes from monthly status report</v>
      </c>
      <c r="C37" s="482" t="s">
        <v>16</v>
      </c>
      <c r="D37" s="694" t="str">
        <f>HYPERLINK("http://deqsps/groups/eqc/docs/EQCDeadlines.docx","i")</f>
        <v>i</v>
      </c>
      <c r="E37" s="694"/>
      <c r="F37" s="907"/>
      <c r="G37" s="862">
        <v>41821</v>
      </c>
      <c r="H37" s="862">
        <v>41821</v>
      </c>
      <c r="I37" s="927"/>
      <c r="J37"/>
      <c r="K37"/>
      <c r="L37"/>
      <c r="M37"/>
      <c r="N37"/>
      <c r="O37"/>
      <c r="P37"/>
      <c r="Q37"/>
      <c r="R37"/>
      <c r="S37"/>
      <c r="T37"/>
      <c r="U37"/>
      <c r="X37"/>
      <c r="AB37"/>
      <c r="AC37"/>
      <c r="AF37" s="362">
        <f>IF(S.EQC.DirReport="Y",1,0)</f>
        <v>1</v>
      </c>
      <c r="AG37" s="60">
        <f>IF(S.EQC.DirReport="Y",S.DIRECTOR.Approves.ForDEQRulemakingPlan,)</f>
        <v>41820</v>
      </c>
      <c r="AH37" s="60">
        <f>IF(S.EQC.DirReport="Y",S.DIRECTOR.Approves.ForDEQRulemakingPlan,)</f>
        <v>41820</v>
      </c>
      <c r="AI37" s="157" t="str">
        <f>IF(OR(G37&gt;=S.EQC.Meeting,H37&gt;=S.EQC.Meeting),"Must be less than H13","")</f>
        <v/>
      </c>
      <c r="AJ37" s="162"/>
      <c r="AK37" s="67" t="str">
        <f>IF(S.EQC.DirReport="N","No Director's report requested","Director's Report - some material comes from monthly status report")</f>
        <v>Director's Report - some material comes from monthly status report</v>
      </c>
      <c r="AL37" s="76"/>
    </row>
    <row r="38" spans="1:39" s="23" customFormat="1" ht="14.1" hidden="1" customHeight="1" thickBot="1">
      <c r="A38" s="163"/>
      <c r="B38" s="359" t="str">
        <f>AK38</f>
        <v>No information item requested</v>
      </c>
      <c r="C38" s="481" t="s">
        <v>206</v>
      </c>
      <c r="D38" s="694" t="str">
        <f>HYPERLINK("http://deqsps/groups/eqc/docs/EQCDeadlines.docx","i")</f>
        <v>i</v>
      </c>
      <c r="E38" s="694"/>
      <c r="F38" s="902" t="s">
        <v>0</v>
      </c>
      <c r="G38" s="863">
        <f>AG38</f>
        <v>0</v>
      </c>
      <c r="H38" s="864">
        <f>AH38</f>
        <v>0</v>
      </c>
      <c r="I38" s="924">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206</v>
      </c>
      <c r="D39" s="700"/>
      <c r="E39" s="700"/>
      <c r="F39" s="907"/>
      <c r="G39" s="865">
        <f>AG39</f>
        <v>0</v>
      </c>
      <c r="H39" s="866">
        <v>41934</v>
      </c>
      <c r="I39" s="927"/>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hidden="1" customHeight="1">
      <c r="A40" s="145"/>
      <c r="B40" s="330" t="s">
        <v>0</v>
      </c>
      <c r="C40" s="335"/>
      <c r="D40" s="698"/>
      <c r="E40" s="698"/>
      <c r="F40" s="907"/>
      <c r="G40" s="336"/>
      <c r="H40" s="337"/>
      <c r="I40" s="927"/>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3" t="str">
        <f>AK41</f>
        <v>Rule Publication - submit PERMANENT staff report</v>
      </c>
      <c r="C41" s="338"/>
      <c r="D41" s="701"/>
      <c r="E41" s="701"/>
      <c r="F41" s="902" t="s">
        <v>0</v>
      </c>
      <c r="G41" s="369" t="s">
        <v>0</v>
      </c>
      <c r="H41" s="838">
        <f>AH41</f>
        <v>42037</v>
      </c>
      <c r="I41" s="924">
        <f>S.EQC.Meeting-S.EQC.SubmitStaffRpt</f>
        <v>41</v>
      </c>
      <c r="J41"/>
      <c r="K41"/>
      <c r="L41"/>
      <c r="M41"/>
      <c r="N41"/>
      <c r="O41"/>
      <c r="P41"/>
      <c r="Q41"/>
      <c r="R41"/>
      <c r="S41"/>
      <c r="T41"/>
      <c r="U41"/>
      <c r="X41"/>
      <c r="AB41"/>
      <c r="AC41"/>
      <c r="AF41" s="361">
        <v>1</v>
      </c>
      <c r="AG41" s="48"/>
      <c r="AH41" s="60">
        <f>VLOOKUP(S.EQC.Meeting,VL_EQCActivities,2,FALSE)</f>
        <v>42037</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3" t="str">
        <f>AK42</f>
        <v>EQC meeting - PERMANENT Rulemaking Action Item</v>
      </c>
      <c r="C42" s="1038" t="s">
        <v>685</v>
      </c>
      <c r="D42" s="1038"/>
      <c r="E42" s="1038"/>
      <c r="F42" s="1038"/>
      <c r="G42" s="1039"/>
      <c r="H42" s="983">
        <v>42078</v>
      </c>
      <c r="I42" s="745"/>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42172</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4"/>
      <c r="G43" s="1042" t="s">
        <v>0</v>
      </c>
      <c r="H43" s="1042"/>
      <c r="I43" s="928">
        <v>-55</v>
      </c>
      <c r="J43"/>
      <c r="K43"/>
      <c r="L43"/>
      <c r="M43"/>
      <c r="N43"/>
      <c r="O43"/>
      <c r="P43"/>
      <c r="Q43"/>
      <c r="R43"/>
      <c r="S43"/>
      <c r="T43"/>
      <c r="U43"/>
      <c r="X43"/>
      <c r="AB43"/>
      <c r="AC43"/>
      <c r="AF43" s="361">
        <v>1</v>
      </c>
      <c r="AG43" s="1036" t="s">
        <v>758</v>
      </c>
      <c r="AH43" s="1036"/>
      <c r="AI43" s="1036"/>
      <c r="AJ43" s="1036"/>
      <c r="AK43" s="1036"/>
      <c r="AL43" s="76"/>
    </row>
    <row r="44" spans="1:39" s="23" customFormat="1" ht="14.1" hidden="1" customHeight="1" thickTop="1">
      <c r="A44" s="145"/>
      <c r="C44" s="335"/>
      <c r="D44"/>
      <c r="G44" s="1042"/>
      <c r="H44" s="1042"/>
      <c r="I44" s="924">
        <f>SUM(I8:I42)</f>
        <v>326</v>
      </c>
      <c r="J44"/>
      <c r="K44"/>
      <c r="L44"/>
      <c r="M44"/>
      <c r="N44"/>
      <c r="O44"/>
      <c r="P44"/>
      <c r="Q44"/>
      <c r="R44"/>
      <c r="S44"/>
      <c r="T44"/>
      <c r="U44"/>
      <c r="X44"/>
      <c r="AB44"/>
      <c r="AC44"/>
      <c r="AF44" s="361">
        <v>1</v>
      </c>
      <c r="AG44" s="1036" t="s">
        <v>759</v>
      </c>
      <c r="AH44" s="1036"/>
      <c r="AI44" s="1036"/>
      <c r="AJ44" s="1036"/>
      <c r="AK44" s="1036"/>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179</v>
      </c>
      <c r="C46" s="304"/>
      <c r="D46" s="845"/>
      <c r="E46" s="845"/>
      <c r="F46" s="337" t="s">
        <v>0</v>
      </c>
      <c r="G46" s="977">
        <f>AG46</f>
        <v>42078</v>
      </c>
      <c r="H46" s="977">
        <f>AH46</f>
        <v>42170</v>
      </c>
      <c r="I46" s="745"/>
      <c r="J46"/>
      <c r="K46"/>
      <c r="L46"/>
      <c r="M46"/>
      <c r="N46"/>
      <c r="O46"/>
      <c r="P46"/>
      <c r="Q46"/>
      <c r="R46"/>
      <c r="S46"/>
      <c r="T46"/>
      <c r="U46"/>
      <c r="X46"/>
      <c r="AB46"/>
      <c r="AC46"/>
      <c r="AF46" s="361">
        <v>1</v>
      </c>
      <c r="AG46" s="60">
        <f>S.EQC.Meeting</f>
        <v>42078</v>
      </c>
      <c r="AH46" s="60">
        <f>WORKDAY(S.PostEQC.BANNER.Begin+89,1,S.DDL_DEQClosed)</f>
        <v>42170</v>
      </c>
      <c r="AI46" s="48"/>
      <c r="AJ46" s="345"/>
      <c r="AK46" s="573" t="s">
        <v>0</v>
      </c>
      <c r="AL46" s="76"/>
    </row>
    <row r="47" spans="1:39" s="23" customFormat="1" ht="15" customHeight="1" thickBot="1">
      <c r="A47" s="145"/>
      <c r="B47" s="204" t="s">
        <v>58</v>
      </c>
      <c r="C47" s="266"/>
      <c r="D47" s="702"/>
      <c r="E47" s="702"/>
      <c r="F47" s="260"/>
      <c r="G47" s="369" t="s">
        <v>0</v>
      </c>
      <c r="H47" s="291">
        <f>AH47</f>
        <v>42080</v>
      </c>
      <c r="I47" s="745"/>
      <c r="J47"/>
      <c r="K47"/>
      <c r="L47"/>
      <c r="M47"/>
      <c r="N47"/>
      <c r="O47"/>
      <c r="P47"/>
      <c r="Q47"/>
      <c r="R47"/>
      <c r="S47"/>
      <c r="T47"/>
      <c r="U47"/>
      <c r="X47"/>
      <c r="AB47"/>
      <c r="AC47"/>
      <c r="AF47" s="361">
        <v>1</v>
      </c>
      <c r="AG47" s="48"/>
      <c r="AH47" s="60">
        <f>WORKDAY(S.EQC.Meeting+1,1,S.DDL_DEQClosed)</f>
        <v>42080</v>
      </c>
      <c r="AI47" s="48"/>
      <c r="AJ47" s="345"/>
      <c r="AK47" s="574" t="s">
        <v>0</v>
      </c>
      <c r="AL47" s="76"/>
    </row>
    <row r="48" spans="1:39" s="23" customFormat="1" ht="15" hidden="1" customHeight="1" thickBot="1">
      <c r="A48" s="145" t="s">
        <v>0</v>
      </c>
      <c r="B48" s="204" t="str">
        <f>AK48</f>
        <v>DAS - fees not involved</v>
      </c>
      <c r="C48" s="266"/>
      <c r="D48" s="702"/>
      <c r="E48" s="702"/>
      <c r="F48" s="260"/>
      <c r="G48" s="369" t="s">
        <v>0</v>
      </c>
      <c r="H48" s="291">
        <f>AH48</f>
        <v>42083</v>
      </c>
      <c r="I48" s="745"/>
      <c r="J48"/>
      <c r="K48"/>
      <c r="L48"/>
      <c r="M48"/>
      <c r="N48"/>
      <c r="O48"/>
      <c r="P48"/>
      <c r="Q48"/>
      <c r="R48"/>
      <c r="S48"/>
      <c r="T48"/>
      <c r="U48"/>
      <c r="X48"/>
      <c r="AB48"/>
      <c r="AC48"/>
      <c r="AF48" s="361">
        <f>IF(S.Fee.Involved="Y",1,0)</f>
        <v>0</v>
      </c>
      <c r="AG48" s="76" t="s">
        <v>0</v>
      </c>
      <c r="AH48" s="60">
        <f>WORKDAY(S.EQC.Meeting+5,0,S.DDL_DEQClosed)</f>
        <v>42083</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8" t="s">
        <v>288</v>
      </c>
      <c r="C49" s="481" t="s">
        <v>16</v>
      </c>
      <c r="D49" s="335"/>
      <c r="E49" s="335"/>
      <c r="F49" s="260"/>
      <c r="G49" s="369" t="s">
        <v>0</v>
      </c>
      <c r="H49" s="291">
        <f>AH49</f>
        <v>42080</v>
      </c>
      <c r="I49" s="745"/>
      <c r="AF49" s="361">
        <v>1</v>
      </c>
      <c r="AG49" s="76" t="s">
        <v>0</v>
      </c>
      <c r="AH49" s="60">
        <f>S.PostEQC.FileRuleWithSOS</f>
        <v>42080</v>
      </c>
      <c r="AI49" s="48"/>
      <c r="AJ49" s="42"/>
      <c r="AK49" s="34" t="s">
        <v>0</v>
      </c>
      <c r="AL49" s="76"/>
      <c r="AM49"/>
    </row>
    <row r="50" spans="1:39" s="23" customFormat="1" ht="15" hidden="1" customHeight="1">
      <c r="A50" s="145"/>
      <c r="B50" s="204" t="str">
        <f>AK50</f>
        <v>EPA - goal to submit SIP within 60 days of adoption</v>
      </c>
      <c r="C50" s="339"/>
      <c r="D50" s="703"/>
      <c r="E50" s="703"/>
      <c r="F50" s="260"/>
      <c r="G50" s="334" t="s">
        <v>0</v>
      </c>
      <c r="H50" s="291">
        <f>AH50</f>
        <v>42138</v>
      </c>
      <c r="I50" s="745"/>
      <c r="J50"/>
      <c r="K50"/>
      <c r="L50"/>
      <c r="M50"/>
      <c r="N50"/>
      <c r="O50"/>
      <c r="P50"/>
      <c r="Q50"/>
      <c r="R50"/>
      <c r="S50"/>
      <c r="T50"/>
      <c r="U50"/>
      <c r="X50"/>
      <c r="AB50"/>
      <c r="AC50"/>
      <c r="AF50" s="362">
        <f>IF(S.SIP.Involved="Y",1,0)</f>
        <v>1</v>
      </c>
      <c r="AG50" s="48"/>
      <c r="AH50" s="60">
        <f>IF(S.SIP.Involved="N",,WORKDAY(S.EQC.Meeting+59,1,S.DDL_DEQClosed))</f>
        <v>42138</v>
      </c>
      <c r="AI50" s="48"/>
      <c r="AJ50" s="345"/>
      <c r="AK50" s="63" t="str">
        <f>IF(S.SIP.Involved="Y","EPA - goal to submit SIP within 60 days of adoption","EPA - SIP not involved")</f>
        <v>EPA - goal to submit SIP within 60 days of adoption</v>
      </c>
      <c r="AL50" s="76"/>
    </row>
    <row r="51" spans="1:39" ht="6.75" customHeight="1">
      <c r="A51" s="145"/>
      <c r="B51" s="314"/>
      <c r="C51" s="300"/>
      <c r="D51" s="704"/>
      <c r="E51" s="704"/>
      <c r="F51" s="315"/>
      <c r="G51" s="340"/>
      <c r="H51" s="300"/>
      <c r="I51" s="745"/>
      <c r="AF51" s="361" t="s">
        <v>0</v>
      </c>
      <c r="AG51" s="58"/>
      <c r="AH51" s="58"/>
      <c r="AI51" s="48"/>
      <c r="AJ51" s="42"/>
      <c r="AK51" s="34"/>
      <c r="AL51" s="76"/>
      <c r="AM51"/>
    </row>
    <row r="52" spans="1:39" s="23" customFormat="1" ht="20.25" customHeight="1">
      <c r="A52" s="145"/>
      <c r="B52" s="104" t="s">
        <v>186</v>
      </c>
      <c r="C52" s="84"/>
      <c r="D52" s="169" t="s">
        <v>60</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c r="A53" s="373"/>
      <c r="B53" s="455" t="str">
        <f>S.General.CodeName</f>
        <v>GPLMP</v>
      </c>
      <c r="C53" s="374" t="s">
        <v>0</v>
      </c>
      <c r="D53" s="374"/>
      <c r="E53" s="374"/>
      <c r="F53" s="382" t="s">
        <v>0</v>
      </c>
      <c r="G53" s="375" t="s">
        <v>57</v>
      </c>
      <c r="H53" s="375" t="s">
        <v>172</v>
      </c>
      <c r="I53" s="745"/>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customHeight="1" outlineLevel="1">
      <c r="A54" s="145"/>
      <c r="B54" s="383"/>
      <c r="C54" s="385"/>
      <c r="D54" s="114"/>
      <c r="E54" s="114"/>
      <c r="F54" s="386"/>
      <c r="G54" s="201">
        <f>S.DIRECTOR.Approves.ForDEQRulemakingPlan</f>
        <v>41820</v>
      </c>
      <c r="H54" s="201">
        <f>AH54</f>
        <v>41862</v>
      </c>
      <c r="I54" s="745"/>
      <c r="AF54" s="361" t="s">
        <v>59</v>
      </c>
      <c r="AG54" s="60">
        <f>S.DIRECTOR.Approves.ForDEQRulemakingPlan</f>
        <v>41820</v>
      </c>
      <c r="AH54" s="60">
        <f>IF(S.General.RuleType="P",WORKDAY(S.Notice.BANNER.Begin+39,1),S.EQC.BANNER.Begin)</f>
        <v>41862</v>
      </c>
      <c r="AI54" s="60">
        <f>MAX(H120:H214)</f>
        <v>41820</v>
      </c>
      <c r="AJ54" s="68"/>
      <c r="AK54" s="58"/>
      <c r="AL54" s="76"/>
      <c r="AM54"/>
    </row>
    <row r="55" spans="1:39" ht="6" customHeight="1" outlineLevel="1">
      <c r="A55" s="145"/>
      <c r="B55" s="106"/>
      <c r="C55" s="98"/>
      <c r="D55" s="691"/>
      <c r="E55" s="691"/>
      <c r="F55" s="99"/>
      <c r="G55" s="98"/>
      <c r="H55" s="98"/>
      <c r="I55" s="745"/>
      <c r="AF55" s="362" t="s">
        <v>16</v>
      </c>
      <c r="AG55" s="47"/>
      <c r="AH55" s="47"/>
      <c r="AI55" s="69"/>
      <c r="AJ55" s="69"/>
      <c r="AK55" s="35"/>
      <c r="AL55" s="76"/>
      <c r="AM55"/>
    </row>
    <row r="56" spans="1:39" s="23" customFormat="1" ht="12.75" customHeight="1" outlineLevel="1">
      <c r="A56" s="145"/>
      <c r="B56" s="538" t="s">
        <v>780</v>
      </c>
      <c r="C56" s="510" t="str">
        <f>HYPERLINK("\\deqhq1\Rule_Resources\i\0-VersionHistory.pdf","i")</f>
        <v>i</v>
      </c>
      <c r="D56" s="692"/>
      <c r="E56" s="692"/>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customHeight="1" outlineLevel="1">
      <c r="A57" s="145"/>
      <c r="B57" s="341" t="s">
        <v>533</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c r="A58" s="145"/>
      <c r="B58" s="911" t="str">
        <f t="shared" ref="B58:B98" si="2">AK58</f>
        <v>Subject expert, core team member - Brian</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v>
      </c>
      <c r="AL58" s="76"/>
    </row>
    <row r="59" spans="1:39" s="23" customFormat="1" ht="14.1" customHeight="1" outlineLevel="2">
      <c r="A59" s="145"/>
      <c r="B59" s="342" t="s">
        <v>736</v>
      </c>
      <c r="C59" s="97"/>
      <c r="D59" s="183"/>
      <c r="E59" s="183"/>
      <c r="G59" s="350"/>
      <c r="H59" s="350"/>
      <c r="I59" s="745"/>
      <c r="AF59" s="361">
        <v>1</v>
      </c>
      <c r="AG59" s="47"/>
      <c r="AH59" s="47"/>
      <c r="AI59" s="59"/>
      <c r="AJ59" s="43"/>
      <c r="AK59" s="35"/>
      <c r="AL59" s="76"/>
    </row>
    <row r="60" spans="1:39" s="23" customFormat="1" ht="14.1" customHeight="1" outlineLevel="2">
      <c r="A60" s="145"/>
      <c r="B60" s="342" t="s">
        <v>747</v>
      </c>
      <c r="C60" s="97"/>
      <c r="D60" s="183"/>
      <c r="E60" s="183"/>
      <c r="G60" s="350"/>
      <c r="H60" s="350"/>
      <c r="I60" s="745"/>
      <c r="AF60" s="361">
        <v>1</v>
      </c>
      <c r="AG60" s="47"/>
      <c r="AH60" s="47"/>
      <c r="AI60" s="59"/>
      <c r="AJ60" s="43"/>
      <c r="AK60" s="35"/>
      <c r="AL60" s="76"/>
    </row>
    <row r="61" spans="1:39" s="23" customFormat="1" ht="14.1" customHeight="1" outlineLevel="2">
      <c r="A61" s="145"/>
      <c r="B61" s="477" t="s">
        <v>745</v>
      </c>
      <c r="C61" s="97"/>
      <c r="D61" s="183"/>
      <c r="E61" s="183"/>
      <c r="G61" s="350"/>
      <c r="H61" s="350"/>
      <c r="I61" s="745"/>
      <c r="AF61" s="361">
        <v>1</v>
      </c>
      <c r="AG61" s="47"/>
      <c r="AH61" s="47"/>
      <c r="AI61" s="59"/>
      <c r="AJ61" s="43"/>
      <c r="AK61" s="35"/>
      <c r="AL61" s="76"/>
    </row>
    <row r="62" spans="1:39" s="23" customFormat="1" ht="14.1" customHeight="1" outlineLevel="2">
      <c r="A62" s="145"/>
      <c r="B62" s="477" t="s">
        <v>746</v>
      </c>
      <c r="C62" s="97"/>
      <c r="D62" s="183"/>
      <c r="E62" s="183"/>
      <c r="G62" s="350"/>
      <c r="H62" s="350"/>
      <c r="I62" s="745"/>
      <c r="AF62" s="361">
        <v>1</v>
      </c>
      <c r="AG62" s="47"/>
      <c r="AH62" s="47"/>
      <c r="AI62" s="59"/>
      <c r="AJ62" s="43"/>
      <c r="AK62" s="35"/>
      <c r="AL62" s="76"/>
    </row>
    <row r="63" spans="1:39" s="23" customFormat="1" ht="14.1" customHeight="1" outlineLevel="2">
      <c r="A63" s="145"/>
      <c r="B63" s="477" t="s">
        <v>744</v>
      </c>
      <c r="C63" s="97"/>
      <c r="D63" s="183"/>
      <c r="E63" s="183"/>
      <c r="G63" s="350"/>
      <c r="H63" s="350"/>
      <c r="I63" s="745"/>
      <c r="AF63" s="361">
        <v>1</v>
      </c>
      <c r="AG63" s="47"/>
      <c r="AH63" s="47"/>
      <c r="AI63" s="59"/>
      <c r="AJ63" s="43"/>
      <c r="AK63" s="35"/>
      <c r="AL63" s="76"/>
    </row>
    <row r="64" spans="1:39" s="23" customFormat="1" ht="16.5" customHeight="1" outlineLevel="2">
      <c r="A64" s="145"/>
      <c r="B64" s="477" t="s">
        <v>748</v>
      </c>
      <c r="C64" s="97"/>
      <c r="D64" s="183"/>
      <c r="E64" s="183"/>
      <c r="G64" s="350"/>
      <c r="H64" s="350"/>
      <c r="I64" s="745"/>
      <c r="AF64" s="361">
        <v>1</v>
      </c>
      <c r="AG64" s="47"/>
      <c r="AH64" s="47"/>
      <c r="AI64" s="59"/>
      <c r="AJ64" s="43"/>
      <c r="AK64" s="35"/>
      <c r="AL64" s="76"/>
    </row>
    <row r="65" spans="1:38" s="23" customFormat="1" ht="14.1" customHeight="1" outlineLevel="2">
      <c r="A65" s="145"/>
      <c r="B65" s="342" t="s">
        <v>741</v>
      </c>
      <c r="C65" s="97"/>
      <c r="D65" s="183"/>
      <c r="E65" s="183"/>
      <c r="G65" s="350"/>
      <c r="H65" s="350"/>
      <c r="I65" s="745"/>
      <c r="AF65" s="361">
        <v>1</v>
      </c>
      <c r="AG65" s="47"/>
      <c r="AH65" s="47"/>
      <c r="AI65" s="59"/>
      <c r="AJ65" s="43"/>
      <c r="AK65" s="35"/>
      <c r="AL65" s="76"/>
    </row>
    <row r="66" spans="1:38" s="23" customFormat="1" ht="14.1" customHeight="1" outlineLevel="2">
      <c r="A66" s="145"/>
      <c r="B66" s="477" t="s">
        <v>742</v>
      </c>
      <c r="C66" s="97"/>
      <c r="D66" s="183"/>
      <c r="E66" s="183"/>
      <c r="G66" s="350"/>
      <c r="H66" s="350"/>
      <c r="I66" s="745"/>
      <c r="AF66" s="361">
        <v>1</v>
      </c>
      <c r="AG66" s="47"/>
      <c r="AH66" s="47"/>
      <c r="AI66" s="59"/>
      <c r="AJ66" s="43"/>
      <c r="AK66" s="35"/>
      <c r="AL66" s="76"/>
    </row>
    <row r="67" spans="1:38" s="23" customFormat="1" ht="14.1" customHeight="1" outlineLevel="2">
      <c r="A67" s="145"/>
      <c r="B67" s="477" t="s">
        <v>743</v>
      </c>
      <c r="C67" s="97"/>
      <c r="D67" s="183"/>
      <c r="E67" s="183"/>
      <c r="G67" s="350"/>
      <c r="H67" s="350"/>
      <c r="I67" s="745"/>
      <c r="AF67" s="361">
        <v>1</v>
      </c>
      <c r="AG67" s="47"/>
      <c r="AH67" s="47"/>
      <c r="AI67" s="59"/>
      <c r="AJ67" s="43"/>
      <c r="AK67" s="35"/>
      <c r="AL67" s="76"/>
    </row>
    <row r="68" spans="1:38" s="23" customFormat="1" ht="14.1" customHeight="1" outlineLevel="2">
      <c r="A68" s="145"/>
      <c r="B68" s="342" t="s">
        <v>749</v>
      </c>
      <c r="C68" s="97"/>
      <c r="D68" s="183"/>
      <c r="E68" s="183"/>
      <c r="G68" s="350"/>
      <c r="H68" s="350"/>
      <c r="I68" s="745"/>
      <c r="AF68" s="361">
        <v>1</v>
      </c>
      <c r="AG68" s="47"/>
      <c r="AH68" s="47"/>
      <c r="AI68" s="59"/>
      <c r="AJ68" s="43"/>
      <c r="AK68" s="35"/>
      <c r="AL68" s="76"/>
    </row>
    <row r="69" spans="1:38" s="23" customFormat="1" ht="14.1" customHeight="1" outlineLevel="2">
      <c r="A69" s="145"/>
      <c r="B69" s="477" t="s">
        <v>750</v>
      </c>
      <c r="F69" s="900"/>
      <c r="G69" s="796"/>
      <c r="I69" s="39"/>
      <c r="AF69" s="361">
        <f>IF(S.Notice.Involved="Y",1,0)</f>
        <v>1</v>
      </c>
      <c r="AG69" s="48"/>
      <c r="AH69" s="47"/>
      <c r="AI69" s="59"/>
      <c r="AJ69" s="345"/>
      <c r="AK69" s="35"/>
      <c r="AL69" s="76"/>
    </row>
    <row r="70" spans="1:38" s="23" customFormat="1" ht="14.1" customHeight="1" outlineLevel="2">
      <c r="A70" s="145"/>
      <c r="B70" s="359" t="str">
        <f>AK70</f>
        <v>- Uri &amp; Wendy as needed</v>
      </c>
      <c r="F70" s="900"/>
      <c r="G70" s="796"/>
      <c r="I70" s="39"/>
      <c r="AF70" s="361">
        <f>IF(S.Notice.Involved="Y",1,0)</f>
        <v>1</v>
      </c>
      <c r="AG70" s="48"/>
      <c r="AH70" s="47"/>
      <c r="AI70" s="59"/>
      <c r="AJ70" s="345"/>
      <c r="AK70" s="63" t="str">
        <f>"- "&amp;S.Staff.Assistant.DA.ShortName&amp;" &amp; "&amp;S.Staff.DA.ForProgram.FirstName&amp;" as needed"</f>
        <v>- Uri &amp; Wendy as needed</v>
      </c>
      <c r="AL70" s="76"/>
    </row>
    <row r="71" spans="1:38" s="23" customFormat="1" ht="14.1" customHeight="1" outlineLevel="2">
      <c r="A71" s="145"/>
      <c r="B71" s="911" t="str">
        <f t="shared" si="2"/>
        <v>Sponsoring manager, core team member - DavidC</v>
      </c>
      <c r="C71" s="97" t="s">
        <v>0</v>
      </c>
      <c r="D71" s="183"/>
      <c r="E71" s="183"/>
      <c r="F71"/>
      <c r="G71" s="350"/>
      <c r="H71" s="350"/>
      <c r="I71" s="745"/>
      <c r="AF71" s="361">
        <v>1</v>
      </c>
      <c r="AG71" s="47"/>
      <c r="AH71" s="47"/>
      <c r="AI71" s="59"/>
      <c r="AJ71" s="43"/>
      <c r="AK71" s="63" t="str">
        <f>"Sponsoring manager, core team member - "&amp;S.Staff.Program.Mgr.FirstName</f>
        <v>Sponsoring manager, core team member - DavidC</v>
      </c>
      <c r="AL71" s="76"/>
    </row>
    <row r="72" spans="1:38" s="23" customFormat="1" ht="14.1" customHeight="1" outlineLevel="2">
      <c r="A72" s="145"/>
      <c r="B72" s="342" t="s">
        <v>737</v>
      </c>
      <c r="C72" s="97"/>
      <c r="D72" s="183"/>
      <c r="E72" s="183"/>
      <c r="G72" s="350"/>
      <c r="H72" s="350"/>
      <c r="I72" s="745"/>
      <c r="AF72" s="361">
        <v>1</v>
      </c>
      <c r="AG72" s="47"/>
      <c r="AH72" s="47"/>
      <c r="AI72" s="59"/>
      <c r="AJ72" s="43"/>
      <c r="AK72" s="63"/>
      <c r="AL72" s="76"/>
    </row>
    <row r="73" spans="1:38" s="23" customFormat="1" ht="14.1" customHeight="1" outlineLevel="2">
      <c r="A73" s="145"/>
      <c r="B73" s="342" t="s">
        <v>747</v>
      </c>
      <c r="C73" s="97"/>
      <c r="D73" s="183"/>
      <c r="E73" s="183"/>
      <c r="G73" s="350"/>
      <c r="H73" s="350"/>
      <c r="I73" s="745"/>
      <c r="AF73" s="361">
        <v>1</v>
      </c>
      <c r="AG73" s="47"/>
      <c r="AH73" s="47"/>
      <c r="AI73" s="59"/>
      <c r="AJ73" s="43"/>
      <c r="AK73" s="35"/>
      <c r="AL73" s="76"/>
    </row>
    <row r="74" spans="1:38" s="23" customFormat="1" ht="14.1" customHeight="1" outlineLevel="2">
      <c r="A74" s="145"/>
      <c r="B74" s="477" t="s">
        <v>752</v>
      </c>
      <c r="C74" s="97"/>
      <c r="D74" s="183"/>
      <c r="E74" s="183"/>
      <c r="G74" s="350"/>
      <c r="H74" s="350"/>
      <c r="I74" s="745"/>
      <c r="AF74" s="361">
        <v>1</v>
      </c>
      <c r="AG74" s="47"/>
      <c r="AH74" s="47"/>
      <c r="AI74" s="59"/>
      <c r="AJ74" s="43"/>
      <c r="AK74" s="35"/>
      <c r="AL74" s="76"/>
    </row>
    <row r="75" spans="1:38" s="23" customFormat="1" ht="14.1" customHeight="1" outlineLevel="2">
      <c r="A75" s="145"/>
      <c r="B75" s="339" t="s">
        <v>753</v>
      </c>
      <c r="C75" s="97"/>
      <c r="D75" s="183"/>
      <c r="E75" s="183"/>
      <c r="G75" s="350"/>
      <c r="H75" s="350"/>
      <c r="I75" s="745"/>
      <c r="AF75" s="361">
        <v>1</v>
      </c>
      <c r="AG75" s="47"/>
      <c r="AH75" s="47"/>
      <c r="AI75" s="59"/>
      <c r="AJ75" s="43"/>
      <c r="AK75" s="35"/>
      <c r="AL75" s="76"/>
    </row>
    <row r="76" spans="1:38" s="23" customFormat="1" ht="14.1" customHeight="1" outlineLevel="2">
      <c r="A76" s="145"/>
      <c r="B76" s="339" t="s">
        <v>754</v>
      </c>
      <c r="C76" s="97"/>
      <c r="D76" s="183"/>
      <c r="E76" s="183"/>
      <c r="G76" s="350"/>
      <c r="H76" s="350"/>
      <c r="I76" s="745"/>
      <c r="AF76" s="361">
        <v>1</v>
      </c>
      <c r="AG76" s="47"/>
      <c r="AH76" s="47"/>
      <c r="AI76" s="59"/>
      <c r="AJ76" s="43"/>
      <c r="AK76" s="35"/>
      <c r="AL76" s="76"/>
    </row>
    <row r="77" spans="1:38" s="23" customFormat="1" ht="14.1" customHeight="1" outlineLevel="2">
      <c r="A77" s="145"/>
      <c r="B77" s="339" t="s">
        <v>778</v>
      </c>
      <c r="C77" s="97"/>
      <c r="D77" s="183"/>
      <c r="E77" s="183"/>
      <c r="G77" s="350"/>
      <c r="H77" s="350"/>
      <c r="I77" s="745"/>
      <c r="AF77" s="361">
        <v>1</v>
      </c>
      <c r="AG77" s="47"/>
      <c r="AH77" s="47"/>
      <c r="AI77" s="59"/>
      <c r="AJ77" s="43"/>
      <c r="AK77" s="35"/>
      <c r="AL77" s="76"/>
    </row>
    <row r="78" spans="1:38" s="23" customFormat="1" ht="14.1" customHeight="1" outlineLevel="2">
      <c r="A78" s="145"/>
      <c r="B78" s="342" t="s">
        <v>741</v>
      </c>
      <c r="C78" s="97"/>
      <c r="D78" s="183"/>
      <c r="E78" s="183"/>
      <c r="G78" s="350"/>
      <c r="H78" s="350"/>
      <c r="I78" s="745"/>
      <c r="AF78" s="361">
        <v>1</v>
      </c>
      <c r="AG78" s="47"/>
      <c r="AH78" s="47"/>
      <c r="AI78" s="59"/>
      <c r="AJ78" s="43"/>
      <c r="AK78" s="35"/>
      <c r="AL78" s="76"/>
    </row>
    <row r="79" spans="1:38" s="23" customFormat="1" ht="14.1" customHeight="1" outlineLevel="2">
      <c r="A79" s="145"/>
      <c r="B79" s="359" t="str">
        <f>AK79</f>
        <v>- extra review cycles for Uri as needed</v>
      </c>
      <c r="F79" s="900"/>
      <c r="G79" s="796"/>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customHeight="1" outlineLevel="2">
      <c r="A80" s="145"/>
      <c r="B80" s="342" t="s">
        <v>749</v>
      </c>
      <c r="C80" s="97"/>
      <c r="D80" s="183"/>
      <c r="E80" s="183"/>
      <c r="G80" s="350"/>
      <c r="H80" s="350"/>
      <c r="I80" s="745"/>
      <c r="AF80" s="361">
        <v>1</v>
      </c>
      <c r="AG80" s="47"/>
      <c r="AH80" s="47"/>
      <c r="AI80" s="59"/>
      <c r="AJ80" s="43"/>
      <c r="AK80" s="35"/>
      <c r="AL80" s="76"/>
    </row>
    <row r="81" spans="1:38" s="23" customFormat="1" ht="14.1" customHeight="1" outlineLevel="2">
      <c r="A81" s="145"/>
      <c r="B81" s="477" t="s">
        <v>750</v>
      </c>
      <c r="F81" s="900"/>
      <c r="G81" s="796"/>
      <c r="I81" s="39"/>
      <c r="AF81" s="361">
        <f>IF(S.Notice.Involved="Y",1,0)</f>
        <v>1</v>
      </c>
      <c r="AG81" s="48"/>
      <c r="AH81" s="47"/>
      <c r="AI81" s="59"/>
      <c r="AJ81" s="345"/>
      <c r="AK81" s="63" t="str">
        <f>"* briefs core team, "&amp;S.Staff.Assistant.DA.ShortName&amp;" &amp; "&amp;S.Staff.DA.ForProgram.FirstName&amp;" as needed"</f>
        <v>* briefs core team, Uri &amp; Wendy as needed</v>
      </c>
      <c r="AL81" s="76"/>
    </row>
    <row r="82" spans="1:38" s="23" customFormat="1" ht="14.1" customHeight="1" outlineLevel="2">
      <c r="A82" s="145"/>
      <c r="B82" s="359" t="str">
        <f>AK82</f>
        <v>- Uri &amp; Wendy as needed</v>
      </c>
      <c r="F82" s="900"/>
      <c r="G82" s="796"/>
      <c r="I82" s="39"/>
      <c r="AF82" s="361">
        <f>IF(S.Notice.Involved="Y",1,0)</f>
        <v>1</v>
      </c>
      <c r="AG82" s="48"/>
      <c r="AH82" s="47"/>
      <c r="AI82" s="59"/>
      <c r="AJ82" s="345"/>
      <c r="AK82" s="63" t="str">
        <f>"- "&amp;S.Staff.Assistant.DA.ShortName&amp;" &amp; "&amp;S.Staff.DA.ForProgram.FirstName&amp;" as needed"</f>
        <v>- Uri &amp; Wendy as needed</v>
      </c>
      <c r="AL82" s="76"/>
    </row>
    <row r="83" spans="1:38" s="23" customFormat="1" ht="14.1" customHeight="1" outlineLevel="2">
      <c r="A83" s="145"/>
      <c r="B83" s="911" t="str">
        <f t="shared" si="2"/>
        <v>Rules group lead, core team member - AndreaG</v>
      </c>
      <c r="C83" s="97" t="s">
        <v>0</v>
      </c>
      <c r="D83" s="183"/>
      <c r="E83" s="183"/>
      <c r="F83"/>
      <c r="G83" s="350"/>
      <c r="H83" s="350"/>
      <c r="I83" s="745"/>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AndreaG</v>
      </c>
      <c r="AL83" s="76"/>
    </row>
    <row r="84" spans="1:38" s="23" customFormat="1" ht="14.1" customHeight="1" outlineLevel="2">
      <c r="A84" s="145"/>
      <c r="B84" s="342" t="s">
        <v>738</v>
      </c>
      <c r="C84" s="97"/>
      <c r="D84" s="183"/>
      <c r="E84" s="183"/>
      <c r="G84" s="350"/>
      <c r="H84" s="350"/>
      <c r="I84" s="745"/>
      <c r="AF84" s="361">
        <v>1</v>
      </c>
      <c r="AG84" s="47"/>
      <c r="AH84" s="47"/>
      <c r="AI84" s="59"/>
      <c r="AJ84" s="43"/>
      <c r="AK84" s="63"/>
      <c r="AL84" s="76"/>
    </row>
    <row r="85" spans="1:38" s="23" customFormat="1" ht="14.1" customHeight="1" outlineLevel="2">
      <c r="A85" s="145"/>
      <c r="B85" s="342" t="s">
        <v>747</v>
      </c>
      <c r="C85" s="97"/>
      <c r="D85" s="183"/>
      <c r="E85" s="183"/>
      <c r="G85" s="350"/>
      <c r="H85" s="350"/>
      <c r="I85" s="745"/>
      <c r="AF85" s="361">
        <v>1</v>
      </c>
      <c r="AG85" s="47"/>
      <c r="AH85" s="47"/>
      <c r="AI85" s="59"/>
      <c r="AJ85" s="43"/>
      <c r="AK85" s="35"/>
      <c r="AL85" s="76"/>
    </row>
    <row r="86" spans="1:38" s="23" customFormat="1" ht="14.1" customHeight="1" outlineLevel="2">
      <c r="A86" s="145"/>
      <c r="B86" s="477" t="s">
        <v>756</v>
      </c>
      <c r="C86" s="97"/>
      <c r="D86" s="183"/>
      <c r="E86" s="183"/>
      <c r="G86" s="350"/>
      <c r="H86" s="350"/>
      <c r="I86" s="745"/>
      <c r="AF86" s="361">
        <v>1</v>
      </c>
      <c r="AG86" s="47"/>
      <c r="AH86" s="47"/>
      <c r="AI86" s="59"/>
      <c r="AJ86" s="43"/>
      <c r="AK86" s="63"/>
      <c r="AL86" s="76"/>
    </row>
    <row r="87" spans="1:38" s="23" customFormat="1" ht="14.1" customHeight="1" outlineLevel="2">
      <c r="A87" s="145"/>
      <c r="B87" s="477" t="s">
        <v>755</v>
      </c>
      <c r="F87" s="900"/>
      <c r="G87" s="796"/>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customHeight="1" outlineLevel="2">
      <c r="A88" s="145"/>
      <c r="B88" s="342" t="s">
        <v>739</v>
      </c>
      <c r="C88" s="97"/>
      <c r="D88" s="183"/>
      <c r="E88" s="183"/>
      <c r="G88" s="350"/>
      <c r="H88" s="350"/>
      <c r="I88" s="745"/>
      <c r="AF88" s="361">
        <v>1</v>
      </c>
      <c r="AG88" s="47"/>
      <c r="AH88" s="47"/>
      <c r="AI88" s="59"/>
      <c r="AJ88" s="43"/>
      <c r="AK88" s="63"/>
      <c r="AL88" s="76"/>
    </row>
    <row r="89" spans="1:38" s="23" customFormat="1" ht="14.1" customHeight="1" outlineLevel="2">
      <c r="A89" s="145"/>
      <c r="B89" s="975" t="s">
        <v>779</v>
      </c>
      <c r="C89" s="97"/>
      <c r="D89" s="183"/>
      <c r="E89" s="183"/>
      <c r="G89" s="350"/>
      <c r="H89" s="350"/>
      <c r="I89" s="745"/>
      <c r="AF89" s="361">
        <v>1</v>
      </c>
      <c r="AG89" s="47"/>
      <c r="AH89" s="47"/>
      <c r="AI89" s="59"/>
      <c r="AJ89" s="43"/>
      <c r="AK89" s="63"/>
      <c r="AL89" s="76"/>
    </row>
    <row r="90" spans="1:38" s="23" customFormat="1" ht="25.5" customHeight="1" outlineLevel="2">
      <c r="A90" s="145"/>
      <c r="B90" s="477" t="s">
        <v>733</v>
      </c>
      <c r="C90" s="97"/>
      <c r="D90" s="183"/>
      <c r="E90" s="183"/>
      <c r="G90" s="350"/>
      <c r="H90" s="350"/>
      <c r="I90" s="745"/>
      <c r="AF90" s="361">
        <v>1</v>
      </c>
      <c r="AG90" s="47"/>
      <c r="AH90" s="47"/>
      <c r="AI90" s="59"/>
      <c r="AJ90" s="43"/>
      <c r="AK90" s="63"/>
      <c r="AL90" s="76"/>
    </row>
    <row r="91" spans="1:38" s="23" customFormat="1" ht="14.1" customHeight="1" outlineLevel="2">
      <c r="A91" s="145"/>
      <c r="B91" s="1028" t="s">
        <v>751</v>
      </c>
      <c r="C91" s="1029"/>
      <c r="D91" s="183"/>
      <c r="E91" s="183"/>
      <c r="G91" s="350"/>
      <c r="H91" s="350"/>
      <c r="I91" s="745"/>
      <c r="AF91" s="361">
        <v>1</v>
      </c>
      <c r="AG91" s="47"/>
      <c r="AH91" s="47"/>
      <c r="AI91" s="59"/>
      <c r="AJ91" s="43"/>
      <c r="AK91" s="63"/>
      <c r="AL91" s="76"/>
    </row>
    <row r="92" spans="1:38" s="23" customFormat="1" ht="25.5" customHeight="1" outlineLevel="2">
      <c r="A92" s="145"/>
      <c r="B92" s="440" t="s">
        <v>734</v>
      </c>
      <c r="C92" s="97"/>
      <c r="D92" s="183"/>
      <c r="E92" s="183"/>
      <c r="G92" s="350"/>
      <c r="H92" s="350"/>
      <c r="I92" s="745"/>
      <c r="AF92" s="361">
        <v>1</v>
      </c>
      <c r="AG92" s="47"/>
      <c r="AH92" s="47"/>
      <c r="AI92" s="59"/>
      <c r="AJ92" s="43"/>
      <c r="AK92" s="63"/>
      <c r="AL92" s="76"/>
    </row>
    <row r="93" spans="1:38" s="23" customFormat="1" ht="14.1" customHeight="1" outlineLevel="2">
      <c r="A93" s="145"/>
      <c r="B93" s="477" t="s">
        <v>740</v>
      </c>
      <c r="C93" s="97"/>
      <c r="D93" s="183"/>
      <c r="E93" s="183"/>
      <c r="G93" s="350"/>
      <c r="H93" s="350"/>
      <c r="I93" s="745"/>
      <c r="AF93" s="361">
        <v>1</v>
      </c>
      <c r="AG93" s="47"/>
      <c r="AH93" s="47"/>
      <c r="AI93" s="59"/>
      <c r="AJ93" s="43"/>
      <c r="AK93" s="63"/>
      <c r="AL93" s="76"/>
    </row>
    <row r="94" spans="1:38" s="23" customFormat="1" ht="14.1" customHeight="1" outlineLevel="2">
      <c r="A94" s="145"/>
      <c r="B94" s="342" t="s">
        <v>735</v>
      </c>
      <c r="F94" s="900"/>
      <c r="G94" s="796"/>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customHeight="1" outlineLevel="2">
      <c r="A95" s="145"/>
      <c r="B95" s="342" t="s">
        <v>749</v>
      </c>
      <c r="C95" s="97"/>
      <c r="D95" s="183"/>
      <c r="E95" s="183"/>
      <c r="G95" s="350"/>
      <c r="H95" s="350"/>
      <c r="I95" s="745"/>
      <c r="AF95" s="361">
        <v>1</v>
      </c>
      <c r="AG95" s="47"/>
      <c r="AH95" s="47"/>
      <c r="AI95" s="59"/>
      <c r="AJ95" s="43"/>
      <c r="AK95" s="35"/>
      <c r="AL95" s="76"/>
    </row>
    <row r="96" spans="1:38" s="23" customFormat="1" ht="14.1" customHeight="1" outlineLevel="2">
      <c r="A96" s="145"/>
      <c r="B96" s="477" t="s">
        <v>750</v>
      </c>
      <c r="F96" s="900"/>
      <c r="G96" s="796"/>
      <c r="I96" s="39"/>
      <c r="AF96" s="361">
        <f>IF(S.Notice.Involved="Y",1,0)</f>
        <v>1</v>
      </c>
      <c r="AG96" s="48"/>
      <c r="AH96" s="47"/>
      <c r="AI96" s="59"/>
      <c r="AJ96" s="345"/>
      <c r="AK96" s="63" t="str">
        <f>"* briefs core team, "&amp;S.Staff.Assistant.DA.ShortName&amp;" &amp; "&amp;S.Staff.DA.ForProgram.FirstName&amp;" as needed"</f>
        <v>* briefs core team, Uri &amp; Wendy as needed</v>
      </c>
      <c r="AL96" s="76"/>
    </row>
    <row r="97" spans="1:38" s="23" customFormat="1" ht="14.1" customHeight="1" outlineLevel="2">
      <c r="A97" s="145"/>
      <c r="B97" s="359" t="str">
        <f>AK97</f>
        <v>- team &amp; Lydia as needed</v>
      </c>
      <c r="F97" s="900"/>
      <c r="G97" s="796"/>
      <c r="I97" s="39"/>
      <c r="AF97" s="361">
        <f>IF(S.Notice.Involved="Y",1,0)</f>
        <v>1</v>
      </c>
      <c r="AG97" s="48"/>
      <c r="AH97" s="47"/>
      <c r="AI97" s="59"/>
      <c r="AJ97" s="345"/>
      <c r="AK97" s="63" t="str">
        <f>"- team &amp; "&amp;S.Staff.DA.ForRulesGroup.FirstName&amp;" as needed"</f>
        <v>- team &amp; Lydia as needed</v>
      </c>
      <c r="AL97" s="76"/>
    </row>
    <row r="98" spans="1:38" s="23" customFormat="1" ht="14.1" customHeight="1" outlineLevel="2">
      <c r="A98" s="145"/>
      <c r="B98" s="911" t="str">
        <f t="shared" si="2"/>
        <v>Program Support Staff - Brian</v>
      </c>
      <c r="C98" s="97" t="s">
        <v>0</v>
      </c>
      <c r="D98" s="183"/>
      <c r="E98" s="183"/>
      <c r="F98"/>
      <c r="G98" s="350"/>
      <c r="H98" s="350"/>
      <c r="I98" s="745"/>
      <c r="AF98" s="361">
        <v>1</v>
      </c>
      <c r="AG98" s="47"/>
      <c r="AH98" s="47"/>
      <c r="AI98" s="59"/>
      <c r="AJ98" s="43"/>
      <c r="AK98" s="63" t="str">
        <f>"Program Support Staff - "&amp;S.Staff.Support</f>
        <v>Program Support Staff - Brian</v>
      </c>
      <c r="AL98" s="76"/>
    </row>
    <row r="99" spans="1:38" s="23" customFormat="1" ht="14.1" customHeight="1" outlineLevel="2">
      <c r="A99" s="145"/>
      <c r="B99" s="911"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customHeight="1" outlineLevel="2">
      <c r="A100" s="145"/>
      <c r="B100" s="911" t="str">
        <f>AK100</f>
        <v>DA - Wendy</v>
      </c>
      <c r="C100" s="97" t="s">
        <v>0</v>
      </c>
      <c r="D100" s="183"/>
      <c r="E100" s="183"/>
      <c r="F100"/>
      <c r="G100" s="350"/>
      <c r="H100" s="350"/>
      <c r="I100" s="745"/>
      <c r="AF100" s="361">
        <v>1</v>
      </c>
      <c r="AG100" s="47"/>
      <c r="AH100" s="47"/>
      <c r="AI100" s="59"/>
      <c r="AJ100" s="43"/>
      <c r="AK100" s="63" t="str">
        <f>"DA - "&amp;S.Staff.DA.ForProgram.FirstName</f>
        <v>DA - Wendy</v>
      </c>
      <c r="AL100" s="76"/>
    </row>
    <row r="101" spans="1:38" s="23" customFormat="1" ht="6.75" customHeight="1" outlineLevel="1">
      <c r="A101" s="145"/>
      <c r="B101" s="314"/>
      <c r="C101" s="300"/>
      <c r="D101" s="704"/>
      <c r="E101" s="704"/>
      <c r="F101" s="315"/>
      <c r="G101" s="340"/>
      <c r="H101" s="300"/>
      <c r="I101" s="745"/>
      <c r="AF101" s="361" t="s">
        <v>0</v>
      </c>
      <c r="AG101" s="58"/>
      <c r="AH101" s="58"/>
      <c r="AI101" s="48"/>
      <c r="AJ101" s="42"/>
      <c r="AK101" s="34"/>
      <c r="AL101" s="76"/>
    </row>
    <row r="102" spans="1:38" s="23" customFormat="1" ht="20.25" customHeight="1" outlineLevel="1">
      <c r="A102" s="145"/>
      <c r="B102" s="341" t="s">
        <v>729</v>
      </c>
      <c r="D102" s="183"/>
      <c r="E102" s="183"/>
      <c r="F102"/>
      <c r="G102" s="350"/>
      <c r="H102" s="350"/>
      <c r="I102" s="745"/>
      <c r="AF102" s="361">
        <v>1</v>
      </c>
      <c r="AG102" s="47"/>
      <c r="AH102" s="47"/>
      <c r="AI102" s="59" t="s">
        <v>0</v>
      </c>
      <c r="AJ102" s="43"/>
      <c r="AK102" s="58"/>
      <c r="AL102" s="76"/>
    </row>
    <row r="103" spans="1:38" s="23" customFormat="1" ht="14.1" customHeight="1" outlineLevel="2">
      <c r="A103" s="145" t="s">
        <v>0</v>
      </c>
      <c r="B103" s="785" t="s">
        <v>786</v>
      </c>
      <c r="C103" s="545" t="s">
        <v>0</v>
      </c>
      <c r="D103" s="705"/>
      <c r="E103" s="705"/>
      <c r="F103"/>
      <c r="I103" s="745"/>
      <c r="AF103" s="361">
        <f t="shared" ref="AF103:AF114" si="3">IF(S.Notice.Involved="Y",1,0)</f>
        <v>1</v>
      </c>
      <c r="AG103" s="59"/>
      <c r="AH103" s="59"/>
      <c r="AI103" s="59"/>
      <c r="AJ103" s="59"/>
      <c r="AK103" s="58"/>
      <c r="AL103" s="76"/>
    </row>
    <row r="104" spans="1:38" s="23" customFormat="1" ht="14.1" customHeight="1" outlineLevel="2">
      <c r="A104" s="145"/>
      <c r="B104" s="785" t="s">
        <v>641</v>
      </c>
      <c r="C104" s="545"/>
      <c r="D104" s="705"/>
      <c r="E104" s="705"/>
      <c r="F104"/>
      <c r="I104" s="745"/>
      <c r="AF104" s="361">
        <f t="shared" si="3"/>
        <v>1</v>
      </c>
      <c r="AG104" s="59"/>
      <c r="AH104" s="59"/>
      <c r="AI104" s="59"/>
      <c r="AJ104" s="59"/>
      <c r="AK104" s="58"/>
      <c r="AL104" s="76"/>
    </row>
    <row r="105" spans="1:38" s="23" customFormat="1" ht="14.1" customHeight="1" outlineLevel="2">
      <c r="A105" s="145" t="s">
        <v>0</v>
      </c>
      <c r="B105" s="986" t="s">
        <v>792</v>
      </c>
      <c r="C105" s="545" t="s">
        <v>0</v>
      </c>
      <c r="D105" s="705"/>
      <c r="E105" s="705"/>
      <c r="F105"/>
      <c r="I105" s="745"/>
      <c r="AF105" s="361">
        <f t="shared" si="3"/>
        <v>1</v>
      </c>
      <c r="AG105" s="59"/>
      <c r="AH105" s="59"/>
      <c r="AI105" s="59"/>
      <c r="AJ105" s="59"/>
      <c r="AK105" s="73" t="str">
        <f>"http://deqsps/programs/rulemaking/aq/ppu/docs/Forms/byCategory.aspx"</f>
        <v>http://deqsps/programs/rulemaking/aq/ppu/docs/Forms/byCategory.aspx</v>
      </c>
      <c r="AL105" s="76"/>
    </row>
    <row r="106" spans="1:38" s="23" customFormat="1" ht="14.1" customHeight="1" outlineLevel="2">
      <c r="A106" s="145"/>
      <c r="B106" s="785" t="s">
        <v>642</v>
      </c>
      <c r="C106" s="545"/>
      <c r="D106" s="705"/>
      <c r="E106" s="705"/>
      <c r="F106"/>
      <c r="I106" s="745"/>
      <c r="AF106" s="361">
        <f t="shared" si="3"/>
        <v>1</v>
      </c>
      <c r="AG106" s="59"/>
      <c r="AH106" s="59"/>
      <c r="AI106" s="59"/>
      <c r="AJ106" s="59"/>
      <c r="AK106" s="58"/>
      <c r="AL106" s="76"/>
    </row>
    <row r="107" spans="1:38" s="23" customFormat="1" ht="14.1" customHeight="1" outlineLevel="2">
      <c r="A107" s="145" t="s">
        <v>0</v>
      </c>
      <c r="B107" s="786" t="str">
        <f>AK107</f>
        <v>\\deqhq1\Rule_Development\Currrent Plan\AQ-RM-GrantsPassLMP-Brian Finneran\1-Planning</v>
      </c>
      <c r="C107" s="545" t="s">
        <v>0</v>
      </c>
      <c r="D107" s="705"/>
      <c r="E107" s="705"/>
      <c r="F107"/>
      <c r="I107" s="745"/>
      <c r="AF107" s="361">
        <f t="shared" si="3"/>
        <v>1</v>
      </c>
      <c r="AG107" s="59"/>
      <c r="AH107" s="59"/>
      <c r="AI107" s="59"/>
      <c r="AJ107" s="59"/>
      <c r="AK107" s="982" t="s">
        <v>787</v>
      </c>
      <c r="AL107" s="76"/>
    </row>
    <row r="108" spans="1:38" s="23" customFormat="1" ht="14.1" customHeight="1" outlineLevel="2">
      <c r="A108" s="145"/>
      <c r="B108" s="785" t="s">
        <v>638</v>
      </c>
      <c r="C108" s="545"/>
      <c r="D108" s="705"/>
      <c r="E108" s="705"/>
      <c r="F108"/>
      <c r="I108" s="745"/>
      <c r="AF108" s="361">
        <f t="shared" si="3"/>
        <v>1</v>
      </c>
      <c r="AG108" s="59"/>
      <c r="AH108" s="59"/>
      <c r="AI108" s="59"/>
      <c r="AJ108" s="59"/>
      <c r="AK108" s="58"/>
      <c r="AL108" s="76"/>
    </row>
    <row r="109" spans="1:38" s="23" customFormat="1" ht="14.1" customHeight="1" outlineLevel="2">
      <c r="A109" s="145"/>
      <c r="B109" s="450" t="s">
        <v>637</v>
      </c>
      <c r="C109" s="545"/>
      <c r="D109" s="705"/>
      <c r="E109" s="705"/>
      <c r="F109"/>
      <c r="I109" s="745"/>
      <c r="AF109" s="361">
        <f t="shared" si="3"/>
        <v>1</v>
      </c>
      <c r="AG109" s="59"/>
      <c r="AH109" s="59"/>
      <c r="AI109" s="59"/>
      <c r="AJ109" s="59"/>
      <c r="AK109" s="58"/>
      <c r="AL109" s="76"/>
    </row>
    <row r="110" spans="1:38" s="23" customFormat="1" ht="14.1" customHeight="1" outlineLevel="2">
      <c r="A110" s="145" t="s">
        <v>0</v>
      </c>
      <c r="B110" s="786" t="str">
        <f>AK110</f>
        <v>http://www.oregon.gov/deq/RulesandRegulations/Pages/comments/GPLMP.aspx</v>
      </c>
      <c r="C110" s="545" t="s">
        <v>0</v>
      </c>
      <c r="D110" s="705"/>
      <c r="E110" s="705"/>
      <c r="F110"/>
      <c r="I110" s="745"/>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c r="A111" s="145"/>
      <c r="B111" s="450" t="s">
        <v>639</v>
      </c>
      <c r="C111" s="545"/>
      <c r="D111" s="705"/>
      <c r="E111" s="705"/>
      <c r="F111"/>
      <c r="I111" s="745"/>
      <c r="AF111" s="361">
        <f t="shared" si="3"/>
        <v>1</v>
      </c>
      <c r="AG111" s="59"/>
      <c r="AH111" s="59"/>
      <c r="AI111" s="59"/>
      <c r="AJ111" s="59"/>
      <c r="AK111" s="58"/>
      <c r="AL111" s="76"/>
    </row>
    <row r="112" spans="1:38" s="23" customFormat="1" ht="14.1" customHeight="1" outlineLevel="2">
      <c r="A112" s="145" t="s">
        <v>0</v>
      </c>
      <c r="B112" s="786" t="str">
        <f>AK112</f>
        <v xml:space="preserve">http://www.oregon.gov/deq/RulesandRegulations/Pages/2014/GPLMP.aspx </v>
      </c>
      <c r="C112" s="545" t="s">
        <v>0</v>
      </c>
      <c r="D112" s="705"/>
      <c r="E112" s="705"/>
      <c r="F112"/>
      <c r="I112" s="745"/>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c r="A113" s="145"/>
      <c r="B113" s="450" t="s">
        <v>640</v>
      </c>
      <c r="C113" s="545"/>
      <c r="D113" s="705"/>
      <c r="E113" s="705"/>
      <c r="F113"/>
      <c r="I113" s="745"/>
      <c r="AF113" s="361">
        <f t="shared" si="3"/>
        <v>1</v>
      </c>
      <c r="AG113" s="59"/>
      <c r="AH113" s="59"/>
      <c r="AI113" s="59"/>
      <c r="AJ113" s="59"/>
      <c r="AK113" s="58"/>
      <c r="AL113" s="76"/>
    </row>
    <row r="114" spans="1:38" s="23" customFormat="1" ht="14.1" customHeight="1" outlineLevel="2">
      <c r="A114" s="145" t="s">
        <v>0</v>
      </c>
      <c r="B114" s="786" t="str">
        <f>AK114</f>
        <v>Comment-GPLMP@deq.state.or.us</v>
      </c>
      <c r="C114" s="545" t="s">
        <v>0</v>
      </c>
      <c r="D114" s="705"/>
      <c r="E114" s="705"/>
      <c r="F114"/>
      <c r="I114" s="745"/>
      <c r="AF114" s="361">
        <f t="shared" si="3"/>
        <v>1</v>
      </c>
      <c r="AG114" s="59"/>
      <c r="AH114" s="59"/>
      <c r="AI114" s="59"/>
      <c r="AJ114" s="59"/>
      <c r="AK114" s="73" t="str">
        <f>"Comment-"&amp;S.General.CodeName&amp;"@deq.state.or.us"</f>
        <v>Comment-GPLMP@deq.state.or.us</v>
      </c>
      <c r="AL114" s="76"/>
    </row>
    <row r="115" spans="1:38" s="23" customFormat="1" ht="6" customHeight="1" outlineLevel="1">
      <c r="A115" s="145"/>
      <c r="B115" s="204"/>
      <c r="C115" s="97"/>
      <c r="D115" s="183"/>
      <c r="E115" s="183"/>
      <c r="G115" s="350"/>
      <c r="H115" s="350"/>
      <c r="I115" s="745"/>
      <c r="AF115" s="361">
        <v>1</v>
      </c>
      <c r="AG115" s="47"/>
      <c r="AH115" s="47"/>
      <c r="AI115" s="59"/>
      <c r="AJ115" s="43"/>
      <c r="AK115" s="63"/>
      <c r="AL115" s="76"/>
    </row>
    <row r="116" spans="1:38" s="172" customFormat="1" ht="18" customHeight="1" outlineLevel="1">
      <c r="A116" s="389"/>
      <c r="B116" s="523" t="s">
        <v>115</v>
      </c>
      <c r="C116" s="510" t="str">
        <f>HYPERLINK("\\deqhq1\Rule_Resources\i\1-DevlopingConceptToAddToPlan.pdf","i")</f>
        <v>i</v>
      </c>
      <c r="D116" s="183"/>
      <c r="E116" s="183"/>
      <c r="F116"/>
      <c r="G116" s="727"/>
      <c r="H116" s="727"/>
      <c r="I116" s="929"/>
      <c r="AF116" s="390">
        <v>1</v>
      </c>
      <c r="AG116" s="47"/>
      <c r="AH116" s="47"/>
      <c r="AI116" s="391" t="s">
        <v>0</v>
      </c>
      <c r="AJ116" s="34"/>
      <c r="AK116" s="58"/>
      <c r="AL116" s="76"/>
    </row>
    <row r="117" spans="1:38" s="23" customFormat="1" ht="14.1" hidden="1" customHeight="1" outlineLevel="2">
      <c r="A117" s="145"/>
      <c r="B117" s="267" t="str">
        <f t="shared" ref="B117:B122" si="4">AK117</f>
        <v>DavidC discusses developing concept for DEQ Rulemaking Plan with Uri</v>
      </c>
      <c r="C117" s="97" t="s">
        <v>0</v>
      </c>
      <c r="D117" s="200" t="s">
        <v>694</v>
      </c>
      <c r="E117" s="876"/>
      <c r="F117"/>
      <c r="G117" s="134"/>
      <c r="H117" s="349">
        <f>AH117</f>
        <v>41820</v>
      </c>
      <c r="I117" s="745"/>
      <c r="AF117" s="361">
        <v>1</v>
      </c>
      <c r="AG117" s="47"/>
      <c r="AH117" s="60">
        <f>S.DIRECTOR.Approves.ForDEQRulemakingPlan</f>
        <v>41820</v>
      </c>
      <c r="AI117" s="59" t="s">
        <v>0</v>
      </c>
      <c r="AJ117" s="43"/>
      <c r="AK117" s="63" t="str">
        <f>S.Staff.Program.Mgr.FirstName&amp;" discusses developing concept for DEQ Rulemaking Plan with "&amp;S.Staff.Assistant.DA.ShortName</f>
        <v>DavidC discusses developing concept for DEQ Rulemaking Plan with Uri</v>
      </c>
      <c r="AL117" s="76"/>
    </row>
    <row r="118" spans="1:38" s="23" customFormat="1" ht="14.1" hidden="1" customHeight="1" outlineLevel="2">
      <c r="A118" s="145"/>
      <c r="B118" s="208" t="str">
        <f t="shared" si="4"/>
        <v>Uri approves concept development work</v>
      </c>
      <c r="C118" s="97" t="s">
        <v>0</v>
      </c>
      <c r="D118" s="200" t="s">
        <v>48</v>
      </c>
      <c r="E118" s="876"/>
      <c r="F118"/>
      <c r="G118" s="134"/>
      <c r="H118" s="349">
        <f>AH118</f>
        <v>41820</v>
      </c>
      <c r="I118" s="745"/>
      <c r="J118"/>
      <c r="K118"/>
      <c r="L118"/>
      <c r="M118"/>
      <c r="N118"/>
      <c r="O118"/>
      <c r="P118"/>
      <c r="Q118"/>
      <c r="R118"/>
      <c r="S118"/>
      <c r="T118"/>
      <c r="U118"/>
      <c r="X118"/>
      <c r="AB118"/>
      <c r="AC118"/>
      <c r="AF118" s="361">
        <v>1</v>
      </c>
      <c r="AG118" s="47"/>
      <c r="AH118" s="60">
        <f>S.DIRECTOR.Approves.ForDEQRulemakingPlan</f>
        <v>41820</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4"/>
        <v>DavidC</v>
      </c>
      <c r="C119" s="97" t="s">
        <v>0</v>
      </c>
      <c r="D119" s="183"/>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hidden="1" customHeight="1" outlineLevel="2">
      <c r="A120" s="145"/>
      <c r="B120" s="269" t="str">
        <f t="shared" si="4"/>
        <v>* assigns subject expert for the rulemaking</v>
      </c>
      <c r="C120" s="195" t="s">
        <v>0</v>
      </c>
      <c r="D120" s="200" t="s">
        <v>48</v>
      </c>
      <c r="E120" s="876"/>
      <c r="F120"/>
      <c r="G120" s="350"/>
      <c r="H120" s="190">
        <f>AH120</f>
        <v>41820</v>
      </c>
      <c r="I120" s="745"/>
      <c r="J120"/>
      <c r="K120"/>
      <c r="L120"/>
      <c r="M120"/>
      <c r="N120"/>
      <c r="O120"/>
      <c r="P120"/>
      <c r="Q120"/>
      <c r="R120"/>
      <c r="S120"/>
      <c r="T120"/>
      <c r="U120"/>
      <c r="X120"/>
      <c r="AB120"/>
      <c r="AC120"/>
      <c r="AF120" s="361">
        <v>1</v>
      </c>
      <c r="AG120" s="47"/>
      <c r="AH120" s="60">
        <f>H118</f>
        <v>41820</v>
      </c>
      <c r="AI120" s="59"/>
      <c r="AJ120" s="43"/>
      <c r="AK120" s="63" t="str">
        <f>"* assigns subject expert for the rulemaking"</f>
        <v>* assigns subject expert for the rulemaking</v>
      </c>
      <c r="AL120" s="76"/>
    </row>
    <row r="121" spans="1:38" s="23" customFormat="1" ht="14.1" hidden="1" customHeight="1" outlineLevel="2">
      <c r="A121" s="145"/>
      <c r="B121" s="342" t="str">
        <f t="shared" si="4"/>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4"/>
        <v>* identify existing Q-Time number for concept development work</v>
      </c>
      <c r="C122" s="195" t="s">
        <v>0</v>
      </c>
      <c r="D122" s="200" t="s">
        <v>48</v>
      </c>
      <c r="E122" s="876"/>
      <c r="F122"/>
      <c r="G122" s="350"/>
      <c r="H122" s="190">
        <f>AH122</f>
        <v>41820</v>
      </c>
      <c r="I122" s="745"/>
      <c r="AF122" s="361">
        <v>1</v>
      </c>
      <c r="AG122" s="47"/>
      <c r="AH122" s="60">
        <f>H118</f>
        <v>41820</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536</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725</v>
      </c>
      <c r="C125" s="195" t="s">
        <v>0</v>
      </c>
      <c r="D125" s="200" t="s">
        <v>48</v>
      </c>
      <c r="E125" s="876"/>
      <c r="F125"/>
      <c r="G125" s="351"/>
      <c r="H125" s="190">
        <f>AH125</f>
        <v>41820</v>
      </c>
      <c r="I125" s="745"/>
      <c r="J125"/>
      <c r="K125"/>
      <c r="L125"/>
      <c r="M125"/>
      <c r="N125"/>
      <c r="O125"/>
      <c r="P125"/>
      <c r="Q125"/>
      <c r="R125"/>
      <c r="S125"/>
      <c r="T125"/>
      <c r="U125"/>
      <c r="X125"/>
      <c r="AB125"/>
      <c r="AC125"/>
      <c r="AF125" s="361">
        <v>1</v>
      </c>
      <c r="AG125" s="47"/>
      <c r="AH125" s="60">
        <f>H118</f>
        <v>41820</v>
      </c>
      <c r="AI125" s="59"/>
      <c r="AJ125" s="43"/>
      <c r="AK125" s="34" t="s">
        <v>0</v>
      </c>
      <c r="AL125" s="76"/>
    </row>
    <row r="126" spans="1:38" s="23" customFormat="1" ht="14.1" hidden="1" customHeight="1" outlineLevel="2">
      <c r="A126" s="145"/>
      <c r="B126" s="269" t="s">
        <v>534</v>
      </c>
      <c r="C126" s="510" t="str">
        <f>HYPERLINK("\\deqhq1\Rule_Development\Currrent Plan\AQ-CFP.P2-Cory Ann Wind","i")</f>
        <v>i</v>
      </c>
      <c r="D126" s="194" t="s">
        <v>48</v>
      </c>
      <c r="E126" s="876"/>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535</v>
      </c>
      <c r="C127" s="910" t="s">
        <v>732</v>
      </c>
      <c r="D127" s="194" t="s">
        <v>48</v>
      </c>
      <c r="E127" s="876"/>
      <c r="F127"/>
      <c r="I127" s="745"/>
      <c r="AF127" s="361">
        <v>1</v>
      </c>
      <c r="AG127" s="59"/>
      <c r="AH127" s="59"/>
      <c r="AI127" s="59"/>
      <c r="AJ127" s="43"/>
      <c r="AK127" s="34" t="s">
        <v>0</v>
      </c>
      <c r="AL127" s="76"/>
    </row>
    <row r="128" spans="1:38" s="23" customFormat="1" ht="14.1" hidden="1" customHeight="1" outlineLevel="2">
      <c r="A128" s="145"/>
      <c r="B128" s="318" t="s">
        <v>486</v>
      </c>
      <c r="C128" s="195" t="s">
        <v>0</v>
      </c>
      <c r="D128" s="194" t="s">
        <v>48</v>
      </c>
      <c r="E128" s="876"/>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DavidC &amp; Brian participates in work session. Topics include:</v>
      </c>
      <c r="C129" s="537" t="s">
        <v>0</v>
      </c>
      <c r="D129" s="571" t="s">
        <v>48</v>
      </c>
      <c r="E129" s="877"/>
      <c r="F129"/>
      <c r="G129" s="535"/>
      <c r="H129" s="536">
        <f>AH129</f>
        <v>41820</v>
      </c>
      <c r="I129" s="745"/>
      <c r="AF129" s="361">
        <v>1</v>
      </c>
      <c r="AG129" s="48"/>
      <c r="AH129" s="60">
        <f>H125</f>
        <v>41820</v>
      </c>
      <c r="AI129" s="59"/>
      <c r="AJ129" s="43"/>
      <c r="AK129" s="63" t="str">
        <f>S.Staff.Program.Mgr.FirstName&amp;" &amp; "&amp;S.Staff.Subject.Expert.FirstName&amp;" participates in work session. Topics include:"</f>
        <v>DavidC &amp; Brian participates in work session. Topics include:</v>
      </c>
      <c r="AL129" s="76"/>
      <c r="AM129"/>
    </row>
    <row r="130" spans="1:51" s="23" customFormat="1" ht="14.1" hidden="1" customHeight="1" outlineLevel="2">
      <c r="A130" s="145" t="s">
        <v>0</v>
      </c>
      <c r="B130" s="420" t="s">
        <v>537</v>
      </c>
      <c r="C130" s="135"/>
      <c r="F130"/>
      <c r="G130" s="135"/>
      <c r="H130" s="135"/>
      <c r="I130" s="745"/>
      <c r="AF130" s="361">
        <v>1</v>
      </c>
      <c r="AG130" s="58"/>
      <c r="AH130" s="58"/>
      <c r="AI130" s="58"/>
      <c r="AJ130" s="43"/>
      <c r="AK130" s="34"/>
      <c r="AL130" s="76"/>
    </row>
    <row r="131" spans="1:51" s="23" customFormat="1" ht="14.1" hidden="1" customHeight="1" outlineLevel="2">
      <c r="A131" s="145"/>
      <c r="B131" s="420" t="s">
        <v>538</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8" t="s">
        <v>539</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8" t="s">
        <v>541</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8" t="s">
        <v>540</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542</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543</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5"/>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5"/>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Brian drafts:</v>
      </c>
      <c r="C146" s="88"/>
      <c r="D146" s="194" t="s">
        <v>694</v>
      </c>
      <c r="E146" s="876"/>
      <c r="F146"/>
      <c r="G146" s="190">
        <f>AG146</f>
        <v>41820</v>
      </c>
      <c r="H146" s="190">
        <f>AH146</f>
        <v>41820</v>
      </c>
      <c r="I146" s="745"/>
      <c r="AF146" s="361">
        <v>1</v>
      </c>
      <c r="AG146" s="60">
        <f>H129</f>
        <v>41820</v>
      </c>
      <c r="AH146" s="60">
        <f>G146</f>
        <v>41820</v>
      </c>
      <c r="AI146" s="59"/>
      <c r="AJ146" s="43"/>
      <c r="AK146" s="78" t="str">
        <f>S.Staff.Subject.Expert.FirstName&amp;" drafts:"</f>
        <v>Brian drafts:</v>
      </c>
      <c r="AL146" s="76"/>
      <c r="AM146"/>
    </row>
    <row r="147" spans="1:51" s="23" customFormat="1" ht="14.1" hidden="1" customHeight="1" outlineLevel="2">
      <c r="A147" s="145"/>
      <c r="B147" s="302" t="s">
        <v>546</v>
      </c>
      <c r="C147" s="563"/>
      <c r="D147" s="706"/>
      <c r="E147" s="706"/>
      <c r="F147"/>
      <c r="G147" s="90" t="s">
        <v>0</v>
      </c>
      <c r="H147" s="90"/>
      <c r="I147" s="745"/>
      <c r="AF147" s="361">
        <f>IF(S.Planning.DecisionToAddToPlan="A",1,0)</f>
        <v>1</v>
      </c>
      <c r="AG147" s="58"/>
      <c r="AH147" s="58"/>
      <c r="AI147" s="59"/>
      <c r="AJ147" s="62"/>
      <c r="AK147" s="72" t="s">
        <v>0</v>
      </c>
      <c r="AL147" s="76"/>
    </row>
    <row r="148" spans="1:51" s="23" customFormat="1" ht="14.1" hidden="1" customHeight="1" outlineLevel="2">
      <c r="A148" s="145"/>
      <c r="B148" s="302" t="s">
        <v>548</v>
      </c>
      <c r="C148" s="563"/>
      <c r="D148" s="706"/>
      <c r="E148" s="706"/>
      <c r="F148"/>
      <c r="G148" s="90" t="s">
        <v>0</v>
      </c>
      <c r="H148" s="90"/>
      <c r="I148" s="745"/>
      <c r="AF148" s="361">
        <f>IF(S.Planning.DecisionToAddToPlan="A",1,0)</f>
        <v>1</v>
      </c>
      <c r="AG148" s="58"/>
      <c r="AH148" s="58"/>
      <c r="AI148" s="59"/>
      <c r="AJ148" s="62"/>
      <c r="AK148" s="72" t="s">
        <v>0</v>
      </c>
      <c r="AL148" s="76"/>
    </row>
    <row r="149" spans="1:51" s="23" customFormat="1" ht="14.1" hidden="1" customHeight="1" outlineLevel="2">
      <c r="A149" s="145" t="s">
        <v>0</v>
      </c>
      <c r="B149" s="302" t="s">
        <v>547</v>
      </c>
      <c r="C149" s="563"/>
      <c r="D149" s="706"/>
      <c r="E149" s="706"/>
      <c r="F149"/>
      <c r="G149" s="90" t="s">
        <v>0</v>
      </c>
      <c r="H149" s="90"/>
      <c r="I149" s="745"/>
      <c r="AF149" s="361">
        <f>IF(S.Planning.DecisionToAddToPlan="A",1,0)</f>
        <v>1</v>
      </c>
      <c r="AG149" s="58"/>
      <c r="AH149" s="58"/>
      <c r="AI149" s="59"/>
      <c r="AJ149" s="62"/>
      <c r="AK149" s="72" t="s">
        <v>0</v>
      </c>
      <c r="AL149" s="76"/>
    </row>
    <row r="150" spans="1:51" s="23" customFormat="1" ht="14.1" hidden="1" customHeight="1" outlineLevel="2">
      <c r="A150" s="145"/>
      <c r="B150" s="267" t="str">
        <f>AK150</f>
        <v>Brian gets consenus from DavidC &amp; AndreaG on workbooks</v>
      </c>
      <c r="C150" s="88"/>
      <c r="D150" s="194" t="s">
        <v>48</v>
      </c>
      <c r="E150" s="876"/>
      <c r="F150"/>
      <c r="H150" s="190">
        <f>AH150</f>
        <v>41820</v>
      </c>
      <c r="I150" s="745"/>
      <c r="AF150" s="361">
        <v>1</v>
      </c>
      <c r="AG150" s="58"/>
      <c r="AH150" s="60">
        <f>S.Planning.DraftWorkbooksEnd</f>
        <v>41820</v>
      </c>
      <c r="AI150" s="59"/>
      <c r="AJ150" s="43"/>
      <c r="AK150" s="78" t="str">
        <f>S.Staff.Subject.Expert.FirstName&amp;" gets consenus from "&amp;S.Staff.Program.Mgr.FirstName&amp;" &amp; "&amp;S.Staff.RG.Lead.FirstName&amp;" on workbooks"</f>
        <v>Brian gets consenus from DavidC &amp; AndreaG on workbooks</v>
      </c>
      <c r="AL150" s="76"/>
    </row>
    <row r="151" spans="1:51" s="23" customFormat="1" ht="14.1" hidden="1" customHeight="1" outlineLevel="2">
      <c r="A151" s="145"/>
      <c r="B151" s="267" t="str">
        <f>AK151</f>
        <v>DavidC shares concept with Uri and may stop/delay/advance concept</v>
      </c>
      <c r="C151" s="88"/>
      <c r="D151" s="194" t="s">
        <v>694</v>
      </c>
      <c r="E151" s="876"/>
      <c r="H151" s="190">
        <f>AH151</f>
        <v>41820</v>
      </c>
      <c r="I151" s="745"/>
      <c r="AF151" s="361">
        <v>1</v>
      </c>
      <c r="AG151" s="58"/>
      <c r="AH151" s="60">
        <f>S.Planning.DraftWorkbooksEnd</f>
        <v>41820</v>
      </c>
      <c r="AI151" s="59"/>
      <c r="AJ151" s="43"/>
      <c r="AK151" s="78" t="str">
        <f>S.Staff.Program.Mgr.FirstName&amp;" shares concept with "&amp;S.Staff.Assistant.DA.ShortName&amp;" and may stop/delay/advance concept"</f>
        <v>DavidC shares concept with Uri and may stop/delay/advance concept</v>
      </c>
      <c r="AL151" s="76"/>
    </row>
    <row r="152" spans="1:51" s="23" customFormat="1" ht="14.1" hidden="1" customHeight="1" outlineLevel="2">
      <c r="A152" s="145"/>
      <c r="B152" s="267" t="str">
        <f>AK152</f>
        <v>Uri shares concept with Wendy and may stop/delay/advance concept</v>
      </c>
      <c r="C152" s="88"/>
      <c r="D152" s="194" t="s">
        <v>694</v>
      </c>
      <c r="E152" s="876"/>
      <c r="H152" s="190">
        <f>AH152</f>
        <v>41820</v>
      </c>
      <c r="I152" s="745"/>
      <c r="AF152" s="361">
        <v>1</v>
      </c>
      <c r="AG152" s="58"/>
      <c r="AH152" s="60">
        <f>S.Planning.DraftWorkbooksEnd</f>
        <v>41820</v>
      </c>
      <c r="AI152" s="59"/>
      <c r="AJ152" s="43"/>
      <c r="AK152" s="78" t="str">
        <f>S.Staff.Assistant.DA.ShortName&amp;" shares concept with "&amp;S.Staff.DA.ForProgram.FirstName&amp;" and may stop/delay/advance concept"</f>
        <v>Uri shares concept with Wendy and may stop/delay/advance concept</v>
      </c>
      <c r="AL152" s="76"/>
    </row>
    <row r="153" spans="1:51" s="23" customFormat="1" ht="14.1" hidden="1" customHeight="1" outlineLevel="2">
      <c r="A153" s="145"/>
      <c r="B153" s="267" t="str">
        <f>AK153</f>
        <v>If advanced, DavidC emails AndreaG to indicate her approval</v>
      </c>
      <c r="C153" s="88"/>
      <c r="D153" s="194" t="s">
        <v>694</v>
      </c>
      <c r="E153" s="876"/>
      <c r="H153" s="190">
        <f>AH153</f>
        <v>41820</v>
      </c>
      <c r="I153" s="745"/>
      <c r="AF153" s="361">
        <v>1</v>
      </c>
      <c r="AG153" s="58"/>
      <c r="AH153" s="60">
        <f>S.Planning.DraftWorkbooksEnd</f>
        <v>41820</v>
      </c>
      <c r="AI153" s="59"/>
      <c r="AJ153" s="43"/>
      <c r="AK153" s="78" t="str">
        <f>"If advanced, "&amp;S.Staff.Program.Mgr.FirstName&amp;" emails "&amp;S.Staff.RG.Lead.FirstName&amp;" to indicate "&amp;S.Staff.Program.Mgr.Pronoun&amp;" approval"</f>
        <v>If advanced, DavidC emails AndreaG to indicate her approval</v>
      </c>
      <c r="AL153" s="76"/>
    </row>
    <row r="154" spans="1:51" s="23" customFormat="1" ht="14.1" hidden="1" customHeight="1" outlineLevel="2">
      <c r="A154" s="145"/>
      <c r="B154" s="318" t="str">
        <f>AK154</f>
        <v>Maggie:</v>
      </c>
      <c r="C154" s="509" t="s">
        <v>49</v>
      </c>
      <c r="D154" s="194" t="s">
        <v>694</v>
      </c>
      <c r="E154" s="876"/>
      <c r="H154" s="190">
        <f>AH154</f>
        <v>0</v>
      </c>
      <c r="I154" s="745"/>
      <c r="AF154" s="361">
        <v>1</v>
      </c>
      <c r="AG154" s="58"/>
      <c r="AH154" s="60">
        <f>G154</f>
        <v>0</v>
      </c>
      <c r="AI154" s="59"/>
      <c r="AJ154" s="43"/>
      <c r="AK154" s="78" t="str">
        <f>S.Staff.AgencyRulesCoordinator&amp;":"</f>
        <v>Maggie:</v>
      </c>
      <c r="AL154" s="76"/>
    </row>
    <row r="155" spans="1:51" s="23" customFormat="1" ht="14.1" hidden="1" customHeight="1" outlineLevel="2">
      <c r="A155" s="145"/>
      <c r="B155" s="276" t="s">
        <v>727</v>
      </c>
      <c r="C155" s="563"/>
      <c r="D155" s="194" t="s">
        <v>694</v>
      </c>
      <c r="E155" s="876"/>
      <c r="G155" s="90" t="s">
        <v>0</v>
      </c>
      <c r="H155" s="90"/>
      <c r="I155" s="745"/>
      <c r="AF155" s="361">
        <f>IF(S.Planning.DecisionToAddToPlan="A",1,0)</f>
        <v>1</v>
      </c>
      <c r="AG155" s="58"/>
      <c r="AH155" s="58"/>
      <c r="AI155" s="59"/>
      <c r="AJ155" s="62"/>
      <c r="AK155" s="72" t="s">
        <v>0</v>
      </c>
      <c r="AL155" s="76"/>
    </row>
    <row r="156" spans="1:51" s="23" customFormat="1" ht="14.1" hidden="1" customHeight="1" outlineLevel="2">
      <c r="A156" s="145"/>
      <c r="B156" s="898" t="s">
        <v>728</v>
      </c>
      <c r="C156" s="563"/>
      <c r="D156" s="194" t="s">
        <v>694</v>
      </c>
      <c r="E156" s="876"/>
      <c r="G156" s="90" t="s">
        <v>0</v>
      </c>
      <c r="H156" s="90"/>
      <c r="I156" s="745"/>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DavidC &amp; Brian</v>
      </c>
      <c r="C157" s="88"/>
      <c r="D157" s="194" t="s">
        <v>48</v>
      </c>
      <c r="E157" s="876"/>
      <c r="H157" s="190">
        <f>AH157</f>
        <v>41820</v>
      </c>
      <c r="I157" s="745"/>
      <c r="AF157" s="361">
        <v>1</v>
      </c>
      <c r="AG157" s="58"/>
      <c r="AH157" s="60">
        <f>S.Planning.DraftWorkbooksEnd</f>
        <v>41820</v>
      </c>
      <c r="AI157" s="59"/>
      <c r="AJ157" s="43"/>
      <c r="AK157" s="78" t="str">
        <f>"* shares priority list and factors with "&amp;S.Staff.Program.Mgr.FirstName&amp;" &amp; "&amp;S.Staff.Subject.Expert.FirstName</f>
        <v>* shares priority list and factors with DavidC &amp; Brian</v>
      </c>
      <c r="AL157" s="76"/>
    </row>
    <row r="158" spans="1:51" s="23" customFormat="1" ht="14.1" hidden="1" customHeight="1" outlineLevel="2">
      <c r="A158" s="145"/>
      <c r="B158" s="276" t="s">
        <v>693</v>
      </c>
      <c r="C158" s="563"/>
      <c r="D158" s="194" t="s">
        <v>694</v>
      </c>
      <c r="E158" s="876"/>
      <c r="G158" s="90" t="s">
        <v>0</v>
      </c>
      <c r="H158" s="90"/>
      <c r="I158" s="745"/>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DavidC &amp; AndreaG</v>
      </c>
      <c r="C159" s="88"/>
      <c r="D159" s="194" t="s">
        <v>48</v>
      </c>
      <c r="E159" s="876"/>
      <c r="H159" s="190">
        <f>AH159</f>
        <v>41820</v>
      </c>
      <c r="I159" s="745"/>
      <c r="AF159" s="361">
        <v>1</v>
      </c>
      <c r="AG159" s="58"/>
      <c r="AH159" s="60">
        <f>S.Planning.DraftWorkbooksEnd</f>
        <v>41820</v>
      </c>
      <c r="AI159" s="59"/>
      <c r="AJ159" s="43"/>
      <c r="AK159" s="78" t="str">
        <f>"* shares priority listing with "&amp;S.Staff.Program.Mgr.FirstName&amp;" &amp; "&amp;S.Staff.RG.Lead.FirstName</f>
        <v>* shares priority listing with DavidC &amp; AndreaG</v>
      </c>
      <c r="AL159" s="76"/>
    </row>
    <row r="160" spans="1:51" s="23" customFormat="1" ht="14.1" hidden="1" customHeight="1" outlineLevel="2">
      <c r="A160" s="145"/>
      <c r="B160" s="269" t="s">
        <v>731</v>
      </c>
      <c r="C160" s="195" t="s">
        <v>0</v>
      </c>
      <c r="D160" s="197"/>
      <c r="E160" s="878"/>
      <c r="G160" s="351"/>
      <c r="H160" s="351"/>
      <c r="I160" s="745"/>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76"/>
      <c r="F161"/>
      <c r="G161" s="190">
        <f>AG161</f>
        <v>41820</v>
      </c>
      <c r="H161" s="190">
        <f>AH161</f>
        <v>41820</v>
      </c>
      <c r="I161" s="745"/>
      <c r="J161"/>
      <c r="K161"/>
      <c r="L161"/>
      <c r="M161"/>
      <c r="N161"/>
      <c r="O161"/>
      <c r="P161"/>
      <c r="Q161"/>
      <c r="R161"/>
      <c r="S161"/>
      <c r="T161"/>
      <c r="U161"/>
      <c r="X161"/>
      <c r="AB161"/>
      <c r="AC161"/>
      <c r="AF161" s="361">
        <v>1</v>
      </c>
      <c r="AG161" s="60">
        <f>H150</f>
        <v>41820</v>
      </c>
      <c r="AH161" s="60">
        <f>G161</f>
        <v>41820</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78"/>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545</v>
      </c>
      <c r="C163" s="189" t="s">
        <v>0</v>
      </c>
      <c r="D163" s="188" t="s">
        <v>0</v>
      </c>
      <c r="E163" s="879"/>
      <c r="F163"/>
      <c r="G163" s="733" t="s">
        <v>0</v>
      </c>
      <c r="H163" s="734">
        <f>AH163</f>
        <v>41820</v>
      </c>
      <c r="I163" s="745"/>
      <c r="J163"/>
      <c r="K163"/>
      <c r="L163"/>
      <c r="M163"/>
      <c r="N163"/>
      <c r="O163"/>
      <c r="P163"/>
      <c r="Q163"/>
      <c r="R163"/>
      <c r="S163"/>
      <c r="T163"/>
      <c r="U163"/>
      <c r="X163"/>
      <c r="AB163"/>
      <c r="AC163"/>
      <c r="AF163" s="361">
        <v>1</v>
      </c>
      <c r="AG163" s="47"/>
      <c r="AH163" s="60">
        <f>H161</f>
        <v>41820</v>
      </c>
      <c r="AI163" s="59"/>
      <c r="AJ163" s="43"/>
      <c r="AK163" s="47"/>
      <c r="AL163" s="76"/>
    </row>
    <row r="164" spans="1:39" s="23" customFormat="1" ht="14.1" hidden="1" customHeight="1" outlineLevel="2">
      <c r="A164" s="145"/>
      <c r="B164" s="430" t="str">
        <f t="shared" ref="B164:B169" si="5">AK164</f>
        <v>To: Leadership Team describing addition to DEQ Rulemaking Plan</v>
      </c>
      <c r="C164" s="196"/>
      <c r="D164" s="706"/>
      <c r="E164" s="706"/>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5"/>
        <v xml:space="preserve">To: StephanieC to include in monthly Director's Report </v>
      </c>
      <c r="C165" s="196"/>
      <c r="D165" s="706"/>
      <c r="E165" s="706"/>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897" t="str">
        <f t="shared" si="5"/>
        <v>(Dick asks EQC how they want to be involved with rulemaking)</v>
      </c>
      <c r="C166" s="189"/>
      <c r="D166" s="705"/>
      <c r="E166" s="705"/>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897" t="str">
        <f t="shared" si="5"/>
        <v>(StephanieC informs team about EQC involvement by email)</v>
      </c>
      <c r="C167" s="189"/>
      <c r="D167" s="705"/>
      <c r="E167" s="705"/>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5"/>
        <v>Cc… DavidC, Brian, AndreaG</v>
      </c>
      <c r="C168" s="196"/>
      <c r="D168" s="706"/>
      <c r="E168" s="706"/>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 AndreaG</v>
      </c>
      <c r="AL168" s="76"/>
    </row>
    <row r="169" spans="1:39" s="23" customFormat="1" ht="14.1" hidden="1" customHeight="1" outlineLevel="2" thickBot="1">
      <c r="A169" s="145"/>
      <c r="B169" s="267" t="str">
        <f t="shared" si="5"/>
        <v>AndreaG:</v>
      </c>
      <c r="C169" s="195" t="s">
        <v>0</v>
      </c>
      <c r="D169" s="197"/>
      <c r="E169" s="878"/>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c r="A170" s="145"/>
      <c r="B170" s="302" t="s">
        <v>544</v>
      </c>
      <c r="C170" s="540" t="s">
        <v>116</v>
      </c>
      <c r="D170" s="188" t="s">
        <v>48</v>
      </c>
      <c r="E170" s="879"/>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79"/>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ollapsed="1">
      <c r="A172" s="145"/>
      <c r="B172" s="329"/>
      <c r="C172" s="329"/>
      <c r="D172" s="693"/>
      <c r="E172" s="693"/>
      <c r="F172" s="795"/>
      <c r="G172" s="286"/>
      <c r="H172" s="331"/>
      <c r="I172" s="39"/>
      <c r="AF172" s="361">
        <v>0</v>
      </c>
      <c r="AG172" s="76"/>
      <c r="AH172" s="76"/>
      <c r="AI172" s="108" t="s">
        <v>230</v>
      </c>
      <c r="AJ172" s="344"/>
      <c r="AK172" s="77"/>
      <c r="AL172" s="76"/>
    </row>
    <row r="173" spans="1:39" ht="20.25" customHeight="1" outlineLevel="1" thickBot="1">
      <c r="A173" s="145"/>
      <c r="B173" s="492" t="s">
        <v>726</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customHeight="1" outlineLevel="1" thickBot="1">
      <c r="A174" s="145" t="s">
        <v>0</v>
      </c>
      <c r="B174" s="267" t="str">
        <f>AK174</f>
        <v>DavidC, Brian &amp; AndreaG decide whether to expand team  'Y' to expand &gt;</v>
      </c>
      <c r="C174" s="540" t="s">
        <v>206</v>
      </c>
      <c r="D174" s="188" t="s">
        <v>694</v>
      </c>
      <c r="E174" s="879"/>
      <c r="F174"/>
      <c r="G174" s="90" t="s">
        <v>0</v>
      </c>
      <c r="H174" s="190">
        <f>AH174</f>
        <v>41820</v>
      </c>
      <c r="I174" s="745"/>
      <c r="J174"/>
      <c r="K174"/>
      <c r="L174"/>
      <c r="M174"/>
      <c r="N174"/>
      <c r="O174"/>
      <c r="P174"/>
      <c r="Q174"/>
      <c r="R174"/>
      <c r="S174"/>
      <c r="T174"/>
      <c r="U174"/>
      <c r="X174"/>
      <c r="AB174"/>
      <c r="AC174"/>
      <c r="AF174" s="361">
        <f>IF(S.Planning.DecisionToAddToPlan="A",1,0)</f>
        <v>1</v>
      </c>
      <c r="AG174" s="58"/>
      <c r="AH174" s="60">
        <f>S.Planning.AddConceptToPlanDate</f>
        <v>41820</v>
      </c>
      <c r="AI174" s="59"/>
      <c r="AJ174" s="62"/>
      <c r="AK174" s="78" t="str">
        <f>S.Staff.Program.Mgr.FirstName&amp;", "&amp;S.Staff.Subject.Expert.FirstName&amp;" &amp; "&amp;S.Staff.RG.Lead.FirstName&amp;" decide whether to expand team  'Y' to expand &gt;"</f>
        <v>DavidC, Brian &amp; AndreaG decide whether to expand team  'Y' to expand &gt;</v>
      </c>
      <c r="AL174" s="76"/>
    </row>
    <row r="175" spans="1:39" s="23" customFormat="1" ht="14.1" customHeight="1" outlineLevel="1">
      <c r="A175" s="145"/>
      <c r="B175" s="267" t="str">
        <f>AK175</f>
        <v>DavidC works with MargaretO obtains unique Q-Time number(s)</v>
      </c>
      <c r="C175" s="199"/>
      <c r="D175" s="188"/>
      <c r="E175" s="879"/>
      <c r="F175"/>
      <c r="G175" s="90" t="s">
        <v>0</v>
      </c>
      <c r="H175" s="190">
        <f>AH175</f>
        <v>41820</v>
      </c>
      <c r="I175" s="745"/>
      <c r="J175"/>
      <c r="K175"/>
      <c r="L175"/>
      <c r="M175"/>
      <c r="N175"/>
      <c r="O175"/>
      <c r="P175"/>
      <c r="Q175"/>
      <c r="R175"/>
      <c r="S175"/>
      <c r="T175"/>
      <c r="U175"/>
      <c r="X175"/>
      <c r="AB175"/>
      <c r="AC175"/>
      <c r="AF175" s="361">
        <f>IF(S.Planning.DecisionToAddToPlan="A",1,0)</f>
        <v>1</v>
      </c>
      <c r="AG175" s="58"/>
      <c r="AH175" s="60">
        <f>S.Planning.AddConceptToPlanDate</f>
        <v>41820</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c r="A176" s="145"/>
      <c r="B176" s="484" t="str">
        <f>AK176</f>
        <v>for this rulemaking fromRobertB</v>
      </c>
      <c r="C176" s="196"/>
      <c r="D176" s="706"/>
      <c r="E176" s="706"/>
      <c r="F176"/>
      <c r="G176" s="192"/>
      <c r="H176" s="193"/>
      <c r="I176" s="745"/>
      <c r="AF176" s="361">
        <f>IF(S.Planning.DecisionToAddToPlan="A",1,0)</f>
        <v>1</v>
      </c>
      <c r="AG176" s="58"/>
      <c r="AH176" s="58"/>
      <c r="AI176" s="59"/>
      <c r="AJ176" s="43"/>
      <c r="AK176" s="674" t="str">
        <f>"for this rulemaking from"&amp;S.Staff.TimeAccounting</f>
        <v>for this rulemaking fromRobertB</v>
      </c>
      <c r="AL176" s="76"/>
    </row>
    <row r="177" spans="1:38" s="23" customFormat="1" ht="14.1" customHeight="1" outlineLevel="1">
      <c r="A177" s="145"/>
      <c r="B177" s="343" t="str">
        <f>AK177</f>
        <v>DavidC is responsible for:</v>
      </c>
      <c r="C177" s="196"/>
      <c r="D177" s="706"/>
      <c r="E177" s="706"/>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c r="A178" s="145"/>
      <c r="B178" s="302" t="s">
        <v>556</v>
      </c>
      <c r="C178" s="199"/>
      <c r="D178"/>
      <c r="F178"/>
      <c r="G178" s="192"/>
      <c r="H178" s="192"/>
      <c r="I178" s="745"/>
      <c r="J178"/>
      <c r="K178"/>
      <c r="L178"/>
      <c r="M178"/>
      <c r="N178"/>
      <c r="O178"/>
      <c r="P178"/>
      <c r="Q178"/>
      <c r="R178"/>
      <c r="S178"/>
      <c r="T178"/>
      <c r="U178"/>
      <c r="X178"/>
      <c r="AB178"/>
      <c r="AC178"/>
      <c r="AF178" s="361">
        <f>IF(S.Planning.ExpandTeam="N",0,IF(S.Planning.DecisionToAddToPlan="A",1,0))</f>
        <v>0</v>
      </c>
      <c r="AG178" s="58"/>
      <c r="AH178" s="58"/>
      <c r="AI178" s="59"/>
      <c r="AJ178" s="62"/>
      <c r="AK178" s="346"/>
      <c r="AL178" s="76"/>
    </row>
    <row r="179" spans="1:38" s="23" customFormat="1" ht="14.1" customHeight="1" outlineLevel="1">
      <c r="A179" s="145"/>
      <c r="B179" s="302" t="s">
        <v>554</v>
      </c>
      <c r="C179" s="199"/>
      <c r="D179"/>
      <c r="F179"/>
      <c r="G179" s="192"/>
      <c r="H179" s="192"/>
      <c r="I179" s="745"/>
      <c r="J179"/>
      <c r="K179"/>
      <c r="L179"/>
      <c r="M179"/>
      <c r="N179"/>
      <c r="O179"/>
      <c r="P179"/>
      <c r="Q179"/>
      <c r="R179"/>
      <c r="S179"/>
      <c r="T179"/>
      <c r="U179"/>
      <c r="X179"/>
      <c r="AB179"/>
      <c r="AC179"/>
      <c r="AF179" s="361">
        <f>IF(S.Planning.ExpandTeam="N",0,IF(S.Planning.DecisionToAddToPlan="A",1,0))</f>
        <v>0</v>
      </c>
      <c r="AG179" s="58"/>
      <c r="AH179" s="58"/>
      <c r="AI179" s="59"/>
      <c r="AJ179" s="62"/>
      <c r="AK179" s="346"/>
      <c r="AL179" s="76"/>
    </row>
    <row r="180" spans="1:38" s="23" customFormat="1" ht="14.1" customHeight="1" outlineLevel="1">
      <c r="A180" s="145" t="s">
        <v>0</v>
      </c>
      <c r="B180" s="302" t="s">
        <v>555</v>
      </c>
      <c r="C180" s="563"/>
      <c r="D180" s="706"/>
      <c r="E180" s="706"/>
      <c r="F180"/>
      <c r="G180" s="90" t="s">
        <v>0</v>
      </c>
      <c r="H180" s="90"/>
      <c r="I180" s="745"/>
      <c r="AF180" s="361">
        <f t="shared" ref="AF180:AF191" si="6">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c r="E181" s="879"/>
      <c r="F181"/>
      <c r="G181" s="90" t="s">
        <v>0</v>
      </c>
      <c r="H181" s="190">
        <f>AH181</f>
        <v>41820</v>
      </c>
      <c r="I181" s="745"/>
      <c r="AF181" s="361">
        <f t="shared" si="6"/>
        <v>1</v>
      </c>
      <c r="AG181" s="58"/>
      <c r="AH181" s="60">
        <f>S.Planning.AddConceptToPlanDate</f>
        <v>41820</v>
      </c>
      <c r="AI181" s="59"/>
      <c r="AJ181" s="43"/>
      <c r="AK181" s="63" t="str">
        <f>S.Staff.RG.Lead.FirstName&amp;" drafts SCHEDULE:"</f>
        <v>AndreaG drafts SCHEDULE:</v>
      </c>
      <c r="AL181" s="76"/>
    </row>
    <row r="182" spans="1:38" s="23" customFormat="1" ht="14.1" customHeight="1" outlineLevel="1">
      <c r="A182" s="145"/>
      <c r="B182" s="267" t="str">
        <f>AK182</f>
        <v>Brian &amp; AndreaG refine &amp; agree on draft schedule:</v>
      </c>
      <c r="C182" s="195" t="s">
        <v>0</v>
      </c>
      <c r="D182" s="188"/>
      <c r="E182" s="879"/>
      <c r="F182"/>
      <c r="G182" s="90" t="s">
        <v>0</v>
      </c>
      <c r="H182" s="190">
        <f>AH182</f>
        <v>41820</v>
      </c>
      <c r="I182" s="745"/>
      <c r="AF182" s="361">
        <f t="shared" si="6"/>
        <v>1</v>
      </c>
      <c r="AG182" s="58"/>
      <c r="AH182" s="60">
        <f>S.Planning.AddConceptToPlanDate</f>
        <v>41820</v>
      </c>
      <c r="AI182" s="59"/>
      <c r="AJ182" s="43"/>
      <c r="AK182" s="63" t="str">
        <f>S.Staff.Subject.Expert.FirstName&amp;" &amp; "&amp;S.Staff.RG.Lead.FirstName&amp;" refine &amp; agree on draft schedule:"</f>
        <v>Brian &amp; AndreaG refine &amp; agree on draft schedule:</v>
      </c>
      <c r="AL182" s="76"/>
    </row>
    <row r="183" spans="1:38" s="23" customFormat="1" ht="14.1" customHeight="1" outlineLevel="1">
      <c r="A183" s="145"/>
      <c r="B183" s="267" t="str">
        <f>AK183</f>
        <v>Brian schedules/holds team meeting(s) for consensus on:</v>
      </c>
      <c r="C183" s="195" t="s">
        <v>0</v>
      </c>
      <c r="D183" s="188"/>
      <c r="E183" s="879"/>
      <c r="F183"/>
      <c r="G183" s="190">
        <f>AG183</f>
        <v>41820</v>
      </c>
      <c r="H183" s="190">
        <f>AH183</f>
        <v>41820</v>
      </c>
      <c r="I183" s="745"/>
      <c r="J183"/>
      <c r="K183"/>
      <c r="L183"/>
      <c r="M183"/>
      <c r="N183"/>
      <c r="O183"/>
      <c r="P183"/>
      <c r="Q183"/>
      <c r="R183"/>
      <c r="S183"/>
      <c r="T183"/>
      <c r="U183"/>
      <c r="X183"/>
      <c r="AB183"/>
      <c r="AC183"/>
      <c r="AF183" s="361">
        <f t="shared" si="6"/>
        <v>1</v>
      </c>
      <c r="AG183" s="60">
        <f>S.Planning.AddConceptToPlanDate</f>
        <v>41820</v>
      </c>
      <c r="AH183" s="60">
        <f>G183</f>
        <v>41820</v>
      </c>
      <c r="AI183" s="59"/>
      <c r="AJ183" s="43"/>
      <c r="AK183" s="63" t="str">
        <f>S.Staff.Subject.Expert.FirstName&amp;" schedules/holds team meeting(s) for consensus on:"</f>
        <v>Brian schedules/holds team meeting(s) for consensus on:</v>
      </c>
      <c r="AL183" s="76"/>
    </row>
    <row r="184" spans="1:38" s="23" customFormat="1" ht="14.1" customHeight="1" outlineLevel="1">
      <c r="A184" s="145"/>
      <c r="B184" s="302" t="s">
        <v>546</v>
      </c>
      <c r="C184" s="563"/>
      <c r="D184" s="706"/>
      <c r="E184" s="706"/>
      <c r="F184" s="89"/>
      <c r="G184" s="90" t="s">
        <v>0</v>
      </c>
      <c r="H184" s="90"/>
      <c r="I184" s="745"/>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c r="A185" s="145"/>
      <c r="B185" s="302" t="s">
        <v>548</v>
      </c>
      <c r="C185" s="563"/>
      <c r="D185" s="706"/>
      <c r="E185" s="706"/>
      <c r="F185" s="89"/>
      <c r="G185" s="90" t="s">
        <v>0</v>
      </c>
      <c r="H185" s="90"/>
      <c r="I185" s="745"/>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c r="A186" s="145" t="s">
        <v>0</v>
      </c>
      <c r="B186" s="302" t="s">
        <v>547</v>
      </c>
      <c r="C186" s="563"/>
      <c r="D186" s="706"/>
      <c r="E186" s="706"/>
      <c r="F186" s="89"/>
      <c r="G186" s="90" t="s">
        <v>0</v>
      </c>
      <c r="H186" s="90"/>
      <c r="I186" s="745"/>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c r="A187" s="145" t="s">
        <v>0</v>
      </c>
      <c r="B187" s="302" t="s">
        <v>557</v>
      </c>
      <c r="C187" s="563"/>
      <c r="D187" s="706"/>
      <c r="E187" s="706"/>
      <c r="F187" s="89"/>
      <c r="G187" s="90" t="s">
        <v>0</v>
      </c>
      <c r="H187" s="90"/>
      <c r="I187" s="745"/>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c r="A188" s="145"/>
      <c r="B188" s="329"/>
      <c r="C188" s="329"/>
      <c r="D188" s="693"/>
      <c r="E188" s="693"/>
      <c r="F188" s="795"/>
      <c r="G188" s="286"/>
      <c r="H188" s="331"/>
      <c r="I188" s="39"/>
      <c r="AF188" s="361">
        <v>0</v>
      </c>
      <c r="AG188" s="76"/>
      <c r="AH188" s="76"/>
      <c r="AI188" s="108" t="s">
        <v>230</v>
      </c>
      <c r="AJ188" s="344"/>
      <c r="AK188" s="77"/>
      <c r="AL188" s="76"/>
    </row>
    <row r="189" spans="1:38" s="23" customFormat="1" ht="19.5" customHeight="1" outlineLevel="1">
      <c r="A189" s="145"/>
      <c r="B189" s="793" t="s">
        <v>280</v>
      </c>
      <c r="C189" s="90"/>
      <c r="D189" s="139"/>
      <c r="E189" s="139"/>
      <c r="F189" s="89"/>
      <c r="G189" s="90" t="s">
        <v>0</v>
      </c>
      <c r="H189" s="90"/>
      <c r="I189" s="745"/>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c r="A190" s="145"/>
      <c r="B190" s="303" t="str">
        <f>AK190</f>
        <v>Brian schedules/holds meeting with DavidC and</v>
      </c>
      <c r="C190" s="527"/>
      <c r="D190" s="528" t="s">
        <v>48</v>
      </c>
      <c r="E190" s="880"/>
      <c r="F190"/>
      <c r="G190" s="190">
        <f>AG190</f>
        <v>41820</v>
      </c>
      <c r="H190" s="190">
        <f>AH190</f>
        <v>41820</v>
      </c>
      <c r="I190" s="745"/>
      <c r="J190"/>
      <c r="K190"/>
      <c r="L190"/>
      <c r="M190"/>
      <c r="N190"/>
      <c r="O190"/>
      <c r="P190"/>
      <c r="Q190"/>
      <c r="R190"/>
      <c r="S190"/>
      <c r="T190"/>
      <c r="U190"/>
      <c r="X190"/>
      <c r="AB190"/>
      <c r="AC190"/>
      <c r="AF190" s="361">
        <f t="shared" si="6"/>
        <v>1</v>
      </c>
      <c r="AG190" s="60">
        <f>S.Planning.AddConceptToPlanDate</f>
        <v>41820</v>
      </c>
      <c r="AH190" s="60">
        <f>G190</f>
        <v>41820</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 schedules/holds meeting with DavidC and</v>
      </c>
      <c r="AL190" s="76"/>
    </row>
    <row r="191" spans="1:38" s="23" customFormat="1" ht="15.75" customHeight="1" outlineLevel="2" thickBot="1">
      <c r="A191" s="145" t="s">
        <v>0</v>
      </c>
      <c r="B191" s="502" t="str">
        <f>AK191</f>
        <v>BrianW and AndreaG to discuss/determine need for:</v>
      </c>
      <c r="C191" s="199"/>
      <c r="D191" s="705"/>
      <c r="E191" s="705"/>
      <c r="F191"/>
      <c r="G191"/>
      <c r="H191"/>
      <c r="I191" s="745"/>
      <c r="J191"/>
      <c r="K191"/>
      <c r="L191"/>
      <c r="M191"/>
      <c r="N191"/>
      <c r="O191"/>
      <c r="P191"/>
      <c r="Q191"/>
      <c r="R191"/>
      <c r="S191"/>
      <c r="T191"/>
      <c r="U191"/>
      <c r="X191"/>
      <c r="AB191"/>
      <c r="AC191"/>
      <c r="AF191" s="361">
        <f t="shared" si="6"/>
        <v>1</v>
      </c>
      <c r="AG191" s="59"/>
      <c r="AH191" s="59"/>
      <c r="AI191" s="59"/>
      <c r="AJ191" s="62"/>
      <c r="AK191" s="568" t="str">
        <f>S.Staff.PublicAffairsOfficer&amp;" and "&amp;S.Staff.RG.Lead.FirstName&amp;" to discuss/determine need for:"</f>
        <v>BrianW and AndreaG to discuss/determine need for:</v>
      </c>
      <c r="AL191" s="76"/>
    </row>
    <row r="192" spans="1:38" s="23" customFormat="1" ht="15.75" customHeight="1" outlineLevel="2" thickBot="1">
      <c r="A192" s="145"/>
      <c r="B192" s="729" t="s">
        <v>332</v>
      </c>
      <c r="C192" s="540" t="s">
        <v>206</v>
      </c>
      <c r="D192" s="705"/>
      <c r="E192" s="705"/>
      <c r="F192"/>
      <c r="G192"/>
      <c r="H192"/>
      <c r="I192" s="745"/>
      <c r="J192"/>
      <c r="K192"/>
      <c r="L192"/>
      <c r="M192"/>
      <c r="N192"/>
      <c r="O192"/>
      <c r="P192"/>
      <c r="Q192"/>
      <c r="R192"/>
      <c r="S192"/>
      <c r="T192"/>
      <c r="U192"/>
      <c r="X192"/>
      <c r="AB192"/>
      <c r="AC192"/>
      <c r="AF192" s="361">
        <f>IF(S.Planning.CommunicationsPlan="Y",1,0)</f>
        <v>0</v>
      </c>
      <c r="AG192" s="59"/>
      <c r="AH192" s="59"/>
      <c r="AI192" s="908" t="str">
        <f>IF(AND(S.Planning.CommunicationsPlan="Y",S.Planning.MessageMap="Y",S.Notice.NewsRelease="Y"),"Y","N")</f>
        <v>N</v>
      </c>
      <c r="AJ192" s="62"/>
      <c r="AK192" s="44"/>
      <c r="AL192" s="76"/>
    </row>
    <row r="193" spans="1:39" s="23" customFormat="1" ht="15.75" customHeight="1" outlineLevel="2" thickBot="1">
      <c r="A193" s="145"/>
      <c r="B193" s="729" t="s">
        <v>333</v>
      </c>
      <c r="C193" s="539" t="s">
        <v>206</v>
      </c>
      <c r="D193" s="705"/>
      <c r="E193" s="705"/>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c r="A194" s="145"/>
      <c r="B194" s="729" t="s">
        <v>586</v>
      </c>
      <c r="C194" s="539" t="s">
        <v>16</v>
      </c>
      <c r="D194" s="705"/>
      <c r="E194" s="705"/>
      <c r="F194" s="257" t="s">
        <v>0</v>
      </c>
      <c r="G194" s="258"/>
      <c r="H194" s="258"/>
      <c r="I194" s="745"/>
      <c r="AF194" s="361">
        <f>IF(S.Notice.AD.Involved="Y",1,0)</f>
        <v>1</v>
      </c>
      <c r="AG194" s="58" t="s">
        <v>0</v>
      </c>
      <c r="AH194" s="58"/>
      <c r="AI194" s="58"/>
      <c r="AJ194" s="66"/>
      <c r="AK194" s="44"/>
      <c r="AL194" s="76"/>
    </row>
    <row r="195" spans="1:39" s="23" customFormat="1" ht="15" customHeight="1" outlineLevel="2" thickBot="1">
      <c r="A195" s="145"/>
      <c r="B195" s="729" t="s">
        <v>614</v>
      </c>
      <c r="C195" s="539" t="s">
        <v>206</v>
      </c>
      <c r="D195" s="705"/>
      <c r="E195" s="705"/>
      <c r="F195" s="257" t="s">
        <v>0</v>
      </c>
      <c r="G195" s="258"/>
      <c r="H195" s="258"/>
      <c r="I195" s="745"/>
      <c r="AF195" s="361">
        <f>IF(S.Notice.NewsRelease="Y",1,0)</f>
        <v>0</v>
      </c>
      <c r="AG195" s="58" t="s">
        <v>0</v>
      </c>
      <c r="AH195" s="58"/>
      <c r="AI195" s="58"/>
      <c r="AJ195" s="66"/>
      <c r="AK195" s="44"/>
      <c r="AL195" s="76"/>
    </row>
    <row r="196" spans="1:39" s="23" customFormat="1" ht="15" customHeight="1" outlineLevel="2" thickBot="1">
      <c r="A196" s="145"/>
      <c r="B196" s="729" t="s">
        <v>334</v>
      </c>
      <c r="C196" s="539" t="s">
        <v>206</v>
      </c>
      <c r="D196" s="705"/>
      <c r="E196" s="705"/>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customHeight="1" outlineLevel="2" thickBot="1">
      <c r="A197" s="145"/>
      <c r="B197" s="735" t="s">
        <v>335</v>
      </c>
      <c r="C197" s="539" t="s">
        <v>206</v>
      </c>
      <c r="D197" s="705"/>
      <c r="E197" s="705"/>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c r="A198" s="145"/>
      <c r="B198" s="329"/>
      <c r="C198" s="329"/>
      <c r="D198" s="693"/>
      <c r="E198" s="693"/>
      <c r="F198" s="795"/>
      <c r="G198" s="286"/>
      <c r="H198" s="331"/>
      <c r="I198" s="39"/>
      <c r="AF198" s="361">
        <v>0</v>
      </c>
      <c r="AG198" s="76"/>
      <c r="AH198" s="76"/>
      <c r="AI198" s="108" t="s">
        <v>230</v>
      </c>
      <c r="AJ198" s="344"/>
      <c r="AK198" s="77"/>
      <c r="AL198" s="76"/>
    </row>
    <row r="199" spans="1:39" s="23" customFormat="1" ht="20.25" hidden="1" customHeight="1" outlineLevel="3">
      <c r="A199" s="145"/>
      <c r="B199" s="794" t="s">
        <v>643</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Brian leads communication option review and approval loops for:</v>
      </c>
      <c r="C200" s="195" t="s">
        <v>0</v>
      </c>
      <c r="D200"/>
      <c r="F200"/>
      <c r="G200" s="730"/>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Brian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79"/>
      <c r="F201"/>
      <c r="G201" s="259">
        <f>AG201</f>
        <v>41820</v>
      </c>
      <c r="H201" s="256">
        <f>AH201</f>
        <v>41820</v>
      </c>
      <c r="I201" s="745"/>
      <c r="J201"/>
      <c r="K201"/>
      <c r="L201"/>
      <c r="M201"/>
      <c r="N201"/>
      <c r="O201"/>
      <c r="P201"/>
      <c r="Q201"/>
      <c r="R201"/>
      <c r="S201"/>
      <c r="T201"/>
      <c r="U201"/>
      <c r="X201"/>
      <c r="AB201"/>
      <c r="AC201"/>
      <c r="AF201" s="361">
        <f>IF(S.Planning.CommunicationsPlan="Y",1,0)</f>
        <v>0</v>
      </c>
      <c r="AG201" s="60">
        <f>S.Planning.CommunicationMeeting</f>
        <v>41820</v>
      </c>
      <c r="AH201" s="60">
        <f>G201</f>
        <v>41820</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549</v>
      </c>
      <c r="C202" s="731" t="s">
        <v>0</v>
      </c>
      <c r="D202" s="732"/>
      <c r="E202" s="881"/>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79"/>
      <c r="F203"/>
      <c r="G203" s="256">
        <f>AG203</f>
        <v>41820</v>
      </c>
      <c r="H203" s="256">
        <f>AH203</f>
        <v>41820</v>
      </c>
      <c r="I203" s="745"/>
      <c r="AF203" s="362">
        <f>IF(S.Planning.MessageMap="Y",1,0)</f>
        <v>0</v>
      </c>
      <c r="AG203" s="60">
        <f>G201</f>
        <v>41820</v>
      </c>
      <c r="AH203" s="60">
        <f>G203</f>
        <v>41820</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79"/>
      <c r="F204"/>
      <c r="G204" s="259">
        <f>AG204</f>
        <v>41820</v>
      </c>
      <c r="H204" s="256">
        <f>AH204</f>
        <v>41820</v>
      </c>
      <c r="I204" s="745"/>
      <c r="J204"/>
      <c r="K204"/>
      <c r="L204"/>
      <c r="M204"/>
      <c r="N204"/>
      <c r="O204"/>
      <c r="P204"/>
      <c r="Q204"/>
      <c r="R204"/>
      <c r="S204"/>
      <c r="T204"/>
      <c r="U204"/>
      <c r="X204"/>
      <c r="AB204"/>
      <c r="AC204"/>
      <c r="AF204" s="362">
        <f>IF(S.Planning.ProgramWebPage="Y",1,0)</f>
        <v>0</v>
      </c>
      <c r="AG204" s="60">
        <f>G203</f>
        <v>41820</v>
      </c>
      <c r="AH204" s="60">
        <f>G204</f>
        <v>41820</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DavidC:</v>
      </c>
      <c r="C205" s="195" t="s">
        <v>0</v>
      </c>
      <c r="D205" s="197"/>
      <c r="E205" s="878"/>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hidden="1" customHeight="1" outlineLevel="3">
      <c r="A206" s="145"/>
      <c r="B206" s="519" t="str">
        <f>AK206</f>
        <v>* shares content with Uri and approves content:</v>
      </c>
      <c r="C206" s="268"/>
      <c r="D206" s="281"/>
      <c r="E206" s="881"/>
      <c r="F206"/>
      <c r="G206" s="256">
        <f t="shared" ref="G206:H211" si="7">AG206</f>
        <v>41820</v>
      </c>
      <c r="H206" s="256">
        <f t="shared" si="7"/>
        <v>41820</v>
      </c>
      <c r="I206" s="745"/>
      <c r="J206"/>
      <c r="K206"/>
      <c r="L206"/>
      <c r="M206"/>
      <c r="N206"/>
      <c r="O206"/>
      <c r="P206"/>
      <c r="Q206"/>
      <c r="R206"/>
      <c r="S206"/>
      <c r="T206"/>
      <c r="U206"/>
      <c r="X206"/>
      <c r="AB206"/>
      <c r="AC206"/>
      <c r="AF206" s="361">
        <f>IF(OR(S.Planning.CommunicationsPlan="Y",S.Planning.MessageMap="Y",S.Planning.ProgramWebPage="Y"),1,0)</f>
        <v>0</v>
      </c>
      <c r="AG206" s="60">
        <f>H204</f>
        <v>41820</v>
      </c>
      <c r="AH206" s="60">
        <f t="shared" ref="AH206:AH211" si="8">G206</f>
        <v>41820</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262</v>
      </c>
      <c r="C207" s="541" t="s">
        <v>0</v>
      </c>
      <c r="D207" s="281"/>
      <c r="E207" s="881"/>
      <c r="F207"/>
      <c r="G207" s="256">
        <f t="shared" si="7"/>
        <v>41820</v>
      </c>
      <c r="H207" s="256">
        <f t="shared" si="7"/>
        <v>41820</v>
      </c>
      <c r="I207" s="745"/>
      <c r="J207"/>
      <c r="K207"/>
      <c r="L207"/>
      <c r="M207"/>
      <c r="N207"/>
      <c r="O207"/>
      <c r="P207"/>
      <c r="Q207"/>
      <c r="R207"/>
      <c r="S207"/>
      <c r="T207"/>
      <c r="U207"/>
      <c r="X207"/>
      <c r="AB207"/>
      <c r="AC207"/>
      <c r="AF207" s="361">
        <f>IF(OR(S.Planning.CommunicationsPlan="Y",S.Planning.MessageMap="Y",S.Planning.ProgramWebPage="Y"),1,0)</f>
        <v>0</v>
      </c>
      <c r="AG207" s="60">
        <f>H206</f>
        <v>41820</v>
      </c>
      <c r="AH207" s="60">
        <f t="shared" si="8"/>
        <v>41820</v>
      </c>
      <c r="AI207" s="47"/>
      <c r="AJ207" s="44"/>
      <c r="AK207" s="72"/>
      <c r="AL207" s="76"/>
    </row>
    <row r="208" spans="1:39" s="23" customFormat="1" ht="15" hidden="1" customHeight="1" outlineLevel="3" thickBot="1">
      <c r="A208" s="145"/>
      <c r="B208" s="449" t="s">
        <v>263</v>
      </c>
      <c r="C208" s="481" t="s">
        <v>206</v>
      </c>
      <c r="D208" s="281"/>
      <c r="E208" s="881"/>
      <c r="F208"/>
      <c r="G208" s="259">
        <f t="shared" si="7"/>
        <v>0</v>
      </c>
      <c r="H208" s="256">
        <f t="shared" si="7"/>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c r="A209" s="145"/>
      <c r="B209" s="446" t="s">
        <v>264</v>
      </c>
      <c r="C209" s="481" t="s">
        <v>206</v>
      </c>
      <c r="D209" s="281"/>
      <c r="E209" s="881"/>
      <c r="F209"/>
      <c r="G209" s="259">
        <f t="shared" si="7"/>
        <v>0</v>
      </c>
      <c r="H209" s="256">
        <f t="shared" si="7"/>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c r="A210" s="145"/>
      <c r="B210" s="522" t="s">
        <v>266</v>
      </c>
      <c r="C210" s="481" t="s">
        <v>206</v>
      </c>
      <c r="D210" s="281"/>
      <c r="E210" s="881"/>
      <c r="F210"/>
      <c r="G210" s="259">
        <f t="shared" si="7"/>
        <v>0</v>
      </c>
      <c r="H210" s="256">
        <f t="shared" si="7"/>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c r="A211" s="145"/>
      <c r="B211" s="518" t="str">
        <f>AK211</f>
        <v>Brian leads program Web page development:</v>
      </c>
      <c r="C211" s="195" t="s">
        <v>0</v>
      </c>
      <c r="D211" s="281"/>
      <c r="E211" s="881"/>
      <c r="F211"/>
      <c r="G211" s="259">
        <f t="shared" si="7"/>
        <v>41761</v>
      </c>
      <c r="H211" s="256">
        <f t="shared" si="7"/>
        <v>41761</v>
      </c>
      <c r="I211" s="745"/>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Brian leads program Web page development:</v>
      </c>
      <c r="AL211" s="76"/>
    </row>
    <row r="212" spans="1:38" s="23" customFormat="1" ht="15" hidden="1" customHeight="1" outlineLevel="3">
      <c r="A212" s="145"/>
      <c r="B212" s="519" t="s">
        <v>551</v>
      </c>
      <c r="C212" s="282" t="s">
        <v>0</v>
      </c>
      <c r="D212" s="281"/>
      <c r="E212" s="881"/>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230</v>
      </c>
      <c r="B213" s="519" t="s">
        <v>265</v>
      </c>
      <c r="C213" s="282" t="s">
        <v>0</v>
      </c>
      <c r="D213" s="281"/>
      <c r="E213" s="881"/>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1"/>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93"/>
      <c r="E215" s="693"/>
      <c r="F215" s="795"/>
      <c r="G215" s="286"/>
      <c r="H215" s="331"/>
      <c r="I215" s="39"/>
      <c r="AF215" s="361">
        <v>0</v>
      </c>
      <c r="AG215" s="76"/>
      <c r="AH215" s="76"/>
      <c r="AI215" s="108" t="s">
        <v>230</v>
      </c>
      <c r="AJ215" s="344"/>
      <c r="AK215" s="77"/>
      <c r="AL215" s="76"/>
    </row>
    <row r="216" spans="1:38" s="23" customFormat="1" ht="20.25" customHeight="1" outlineLevel="1">
      <c r="A216" s="145"/>
      <c r="B216" s="523" t="s">
        <v>571</v>
      </c>
      <c r="C216" s="82"/>
      <c r="D216" s="692"/>
      <c r="E216" s="692"/>
      <c r="F216" s="83"/>
      <c r="G216" s="82"/>
      <c r="H216" s="82"/>
      <c r="I216" s="745"/>
      <c r="AF216" s="361">
        <f>IF(S.Hearing.1stInvolve="Y",1,0)</f>
        <v>1</v>
      </c>
      <c r="AG216" s="47"/>
      <c r="AH216" s="47"/>
      <c r="AI216" s="69"/>
      <c r="AJ216" s="69"/>
      <c r="AK216" s="35"/>
      <c r="AL216" s="76"/>
    </row>
    <row r="217" spans="1:38" s="23" customFormat="1" ht="15" customHeight="1" outlineLevel="1" thickBot="1">
      <c r="A217" s="145"/>
      <c r="B217" s="267" t="str">
        <f>AK217</f>
        <v>Team identifies hearing locations, dates and times</v>
      </c>
      <c r="C217" s="549"/>
      <c r="D217" s="1023" t="s">
        <v>584</v>
      </c>
      <c r="E217" s="1023"/>
      <c r="F217" s="1023"/>
      <c r="G217" s="1023"/>
      <c r="H217" s="1023"/>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c r="A218" s="744"/>
      <c r="B218" s="266" t="s">
        <v>0</v>
      </c>
      <c r="C218" s="762"/>
      <c r="D218" s="1032" t="s">
        <v>583</v>
      </c>
      <c r="E218" s="1033"/>
      <c r="F218" s="1033"/>
      <c r="G218" s="749" t="s">
        <v>567</v>
      </c>
      <c r="H218" s="763" t="s">
        <v>568</v>
      </c>
      <c r="I218" s="745"/>
      <c r="AF218" s="361">
        <f>IF(S.Hearing.1stInvolve="Y",1,0)</f>
        <v>1</v>
      </c>
      <c r="AG218" s="746"/>
      <c r="AH218" s="746"/>
      <c r="AI218" s="746"/>
      <c r="AJ218" s="746"/>
      <c r="AK218" s="747" t="str">
        <f>IF(S.Hearing.1stInvolve="Y",S.Staff.Support&amp;" enters hearings locations, dates and times:","No hearings planned")</f>
        <v>Brian enters hearings locations, dates and times:</v>
      </c>
      <c r="AL218" s="565"/>
    </row>
    <row r="219" spans="1:38" s="23" customFormat="1" ht="15" customHeight="1" outlineLevel="1" thickTop="1" thickBot="1">
      <c r="A219" s="145"/>
      <c r="B219" s="758" t="s">
        <v>789</v>
      </c>
      <c r="C219" s="961" t="s">
        <v>16</v>
      </c>
      <c r="D219" s="1024">
        <v>1</v>
      </c>
      <c r="E219" s="1025"/>
      <c r="F219" s="1025"/>
      <c r="G219" s="253">
        <f t="shared" ref="G219:G227" si="9">AG219</f>
        <v>42019</v>
      </c>
      <c r="H219" s="760" t="s">
        <v>304</v>
      </c>
      <c r="I219" s="745"/>
      <c r="J219"/>
      <c r="K219"/>
      <c r="L219"/>
      <c r="M219"/>
      <c r="N219"/>
      <c r="O219"/>
      <c r="P219"/>
      <c r="Q219"/>
      <c r="R219"/>
      <c r="S219"/>
      <c r="T219"/>
      <c r="U219"/>
      <c r="X219"/>
      <c r="AB219"/>
      <c r="AC219"/>
      <c r="AF219" s="361">
        <f>IF(S.Hearing.1stInvolve="Y",1,0)</f>
        <v>1</v>
      </c>
      <c r="AG219" s="60">
        <f>S.Hearing.1stDate</f>
        <v>42019</v>
      </c>
      <c r="AH219" s="387" t="s">
        <v>67</v>
      </c>
      <c r="AI219" s="34"/>
      <c r="AJ219" s="43"/>
      <c r="AK219" s="43"/>
      <c r="AL219" s="76"/>
    </row>
    <row r="220" spans="1:38" s="23" customFormat="1" ht="15" hidden="1" customHeight="1" outlineLevel="1" thickBot="1">
      <c r="A220" s="145"/>
      <c r="B220" s="758"/>
      <c r="C220" s="962" t="s">
        <v>206</v>
      </c>
      <c r="D220" s="1024">
        <v>2</v>
      </c>
      <c r="E220" s="1025"/>
      <c r="F220" s="1025"/>
      <c r="G220" s="253">
        <f t="shared" si="9"/>
        <v>0</v>
      </c>
      <c r="H220" s="760" t="str">
        <f t="shared" ref="H220:H226" si="10">AH220</f>
        <v>6 p.m.</v>
      </c>
      <c r="I220" s="745"/>
      <c r="J220"/>
      <c r="K220"/>
      <c r="L220"/>
      <c r="M220"/>
      <c r="N220"/>
      <c r="O220"/>
      <c r="P220"/>
      <c r="Q220"/>
      <c r="R220"/>
      <c r="S220"/>
      <c r="T220"/>
      <c r="U220"/>
      <c r="X220"/>
      <c r="AB220"/>
      <c r="AC220"/>
      <c r="AF220" s="361">
        <f>IF(AND(S.Hearing.2ndInvolve="Y",S.Hearing.1stInvolve="Y"),1,)</f>
        <v>0</v>
      </c>
      <c r="AG220" s="60">
        <f>IF(S.Hearing.2ndInvolve="N",,S.Hearing.1stDate)</f>
        <v>0</v>
      </c>
      <c r="AH220" s="60" t="str">
        <f>H219</f>
        <v>6 p.m.</v>
      </c>
      <c r="AI220" s="59"/>
      <c r="AJ220" s="59"/>
      <c r="AK220" s="66"/>
      <c r="AL220" s="76"/>
    </row>
    <row r="221" spans="1:38" s="23" customFormat="1" ht="15" hidden="1" customHeight="1" outlineLevel="1">
      <c r="A221" s="145"/>
      <c r="B221" s="758" t="str">
        <f t="shared" ref="B221:B226" si="11">"Enter city name"</f>
        <v>Enter city name</v>
      </c>
      <c r="C221" s="962" t="s">
        <v>206</v>
      </c>
      <c r="D221" s="1024">
        <v>3</v>
      </c>
      <c r="E221" s="1025"/>
      <c r="F221" s="1025" t="s">
        <v>0</v>
      </c>
      <c r="G221" s="253">
        <f t="shared" si="9"/>
        <v>0</v>
      </c>
      <c r="H221" s="760" t="str">
        <f t="shared" si="10"/>
        <v>6 p.m.</v>
      </c>
      <c r="I221" s="745"/>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hidden="1" customHeight="1" outlineLevel="1">
      <c r="A222" s="145"/>
      <c r="B222" s="758" t="str">
        <f t="shared" si="11"/>
        <v>Enter city name</v>
      </c>
      <c r="C222" s="963" t="s">
        <v>206</v>
      </c>
      <c r="D222" s="1024">
        <v>4</v>
      </c>
      <c r="E222" s="1025"/>
      <c r="F222" s="1025" t="s">
        <v>0</v>
      </c>
      <c r="G222" s="253">
        <f t="shared" si="9"/>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11"/>
        <v>Enter city name</v>
      </c>
      <c r="C223" s="962" t="s">
        <v>206</v>
      </c>
      <c r="D223" s="1024">
        <v>5</v>
      </c>
      <c r="E223" s="1025"/>
      <c r="F223" s="1025" t="s">
        <v>0</v>
      </c>
      <c r="G223" s="253">
        <f t="shared" si="9"/>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11"/>
        <v>Enter city name</v>
      </c>
      <c r="C224" s="962" t="s">
        <v>206</v>
      </c>
      <c r="D224" s="1024">
        <v>6</v>
      </c>
      <c r="E224" s="1025"/>
      <c r="F224" s="1025" t="s">
        <v>0</v>
      </c>
      <c r="G224" s="253">
        <f t="shared" si="9"/>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11"/>
        <v>Enter city name</v>
      </c>
      <c r="C225" s="962" t="s">
        <v>206</v>
      </c>
      <c r="D225" s="1024">
        <v>7</v>
      </c>
      <c r="E225" s="1025"/>
      <c r="F225" s="1025" t="s">
        <v>0</v>
      </c>
      <c r="G225" s="253">
        <f t="shared" si="9"/>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11"/>
        <v>Enter city name</v>
      </c>
      <c r="C226" s="964" t="s">
        <v>206</v>
      </c>
      <c r="D226" s="1024" t="s">
        <v>0</v>
      </c>
      <c r="E226" s="1025"/>
      <c r="F226" s="1025" t="s">
        <v>0</v>
      </c>
      <c r="G226" s="253">
        <f t="shared" si="9"/>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c r="A227" s="145"/>
      <c r="B227" s="737" t="s">
        <v>569</v>
      </c>
      <c r="C227" s="759"/>
      <c r="D227" s="765"/>
      <c r="E227" s="882"/>
      <c r="F227" s="822" t="s">
        <v>0</v>
      </c>
      <c r="G227" s="764">
        <f t="shared" si="9"/>
        <v>42019</v>
      </c>
      <c r="H227" s="761"/>
      <c r="I227" s="745"/>
      <c r="J227"/>
      <c r="K227"/>
      <c r="L227"/>
      <c r="M227"/>
      <c r="N227"/>
      <c r="O227"/>
      <c r="P227"/>
      <c r="Q227"/>
      <c r="R227"/>
      <c r="S227"/>
      <c r="T227"/>
      <c r="U227"/>
      <c r="X227"/>
      <c r="AB227"/>
      <c r="AC227"/>
      <c r="AF227" s="361">
        <f>IF(S.Hearing.1stInvolve="Y",1,0)</f>
        <v>1</v>
      </c>
      <c r="AG227" s="60">
        <f>IF(AF227=0,,MAX(G219:G226))</f>
        <v>42019</v>
      </c>
      <c r="AH227" s="58"/>
      <c r="AI227" s="58"/>
      <c r="AJ227" s="44"/>
      <c r="AK227" s="62"/>
      <c r="AL227" s="76"/>
    </row>
    <row r="228" spans="1:39" s="23" customFormat="1" ht="6"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customHeight="1" outlineLevel="1">
      <c r="A229" s="145"/>
      <c r="B229" s="221" t="str">
        <f>AK229</f>
        <v>Brian reserves venues/equipment for hearings</v>
      </c>
      <c r="C229" s="545" t="s">
        <v>0</v>
      </c>
      <c r="D229" s="283"/>
      <c r="E229" s="750"/>
      <c r="F229"/>
      <c r="G229" s="256">
        <f>AG229</f>
        <v>41820</v>
      </c>
      <c r="H229" s="256">
        <f>AH229</f>
        <v>41962</v>
      </c>
      <c r="I229" s="745"/>
      <c r="J229"/>
      <c r="K229"/>
      <c r="L229"/>
      <c r="M229"/>
      <c r="N229"/>
      <c r="O229"/>
      <c r="P229"/>
      <c r="Q229"/>
      <c r="R229"/>
      <c r="S229"/>
      <c r="T229"/>
      <c r="U229"/>
      <c r="X229"/>
      <c r="AB229"/>
      <c r="AC229"/>
      <c r="AF229" s="361">
        <f>IF(S.Hearing.1stInvolve="Y",1,0)</f>
        <v>1</v>
      </c>
      <c r="AG229" s="60">
        <f>IF(AF229=0,,S.Notice.BANNER.Begin)</f>
        <v>41820</v>
      </c>
      <c r="AH229" s="60">
        <f>IF(AF239=0,,IF(S.Notice.AD.Involved="N",,WORKDAY(S.Notice.OpenComment,-18,S.DDL_DEQClosed)))</f>
        <v>41962</v>
      </c>
      <c r="AI229" s="47"/>
      <c r="AJ229" s="44"/>
      <c r="AK229" s="182" t="str">
        <f>S.Staff.Support&amp;" reserves venues/equipment for hearings"</f>
        <v>Brian reserves venues/equipment for hearings</v>
      </c>
      <c r="AL229" s="76"/>
    </row>
    <row r="230" spans="1:39" ht="15" customHeight="1" outlineLevel="1">
      <c r="A230" s="145"/>
      <c r="B230" s="221" t="str">
        <f>AK230</f>
        <v>Brian identifies hearings officer(s) on HearingAndAdDates TAB</v>
      </c>
      <c r="C230" s="752" t="s">
        <v>49</v>
      </c>
      <c r="D230" s="283"/>
      <c r="E230" s="750"/>
      <c r="F230"/>
      <c r="G230"/>
      <c r="H230"/>
      <c r="I230" s="745"/>
      <c r="AF230" s="361">
        <f>IF(S.Hearing.1stInvolve="Y",1,0)</f>
        <v>1</v>
      </c>
      <c r="AG230" s="59"/>
      <c r="AH230" s="59"/>
      <c r="AI230" s="59"/>
      <c r="AJ230" s="59"/>
      <c r="AK230" s="182" t="str">
        <f>S.Staff.Subject.Expert.FirstName&amp;" identifies hearings officer(s) on HearingAndAdDates TAB"</f>
        <v>Brian identifies hearings officer(s) on HearingAndAdDates TAB</v>
      </c>
      <c r="AL230" s="76"/>
      <c r="AM230"/>
    </row>
    <row r="231" spans="1:39" s="23" customFormat="1" ht="6" customHeight="1" outlineLevel="1">
      <c r="A231" s="145"/>
      <c r="B231" s="737"/>
      <c r="C231" s="268"/>
      <c r="D231" s="268"/>
      <c r="E231" s="268"/>
      <c r="F231"/>
      <c r="G231"/>
      <c r="H231"/>
      <c r="I231" s="745"/>
      <c r="AF231" s="361"/>
      <c r="AG231" s="59"/>
      <c r="AH231" s="58"/>
      <c r="AI231" s="58"/>
      <c r="AJ231" s="44"/>
      <c r="AK231" s="62"/>
      <c r="AL231" s="76"/>
    </row>
    <row r="232" spans="1:39" s="23" customFormat="1" ht="20.25" customHeight="1" outlineLevel="1">
      <c r="A232" s="145"/>
      <c r="B232" s="523" t="s">
        <v>582</v>
      </c>
      <c r="C232" s="545"/>
      <c r="D232" s="705"/>
      <c r="E232" s="705"/>
      <c r="I232" s="745"/>
      <c r="AF232" s="361">
        <f>IF(AND(S.Notice.Involved="Y",S.Notice.AD.Involved="Y"),1,0)</f>
        <v>1</v>
      </c>
      <c r="AG232" s="59"/>
      <c r="AH232" s="59"/>
      <c r="AI232" s="59"/>
      <c r="AJ232" s="59"/>
      <c r="AK232" s="44"/>
      <c r="AL232" s="76"/>
    </row>
    <row r="233" spans="1:39" ht="15" customHeight="1" outlineLevel="1">
      <c r="A233" s="145"/>
      <c r="B233" s="753" t="str">
        <f>AK233</f>
        <v>Brian:</v>
      </c>
      <c r="C233" s="548"/>
      <c r="D233" s="283"/>
      <c r="E233" s="750"/>
      <c r="F233"/>
      <c r="G233" s="256">
        <f t="shared" ref="G233" si="12">AG233</f>
        <v>41820</v>
      </c>
      <c r="H233" s="256">
        <f t="shared" ref="H233:H251" si="13">AH233</f>
        <v>41962</v>
      </c>
      <c r="I233" s="745"/>
      <c r="AF233" s="361">
        <f>IF(AND(S.Notice.Involved="Y",S.Notice.AD.Involved="Y"),1,0)</f>
        <v>1</v>
      </c>
      <c r="AG233" s="60">
        <f>IF(AF233=0,,IF(S.Notice.AD.Involved="N",,S.Notice.BANNER.Begin))</f>
        <v>41820</v>
      </c>
      <c r="AH233" s="60">
        <f>IF(AF233=0,,IF(S.Notice.AD.Involved="N",,WORKDAY(S.Notice.OpenComment,-18,S.DDL_DEQClosed)))</f>
        <v>41962</v>
      </c>
      <c r="AI233" s="59"/>
      <c r="AJ233" s="59"/>
      <c r="AK233" s="182" t="str">
        <f>S.Staff.Subject.Expert.FirstName&amp;":"</f>
        <v>Brian:</v>
      </c>
      <c r="AL233" s="76"/>
      <c r="AM233"/>
    </row>
    <row r="234" spans="1:39" s="23" customFormat="1" ht="15" customHeight="1" outlineLevel="1">
      <c r="A234" s="145"/>
      <c r="B234" s="220" t="s">
        <v>595</v>
      </c>
      <c r="C234" s="548"/>
      <c r="D234" s="325"/>
      <c r="E234" s="325"/>
      <c r="F234" s="257"/>
      <c r="G234" s="965"/>
      <c r="H234" s="965"/>
      <c r="I234" s="745"/>
      <c r="AF234" s="361">
        <f>IF(AND(S.Notice.Involved="Y",S.Notice.AD.Involved="Y"),1,0)</f>
        <v>1</v>
      </c>
      <c r="AG234" s="59"/>
      <c r="AH234" s="59"/>
      <c r="AI234" s="59"/>
      <c r="AJ234" s="59"/>
      <c r="AK234" s="44"/>
      <c r="AL234" s="76"/>
    </row>
    <row r="235" spans="1:39" s="23" customFormat="1" ht="15" customHeight="1" outlineLevel="1" thickBot="1">
      <c r="A235" s="145"/>
      <c r="C235" s="1043" t="s">
        <v>596</v>
      </c>
      <c r="D235" s="1043"/>
      <c r="E235" s="1043"/>
      <c r="F235" s="1043"/>
      <c r="G235" s="1043"/>
      <c r="H235" s="1043"/>
      <c r="I235" s="745"/>
      <c r="AF235" s="361">
        <f>IF(AND(S.Notice.Involved="Y",S.Notice.AD.Involved="Y"),1,0)</f>
        <v>1</v>
      </c>
      <c r="AG235" s="59"/>
      <c r="AH235" s="59"/>
      <c r="AI235" s="59"/>
      <c r="AJ235" s="59"/>
      <c r="AK235" s="44"/>
      <c r="AL235" s="76"/>
    </row>
    <row r="236" spans="1:39" s="23" customFormat="1" ht="15" customHeight="1" outlineLevel="1" thickTop="1">
      <c r="A236" s="145"/>
      <c r="C236" s="768" t="s">
        <v>583</v>
      </c>
      <c r="D236" s="769" t="s">
        <v>403</v>
      </c>
      <c r="E236" s="769"/>
      <c r="F236" s="769"/>
      <c r="G236" s="769"/>
      <c r="H236" s="770" t="s">
        <v>607</v>
      </c>
      <c r="I236" s="745"/>
      <c r="AF236" s="361">
        <f>IF(AND(S.Notice.Involved="Y",S.Notice.AD.Involved="Y"),1,0)</f>
        <v>1</v>
      </c>
      <c r="AG236" s="59"/>
      <c r="AH236" s="59"/>
      <c r="AI236" s="59"/>
      <c r="AJ236" s="59"/>
      <c r="AK236" s="44"/>
      <c r="AL236" s="76"/>
    </row>
    <row r="237" spans="1:39" s="23" customFormat="1" ht="15" customHeight="1" outlineLevel="1">
      <c r="A237" s="145"/>
      <c r="B237" s="754" t="str">
        <f>AK237</f>
        <v>NOTICE.AD1Oregonian</v>
      </c>
      <c r="C237" s="966">
        <v>1</v>
      </c>
      <c r="D237" s="999" t="s">
        <v>599</v>
      </c>
      <c r="E237" s="1000"/>
      <c r="F237" s="1000"/>
      <c r="G237" s="1001"/>
      <c r="H237" s="766">
        <f t="shared" si="13"/>
        <v>41989</v>
      </c>
      <c r="I237" s="745"/>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41989</v>
      </c>
      <c r="AI237" s="59" t="s">
        <v>0</v>
      </c>
      <c r="AJ237" s="59"/>
      <c r="AK237" s="182" t="str">
        <f>"NOTICE.AD"&amp;C237&amp;D237</f>
        <v>NOTICE.AD1Oregonian</v>
      </c>
      <c r="AL237" s="76"/>
    </row>
    <row r="238" spans="1:39" s="23" customFormat="1" ht="15" customHeight="1" outlineLevel="1">
      <c r="A238" s="145"/>
      <c r="B238" s="754" t="str">
        <f t="shared" ref="B238:B244" si="16">AK238</f>
        <v>NOTICE.AD2Other</v>
      </c>
      <c r="C238" s="966">
        <v>2</v>
      </c>
      <c r="D238" s="999" t="s">
        <v>605</v>
      </c>
      <c r="E238" s="1000"/>
      <c r="F238" s="1000"/>
      <c r="G238" s="1001"/>
      <c r="H238" s="766">
        <f t="shared" si="13"/>
        <v>41989</v>
      </c>
      <c r="I238" s="745"/>
      <c r="J238"/>
      <c r="K238"/>
      <c r="L238"/>
      <c r="M238"/>
      <c r="N238"/>
      <c r="O238"/>
      <c r="P238"/>
      <c r="Q238"/>
      <c r="R238"/>
      <c r="S238"/>
      <c r="T238"/>
      <c r="U238"/>
      <c r="X238"/>
      <c r="AB238"/>
      <c r="AC238"/>
      <c r="AF238" s="361">
        <f t="shared" si="14"/>
        <v>1</v>
      </c>
      <c r="AG238" s="59"/>
      <c r="AH238" s="60">
        <f t="shared" si="15"/>
        <v>41989</v>
      </c>
      <c r="AI238" s="59"/>
      <c r="AJ238" s="59"/>
      <c r="AK238" s="182" t="str">
        <f t="shared" ref="AK238:AK244" si="17">"NOTICE.AD"&amp;C238&amp;D238</f>
        <v>NOTICE.AD2Other</v>
      </c>
      <c r="AL238" s="76"/>
    </row>
    <row r="239" spans="1:39" s="23" customFormat="1" ht="15" hidden="1" customHeight="1" outlineLevel="1">
      <c r="A239" s="145"/>
      <c r="B239" s="754" t="str">
        <f t="shared" si="16"/>
        <v>NOTICE.AD3None</v>
      </c>
      <c r="C239" s="966">
        <v>3</v>
      </c>
      <c r="D239" s="999" t="s">
        <v>606</v>
      </c>
      <c r="E239" s="1000"/>
      <c r="F239" s="1000"/>
      <c r="G239" s="1001"/>
      <c r="H239" s="766">
        <f t="shared" si="13"/>
        <v>41989</v>
      </c>
      <c r="I239" s="745"/>
      <c r="J239"/>
      <c r="K239"/>
      <c r="L239"/>
      <c r="M239"/>
      <c r="N239"/>
      <c r="O239"/>
      <c r="P239"/>
      <c r="Q239"/>
      <c r="R239"/>
      <c r="S239"/>
      <c r="T239"/>
      <c r="U239"/>
      <c r="X239"/>
      <c r="AB239"/>
      <c r="AC239"/>
      <c r="AF239" s="361">
        <f t="shared" si="14"/>
        <v>1</v>
      </c>
      <c r="AG239" s="59"/>
      <c r="AH239" s="60">
        <f t="shared" si="15"/>
        <v>41989</v>
      </c>
      <c r="AI239" s="59"/>
      <c r="AJ239" s="59"/>
      <c r="AK239" s="182" t="str">
        <f t="shared" si="17"/>
        <v>NOTICE.AD3None</v>
      </c>
      <c r="AL239" s="76"/>
    </row>
    <row r="240" spans="1:39" s="23" customFormat="1" ht="15" hidden="1" customHeight="1" outlineLevel="1">
      <c r="A240" s="145"/>
      <c r="B240" s="754" t="str">
        <f t="shared" si="16"/>
        <v>NOTICE.AD4None</v>
      </c>
      <c r="C240" s="966">
        <v>4</v>
      </c>
      <c r="D240" s="999" t="s">
        <v>606</v>
      </c>
      <c r="E240" s="1000"/>
      <c r="F240" s="1000"/>
      <c r="G240" s="1001"/>
      <c r="H240" s="766">
        <f t="shared" si="13"/>
        <v>41989</v>
      </c>
      <c r="I240" s="745"/>
      <c r="J240"/>
      <c r="K240"/>
      <c r="L240"/>
      <c r="M240"/>
      <c r="N240"/>
      <c r="O240"/>
      <c r="P240"/>
      <c r="Q240"/>
      <c r="R240"/>
      <c r="S240"/>
      <c r="T240"/>
      <c r="U240"/>
      <c r="X240"/>
      <c r="AB240"/>
      <c r="AC240"/>
      <c r="AF240" s="361">
        <f t="shared" si="14"/>
        <v>1</v>
      </c>
      <c r="AG240" s="59"/>
      <c r="AH240" s="60">
        <f t="shared" si="15"/>
        <v>41989</v>
      </c>
      <c r="AI240" s="59"/>
      <c r="AJ240" s="59"/>
      <c r="AK240" s="182" t="str">
        <f t="shared" si="17"/>
        <v>NOTICE.AD4None</v>
      </c>
      <c r="AL240" s="76"/>
    </row>
    <row r="241" spans="1:38" s="23" customFormat="1" ht="15" hidden="1" customHeight="1" outlineLevel="1">
      <c r="A241" s="145"/>
      <c r="B241" s="754" t="str">
        <f t="shared" si="16"/>
        <v>NOTICE.AD5None</v>
      </c>
      <c r="C241" s="966">
        <v>5</v>
      </c>
      <c r="D241" s="999" t="s">
        <v>606</v>
      </c>
      <c r="E241" s="1000"/>
      <c r="F241" s="1000"/>
      <c r="G241" s="1001"/>
      <c r="H241" s="766">
        <f t="shared" si="13"/>
        <v>41989</v>
      </c>
      <c r="I241" s="745"/>
      <c r="J241"/>
      <c r="K241"/>
      <c r="L241"/>
      <c r="M241"/>
      <c r="N241"/>
      <c r="O241"/>
      <c r="P241"/>
      <c r="Q241"/>
      <c r="R241"/>
      <c r="S241"/>
      <c r="T241"/>
      <c r="U241"/>
      <c r="X241"/>
      <c r="AB241"/>
      <c r="AC241"/>
      <c r="AF241" s="361">
        <f t="shared" si="14"/>
        <v>1</v>
      </c>
      <c r="AG241" s="59"/>
      <c r="AH241" s="60">
        <f t="shared" si="15"/>
        <v>41989</v>
      </c>
      <c r="AI241" s="59"/>
      <c r="AJ241" s="59"/>
      <c r="AK241" s="182" t="str">
        <f t="shared" si="17"/>
        <v>NOTICE.AD5None</v>
      </c>
      <c r="AL241" s="76"/>
    </row>
    <row r="242" spans="1:38" s="23" customFormat="1" ht="15" hidden="1" customHeight="1" outlineLevel="1">
      <c r="A242" s="145"/>
      <c r="B242" s="754" t="str">
        <f t="shared" si="16"/>
        <v>NOTICE.AD6None</v>
      </c>
      <c r="C242" s="966">
        <v>6</v>
      </c>
      <c r="D242" s="999" t="s">
        <v>606</v>
      </c>
      <c r="E242" s="1000"/>
      <c r="F242" s="1000"/>
      <c r="G242" s="1001"/>
      <c r="H242" s="766">
        <f t="shared" si="13"/>
        <v>41989</v>
      </c>
      <c r="I242" s="745"/>
      <c r="J242"/>
      <c r="K242"/>
      <c r="L242"/>
      <c r="M242"/>
      <c r="N242"/>
      <c r="O242"/>
      <c r="P242"/>
      <c r="Q242"/>
      <c r="R242"/>
      <c r="S242"/>
      <c r="T242"/>
      <c r="U242"/>
      <c r="X242"/>
      <c r="AB242"/>
      <c r="AC242"/>
      <c r="AF242" s="361">
        <f t="shared" si="14"/>
        <v>1</v>
      </c>
      <c r="AG242" s="59"/>
      <c r="AH242" s="60">
        <f t="shared" si="15"/>
        <v>41989</v>
      </c>
      <c r="AI242" s="59"/>
      <c r="AJ242" s="59"/>
      <c r="AK242" s="182" t="str">
        <f t="shared" si="17"/>
        <v>NOTICE.AD6None</v>
      </c>
      <c r="AL242" s="76"/>
    </row>
    <row r="243" spans="1:38" s="23" customFormat="1" ht="15" hidden="1" customHeight="1" outlineLevel="1">
      <c r="A243" s="145"/>
      <c r="B243" s="754" t="str">
        <f t="shared" si="16"/>
        <v>NOTICE.AD7None</v>
      </c>
      <c r="C243" s="966">
        <v>7</v>
      </c>
      <c r="D243" s="999" t="s">
        <v>606</v>
      </c>
      <c r="E243" s="1000"/>
      <c r="F243" s="1000"/>
      <c r="G243" s="1001"/>
      <c r="H243" s="766">
        <f t="shared" si="13"/>
        <v>41989</v>
      </c>
      <c r="I243" s="745"/>
      <c r="J243"/>
      <c r="K243"/>
      <c r="L243"/>
      <c r="M243"/>
      <c r="N243"/>
      <c r="O243"/>
      <c r="P243"/>
      <c r="Q243"/>
      <c r="R243"/>
      <c r="S243"/>
      <c r="T243"/>
      <c r="U243"/>
      <c r="X243"/>
      <c r="AB243"/>
      <c r="AC243"/>
      <c r="AF243" s="361">
        <f t="shared" si="14"/>
        <v>1</v>
      </c>
      <c r="AG243" s="59"/>
      <c r="AH243" s="60">
        <f t="shared" si="15"/>
        <v>41989</v>
      </c>
      <c r="AI243" s="59"/>
      <c r="AJ243" s="59"/>
      <c r="AK243" s="182" t="str">
        <f t="shared" si="17"/>
        <v>NOTICE.AD7None</v>
      </c>
      <c r="AL243" s="76"/>
    </row>
    <row r="244" spans="1:38" s="23" customFormat="1" ht="15" hidden="1" customHeight="1" outlineLevel="1" thickBot="1">
      <c r="A244" s="145"/>
      <c r="B244" s="754" t="str">
        <f t="shared" si="16"/>
        <v>NOTICE.AD8None</v>
      </c>
      <c r="C244" s="967">
        <v>8</v>
      </c>
      <c r="D244" s="1026" t="s">
        <v>606</v>
      </c>
      <c r="E244" s="1026"/>
      <c r="F244" s="1026"/>
      <c r="G244" s="1027"/>
      <c r="H244" s="767">
        <f t="shared" si="13"/>
        <v>41989</v>
      </c>
      <c r="I244" s="745"/>
      <c r="J244"/>
      <c r="K244"/>
      <c r="L244"/>
      <c r="M244"/>
      <c r="N244"/>
      <c r="O244"/>
      <c r="P244"/>
      <c r="Q244"/>
      <c r="R244"/>
      <c r="S244"/>
      <c r="T244"/>
      <c r="U244"/>
      <c r="X244"/>
      <c r="AB244"/>
      <c r="AC244"/>
      <c r="AF244" s="361">
        <f t="shared" si="14"/>
        <v>1</v>
      </c>
      <c r="AG244" s="59"/>
      <c r="AH244" s="60">
        <f t="shared" si="15"/>
        <v>41989</v>
      </c>
      <c r="AI244" s="59"/>
      <c r="AJ244" s="59"/>
      <c r="AK244" s="182" t="str">
        <f t="shared" si="17"/>
        <v>NOTICE.AD8None</v>
      </c>
      <c r="AL244" s="76"/>
    </row>
    <row r="245" spans="1:38" s="23" customFormat="1" ht="9.75" customHeight="1" outlineLevel="1">
      <c r="A245" s="145"/>
      <c r="B245" s="207"/>
      <c r="C245" s="757"/>
      <c r="D245" s="968"/>
      <c r="E245" s="968"/>
      <c r="F245" s="968"/>
      <c r="G245" s="968"/>
      <c r="H245" s="965"/>
      <c r="I245" s="745"/>
      <c r="AF245" s="361"/>
      <c r="AG245" s="59"/>
      <c r="AH245" s="60"/>
      <c r="AI245" s="59"/>
      <c r="AJ245" s="59"/>
      <c r="AK245" s="44"/>
      <c r="AL245" s="76"/>
    </row>
    <row r="246" spans="1:38" s="23" customFormat="1" ht="15" customHeight="1" outlineLevel="1">
      <c r="A246" s="145" t="s">
        <v>0</v>
      </c>
      <c r="B246" s="221" t="s">
        <v>587</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c r="A247" s="145" t="s">
        <v>0</v>
      </c>
      <c r="B247" s="221" t="s">
        <v>588</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c r="A248" s="145" t="s">
        <v>0</v>
      </c>
      <c r="B248" s="221" t="s">
        <v>589</v>
      </c>
      <c r="C248" s="542"/>
      <c r="D248" s="283"/>
      <c r="E248" s="750"/>
      <c r="F248"/>
      <c r="G248" s="40"/>
      <c r="H248"/>
      <c r="I248" s="745"/>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c r="A249" s="145"/>
      <c r="B249" s="221" t="s">
        <v>590</v>
      </c>
      <c r="C249" s="1011" t="s">
        <v>615</v>
      </c>
      <c r="D249" s="1011"/>
      <c r="E249" s="1011"/>
      <c r="F249" s="1011"/>
      <c r="G249" s="1012"/>
      <c r="H249" s="256">
        <f>AH249</f>
        <v>41975</v>
      </c>
      <c r="I249" s="745"/>
      <c r="J249"/>
      <c r="K249"/>
      <c r="L249"/>
      <c r="M249"/>
      <c r="N249"/>
      <c r="O249"/>
      <c r="P249"/>
      <c r="Q249"/>
      <c r="R249"/>
      <c r="S249"/>
      <c r="T249"/>
      <c r="U249"/>
      <c r="X249"/>
      <c r="AB249"/>
      <c r="AC249"/>
      <c r="AF249" s="361">
        <f t="shared" si="18"/>
        <v>1</v>
      </c>
      <c r="AG249" s="48"/>
      <c r="AH249" s="60">
        <f>IF(AF249=0,,IF(S.Notice.AD.Involved="N",,WORKDAY(S.Notice.OpenComment,-10,S.DDL_DEQClosed)))</f>
        <v>41975</v>
      </c>
      <c r="AI249" s="59"/>
      <c r="AJ249" s="59"/>
      <c r="AK249" s="74"/>
      <c r="AL249" s="76"/>
    </row>
    <row r="250" spans="1:38" s="23" customFormat="1" ht="15" customHeight="1" outlineLevel="1">
      <c r="A250" s="145" t="s">
        <v>0</v>
      </c>
      <c r="B250" s="753" t="str">
        <f>AK250</f>
        <v>* shares contents of HearingAndAdDates TAB with DavidC</v>
      </c>
      <c r="C250" s="513" t="s">
        <v>49</v>
      </c>
      <c r="D250" s="357"/>
      <c r="E250" s="750"/>
      <c r="F250"/>
      <c r="G250" s="256">
        <f t="shared" ref="G250" si="19">AG250</f>
        <v>41820</v>
      </c>
      <c r="H250" s="256">
        <f t="shared" si="13"/>
        <v>41968</v>
      </c>
      <c r="I250" s="745"/>
      <c r="J250"/>
      <c r="K250"/>
      <c r="L250"/>
      <c r="M250"/>
      <c r="N250"/>
      <c r="O250"/>
      <c r="P250"/>
      <c r="Q250"/>
      <c r="R250"/>
      <c r="S250"/>
      <c r="T250"/>
      <c r="U250"/>
      <c r="X250"/>
      <c r="AB250"/>
      <c r="AC250"/>
      <c r="AF250" s="361">
        <f t="shared" si="18"/>
        <v>1</v>
      </c>
      <c r="AG250" s="60">
        <f>IF(AF250=0,,IF(S.Notice.AD.Involved="N",,S.Notice.BANNER.Begin))</f>
        <v>41820</v>
      </c>
      <c r="AH250" s="60">
        <f>IF(AF250=0,,IF(S.Notice.AD.Involved="N",,WORKDAY(MIN(S.Notice.OpenComment,S.Notice.SubmitToSOS),-13,S.DDL_DEQClosed)))</f>
        <v>41968</v>
      </c>
      <c r="AI250" s="59"/>
      <c r="AJ250" s="59"/>
      <c r="AK250" s="182" t="str">
        <f>"* shares contents of HearingAndAdDates TAB with "&amp;S.Staff.Program.Mgr.FirstName</f>
        <v>* shares contents of HearingAndAdDates TAB with DavidC</v>
      </c>
      <c r="AL250" s="76"/>
    </row>
    <row r="251" spans="1:38" s="23" customFormat="1" ht="15" customHeight="1" outlineLevel="1">
      <c r="A251" s="145" t="s">
        <v>0</v>
      </c>
      <c r="B251" s="753" t="str">
        <f>AK251</f>
        <v>* obtains DavidC's email approval</v>
      </c>
      <c r="C251" s="282"/>
      <c r="D251" s="283"/>
      <c r="E251" s="750"/>
      <c r="F251"/>
      <c r="G251" s="256">
        <f t="shared" ref="G251" si="20">AG251</f>
        <v>41820</v>
      </c>
      <c r="H251" s="256">
        <f t="shared" si="13"/>
        <v>41968</v>
      </c>
      <c r="I251" s="745"/>
      <c r="J251"/>
      <c r="K251"/>
      <c r="L251"/>
      <c r="M251"/>
      <c r="N251"/>
      <c r="O251"/>
      <c r="P251"/>
      <c r="Q251"/>
      <c r="R251"/>
      <c r="S251"/>
      <c r="T251"/>
      <c r="U251"/>
      <c r="X251"/>
      <c r="AB251"/>
      <c r="AC251"/>
      <c r="AF251" s="361">
        <f t="shared" si="18"/>
        <v>1</v>
      </c>
      <c r="AG251" s="60">
        <f>IF(AF251=0,,IF(S.Notice.AD.Involved="N",,S.Notice.BANNER.Begin))</f>
        <v>41820</v>
      </c>
      <c r="AH251" s="60">
        <f>IF(AF251=0,,IF(S.Notice.AD.Involved="N",,WORKDAY(MIN(S.Notice.OpenComment,S.Notice.SubmitToSOS),-13,S.DDL_DEQClosed)))</f>
        <v>41968</v>
      </c>
      <c r="AI251" s="59"/>
      <c r="AJ251" s="59"/>
      <c r="AK251" s="182" t="str">
        <f>"* obtains "&amp;S.Staff.Program.Mgr.FirstName&amp;"'s email approval"</f>
        <v>* obtains DavidC's email approval</v>
      </c>
      <c r="AL251" s="76"/>
    </row>
    <row r="252" spans="1:38" s="23" customFormat="1" ht="6" customHeight="1" outlineLevel="1">
      <c r="A252" s="145"/>
      <c r="B252" s="329"/>
      <c r="C252" s="329"/>
      <c r="D252" s="693"/>
      <c r="E252" s="693"/>
      <c r="F252" s="795"/>
      <c r="G252" s="286"/>
      <c r="H252" s="331"/>
      <c r="I252" s="39"/>
      <c r="AF252" s="361">
        <v>0</v>
      </c>
      <c r="AG252" s="76"/>
      <c r="AH252" s="76"/>
      <c r="AI252" s="108" t="s">
        <v>230</v>
      </c>
      <c r="AJ252" s="344"/>
      <c r="AK252" s="77"/>
      <c r="AL252" s="76"/>
    </row>
    <row r="253" spans="1:38" s="23" customFormat="1" ht="19.5" hidden="1" customHeight="1" outlineLevel="1">
      <c r="A253" s="145"/>
      <c r="B253" s="523" t="s">
        <v>585</v>
      </c>
      <c r="D253" s="705"/>
      <c r="E253" s="705"/>
      <c r="F253"/>
      <c r="I253" s="745"/>
      <c r="AF253" s="361">
        <f>IF(AND(S.Hearing.1stInvolve="Y",S.EQC.FacHearing="Y"),1,0)</f>
        <v>0</v>
      </c>
      <c r="AG253" s="59"/>
      <c r="AH253" s="59"/>
      <c r="AI253" s="59"/>
      <c r="AJ253" s="62"/>
      <c r="AK253" s="346"/>
      <c r="AL253" s="76"/>
    </row>
    <row r="254" spans="1:38" s="23" customFormat="1" ht="15" hidden="1" customHeight="1" outlineLevel="1">
      <c r="A254" s="145"/>
      <c r="B254" s="221" t="str">
        <f t="shared" ref="B254" si="21">AK254</f>
        <v>Brian:</v>
      </c>
      <c r="C254" s="545" t="s">
        <v>0</v>
      </c>
      <c r="D254" s="283"/>
      <c r="E254" s="750"/>
      <c r="F254"/>
      <c r="G254" s="192"/>
      <c r="H254" s="193"/>
      <c r="I254" s="745"/>
      <c r="AF254" s="361">
        <f>IF(AND(S.Hearing.1stInvolve="Y",S.EQC.FacHearing="Y"),1,0)</f>
        <v>0</v>
      </c>
      <c r="AG254" s="58"/>
      <c r="AH254" s="58"/>
      <c r="AI254" s="47"/>
      <c r="AJ254" s="44"/>
      <c r="AK254" s="182" t="str">
        <f>S.Staff.Subject.Expert.FirstName&amp;":"</f>
        <v>Brian:</v>
      </c>
      <c r="AL254" s="76"/>
    </row>
    <row r="255" spans="1:38" s="23" customFormat="1" ht="15.75" hidden="1" customHeight="1" outlineLevel="1">
      <c r="A255" s="145"/>
      <c r="B255" s="319" t="s">
        <v>570</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577</v>
      </c>
      <c r="C256" s="196"/>
      <c r="D256" s="706"/>
      <c r="E256" s="706"/>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349</v>
      </c>
      <c r="C257" s="481" t="s">
        <v>206</v>
      </c>
      <c r="D257" s="283"/>
      <c r="E257" s="883"/>
      <c r="F257" s="1044" t="str">
        <f>AK259</f>
        <v/>
      </c>
      <c r="G257" s="1045"/>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296</v>
      </c>
      <c r="C258" s="481" t="s">
        <v>206</v>
      </c>
      <c r="D258" s="283"/>
      <c r="E258" s="750"/>
      <c r="F258" s="1044"/>
      <c r="G258" s="1045"/>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297</v>
      </c>
      <c r="C259" s="481" t="s">
        <v>206</v>
      </c>
      <c r="D259" s="283"/>
      <c r="E259" s="750"/>
      <c r="F259" s="1044"/>
      <c r="G259" s="1045"/>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298</v>
      </c>
      <c r="C260" s="481" t="s">
        <v>206</v>
      </c>
      <c r="D260" s="283"/>
      <c r="E260" s="750"/>
      <c r="F260" s="1044"/>
      <c r="G260" s="1045"/>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299</v>
      </c>
      <c r="C261" s="481" t="s">
        <v>206</v>
      </c>
      <c r="D261" s="283"/>
      <c r="E261" s="750"/>
      <c r="F261" s="1044"/>
      <c r="G261" s="1045"/>
      <c r="H261" s="256">
        <v>41934</v>
      </c>
      <c r="I261" s="745"/>
      <c r="AF261" s="361">
        <f>IF(AND(S.Hearing.1stInvolve="Y",S.EQC.FacHearing="Y",C261="Y"),1,0)</f>
        <v>0</v>
      </c>
      <c r="AG261" s="58"/>
      <c r="AH261" s="47"/>
      <c r="AI261" s="59"/>
      <c r="AJ261" s="44"/>
      <c r="AK261" s="44"/>
      <c r="AL261" s="76"/>
    </row>
    <row r="262" spans="1:38" s="23" customFormat="1" ht="6" customHeight="1" outlineLevel="1">
      <c r="A262" s="145"/>
      <c r="B262" s="329"/>
      <c r="C262" s="329"/>
      <c r="D262" s="693"/>
      <c r="E262" s="693"/>
      <c r="F262" s="795"/>
      <c r="G262" s="286"/>
      <c r="H262" s="331"/>
      <c r="I262" s="39"/>
      <c r="AF262" s="361">
        <v>0</v>
      </c>
      <c r="AG262" s="76"/>
      <c r="AH262" s="76"/>
      <c r="AI262" s="108" t="s">
        <v>230</v>
      </c>
      <c r="AJ262" s="344"/>
      <c r="AK262" s="77"/>
      <c r="AL262" s="76"/>
    </row>
    <row r="263" spans="1:38" s="23" customFormat="1" ht="19.5" customHeight="1" outlineLevel="1">
      <c r="A263" s="145"/>
      <c r="B263" s="523" t="s">
        <v>550</v>
      </c>
      <c r="C263"/>
      <c r="D263" s="705"/>
      <c r="E263" s="705"/>
      <c r="F263"/>
      <c r="G263"/>
      <c r="H263"/>
      <c r="I263" s="745"/>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c r="A264" s="145"/>
      <c r="B264" s="343" t="str">
        <f>AK264</f>
        <v>Brian coordinates with Team to:</v>
      </c>
      <c r="C264" s="196"/>
      <c r="D264" s="188"/>
      <c r="E264" s="879"/>
      <c r="F264"/>
      <c r="G264" s="190">
        <f>AG264</f>
        <v>41820</v>
      </c>
      <c r="H264" s="256">
        <f>AH264</f>
        <v>41820</v>
      </c>
      <c r="I264" s="745"/>
      <c r="J264"/>
      <c r="K264"/>
      <c r="L264"/>
      <c r="M264"/>
      <c r="N264"/>
      <c r="O264"/>
      <c r="P264"/>
      <c r="Q264"/>
      <c r="R264"/>
      <c r="S264"/>
      <c r="T264"/>
      <c r="U264"/>
      <c r="X264"/>
      <c r="AB264"/>
      <c r="AC264"/>
      <c r="AF264" s="361">
        <f t="shared" si="22"/>
        <v>1</v>
      </c>
      <c r="AG264" s="60">
        <f>S.Planning.AddConceptToPlanDate</f>
        <v>41820</v>
      </c>
      <c r="AH264" s="60">
        <f>G264</f>
        <v>41820</v>
      </c>
      <c r="AI264" s="59"/>
      <c r="AJ264" s="43"/>
      <c r="AK264" s="78" t="str">
        <f>S.Staff.Subject.Expert.FirstName&amp;" coordinates with Team to:"</f>
        <v>Brian coordinates with Team to:</v>
      </c>
      <c r="AL264" s="76"/>
    </row>
    <row r="265" spans="1:38" s="23" customFormat="1" ht="15.75" customHeight="1" outlineLevel="1">
      <c r="A265" s="145"/>
      <c r="B265" s="269" t="s">
        <v>559</v>
      </c>
      <c r="C265" s="196"/>
      <c r="D265" s="188"/>
      <c r="E265" s="879"/>
      <c r="I265" s="745"/>
      <c r="AF265" s="361">
        <f t="shared" si="22"/>
        <v>1</v>
      </c>
      <c r="AG265" s="59"/>
      <c r="AH265" s="59"/>
      <c r="AI265" s="59"/>
      <c r="AJ265" s="43"/>
      <c r="AK265" s="58" t="s">
        <v>0</v>
      </c>
      <c r="AL265" s="76"/>
    </row>
    <row r="266" spans="1:38" s="23" customFormat="1" ht="15.75" customHeight="1" outlineLevel="1">
      <c r="A266" s="145"/>
      <c r="B266" s="269" t="s">
        <v>553</v>
      </c>
      <c r="C266" s="196"/>
      <c r="D266" s="188"/>
      <c r="E266" s="879"/>
      <c r="I266" s="745"/>
      <c r="AF266" s="361">
        <f t="shared" si="22"/>
        <v>1</v>
      </c>
      <c r="AG266" s="59"/>
      <c r="AH266" s="59"/>
      <c r="AI266" s="59"/>
      <c r="AJ266" s="43"/>
      <c r="AK266" s="58" t="s">
        <v>0</v>
      </c>
      <c r="AL266" s="76"/>
    </row>
    <row r="267" spans="1:38" s="23" customFormat="1" ht="15.75" customHeight="1" outlineLevel="1">
      <c r="A267" s="145"/>
      <c r="B267" s="269" t="s">
        <v>558</v>
      </c>
      <c r="C267" s="196"/>
      <c r="D267" s="188"/>
      <c r="E267" s="879"/>
      <c r="I267" s="745"/>
      <c r="AF267" s="361">
        <f t="shared" si="22"/>
        <v>1</v>
      </c>
      <c r="AG267" s="59"/>
      <c r="AH267" s="59"/>
      <c r="AI267" s="59"/>
      <c r="AJ267" s="43"/>
      <c r="AK267" s="58" t="s">
        <v>0</v>
      </c>
      <c r="AL267" s="76"/>
    </row>
    <row r="268" spans="1:38" s="23" customFormat="1" ht="15.75" customHeight="1" outlineLevel="1">
      <c r="A268" s="145"/>
      <c r="B268" s="269" t="s">
        <v>261</v>
      </c>
      <c r="C268" s="510" t="str">
        <f>HYPERLINK("http://arcweb.sos.state.or.us/pages/rules/oars_300/oar_340/340_018.html","i")</f>
        <v>i</v>
      </c>
      <c r="D268" s="355"/>
      <c r="E268" s="884"/>
      <c r="I268" s="745"/>
      <c r="AF268" s="361">
        <f t="shared" si="22"/>
        <v>1</v>
      </c>
      <c r="AG268" s="59"/>
      <c r="AH268" s="59"/>
      <c r="AI268" s="59"/>
      <c r="AJ268" s="43"/>
      <c r="AK268" s="58" t="s">
        <v>0</v>
      </c>
      <c r="AL268" s="76"/>
    </row>
    <row r="269" spans="1:38" s="23" customFormat="1" ht="15.75" customHeight="1" outlineLevel="1">
      <c r="A269" s="145"/>
      <c r="B269" s="269" t="s">
        <v>552</v>
      </c>
      <c r="C269" s="510" t="str">
        <f>HYPERLINK("http://arcweb.sos.state.or.us/pages/rules/oars_300/oar_340/340_018.html","i")</f>
        <v>i</v>
      </c>
      <c r="D269" s="355"/>
      <c r="E269" s="884"/>
      <c r="I269" s="745"/>
      <c r="AF269" s="361">
        <f t="shared" si="22"/>
        <v>1</v>
      </c>
      <c r="AG269" s="59"/>
      <c r="AH269" s="59"/>
      <c r="AI269" s="59"/>
      <c r="AJ269" s="43"/>
      <c r="AK269" s="58" t="s">
        <v>0</v>
      </c>
      <c r="AL269" s="76"/>
    </row>
    <row r="270" spans="1:38" s="23" customFormat="1" ht="15.75" customHeight="1" outlineLevel="1">
      <c r="A270" s="145"/>
      <c r="B270" s="343" t="str">
        <f>AK270</f>
        <v>Brian:</v>
      </c>
      <c r="D270" s="706"/>
      <c r="E270" s="879"/>
      <c r="F270" s="191"/>
      <c r="I270" s="745"/>
      <c r="AF270" s="361">
        <f t="shared" si="22"/>
        <v>1</v>
      </c>
      <c r="AG270" s="59"/>
      <c r="AH270" s="59"/>
      <c r="AI270" s="59"/>
      <c r="AJ270" s="43"/>
      <c r="AK270" s="78" t="str">
        <f>S.Staff.Subject.Expert.FirstName&amp;":"</f>
        <v>Brian:</v>
      </c>
      <c r="AL270" s="76"/>
    </row>
    <row r="271" spans="1:38" s="23" customFormat="1" ht="15.75" customHeight="1" outlineLevel="1">
      <c r="A271" s="145"/>
      <c r="B271" s="318" t="s">
        <v>185</v>
      </c>
      <c r="C271" s="510" t="str">
        <f>HYPERLINK("http://arcweb.sos.state.or.us/pages/rules/oars_300/oar_340/340_tofc.html","i")</f>
        <v>i</v>
      </c>
      <c r="D271" s="188"/>
      <c r="E271" s="879"/>
      <c r="F271" s="191"/>
      <c r="H271" s="190">
        <f>AH271</f>
        <v>41820</v>
      </c>
      <c r="I271" s="745"/>
      <c r="AF271" s="361">
        <f t="shared" si="22"/>
        <v>1</v>
      </c>
      <c r="AG271" s="59"/>
      <c r="AH271" s="60">
        <f>S.Planning.AddConceptToPlanDate</f>
        <v>41820</v>
      </c>
      <c r="AI271" s="59"/>
      <c r="AJ271" s="43"/>
      <c r="AK271" s="346"/>
      <c r="AL271" s="76"/>
    </row>
    <row r="272" spans="1:38" s="23" customFormat="1" ht="15.75" customHeight="1" outlineLevel="1">
      <c r="A272" s="145"/>
      <c r="B272" s="318" t="s">
        <v>655</v>
      </c>
      <c r="C272" s="196"/>
      <c r="D272" s="706"/>
      <c r="E272" s="706"/>
      <c r="F272" s="191"/>
      <c r="H272" s="193"/>
      <c r="I272" s="745"/>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c r="A273" s="145"/>
      <c r="B273" s="359" t="s">
        <v>561</v>
      </c>
      <c r="C273" s="184" t="s">
        <v>0</v>
      </c>
      <c r="D273" s="706"/>
      <c r="E273" s="706"/>
      <c r="F273"/>
      <c r="G273"/>
      <c r="H273"/>
      <c r="I273" s="745"/>
      <c r="AF273" s="361">
        <f t="shared" si="22"/>
        <v>1</v>
      </c>
      <c r="AG273" s="58"/>
      <c r="AH273" s="58"/>
      <c r="AI273" s="59"/>
      <c r="AJ273" s="49"/>
      <c r="AK273" s="346"/>
      <c r="AL273" s="76"/>
      <c r="AM273"/>
    </row>
    <row r="274" spans="1:39" s="23" customFormat="1" ht="15.75" customHeight="1" outlineLevel="1">
      <c r="A274" s="145"/>
      <c r="B274" s="736" t="str">
        <f>AK274</f>
        <v xml:space="preserve">only Brian works on rules at this location to ensure the </v>
      </c>
      <c r="C274" s="196"/>
      <c r="D274" s="706"/>
      <c r="E274" s="706"/>
      <c r="F274" s="191"/>
      <c r="G274" s="192"/>
      <c r="H274" s="193"/>
      <c r="I274" s="745"/>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 works on rules at this location to ensure the </v>
      </c>
      <c r="AL274" s="76"/>
    </row>
    <row r="275" spans="1:39" s="23" customFormat="1" ht="15.75" customHeight="1" outlineLevel="1">
      <c r="A275" s="145"/>
      <c r="B275" s="318" t="s">
        <v>560</v>
      </c>
      <c r="C275" s="196"/>
      <c r="D275" s="706"/>
      <c r="E275" s="706"/>
      <c r="F275" s="191"/>
      <c r="G275" s="192"/>
      <c r="H275" s="193"/>
      <c r="I275" s="745"/>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c r="A276" s="145"/>
      <c r="B276" s="475" t="s">
        <v>773</v>
      </c>
      <c r="C276" s="196"/>
      <c r="D276" s="706"/>
      <c r="E276" s="706"/>
      <c r="F276" s="191"/>
      <c r="G276" s="192"/>
      <c r="H276" s="193"/>
      <c r="I276" s="745"/>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c r="A277" s="145"/>
      <c r="B277" s="984" t="s">
        <v>562</v>
      </c>
      <c r="C277" s="184" t="s">
        <v>0</v>
      </c>
      <c r="D277" s="187"/>
      <c r="E277" s="884"/>
      <c r="F277" s="191"/>
      <c r="G277" s="192"/>
      <c r="H277" s="193"/>
      <c r="I277" s="745"/>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c r="A278" s="145"/>
      <c r="B278" s="985" t="s">
        <v>563</v>
      </c>
      <c r="C278" s="196"/>
      <c r="D278" s="706"/>
      <c r="E278" s="706"/>
      <c r="F278" s="191"/>
      <c r="G278" s="192"/>
      <c r="H278" s="193"/>
      <c r="I278" s="745"/>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c r="A279" s="145"/>
      <c r="B279" s="269" t="str">
        <f>AK279</f>
        <v>* requests Maggie provide numbers for new rules/divisions</v>
      </c>
      <c r="C279" s="184" t="s">
        <v>0</v>
      </c>
      <c r="D279" s="187"/>
      <c r="E279" s="884"/>
      <c r="F279" s="191"/>
      <c r="G279"/>
      <c r="H279" s="190">
        <f>AH279</f>
        <v>41820</v>
      </c>
      <c r="I279" s="745"/>
      <c r="J279"/>
      <c r="K279"/>
      <c r="L279"/>
      <c r="M279"/>
      <c r="N279"/>
      <c r="O279"/>
      <c r="P279"/>
      <c r="Q279"/>
      <c r="R279"/>
      <c r="S279"/>
      <c r="T279"/>
      <c r="U279"/>
      <c r="X279"/>
      <c r="AB279"/>
      <c r="AC279"/>
      <c r="AF279" s="361">
        <f t="shared" si="22"/>
        <v>1</v>
      </c>
      <c r="AG279" s="58"/>
      <c r="AH279" s="60">
        <f>S.Planning.AddConceptToPlanDate</f>
        <v>41820</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6"/>
      <c r="E280" s="884"/>
      <c r="F280" s="191"/>
      <c r="I280" s="745"/>
      <c r="AF280" s="361">
        <f t="shared" si="22"/>
        <v>1</v>
      </c>
      <c r="AG280" s="58"/>
      <c r="AH280" s="58"/>
      <c r="AI280" s="59"/>
      <c r="AJ280" s="49"/>
      <c r="AK280" s="78" t="str">
        <f>S.Staff.AgencyRulesCoordinator&amp;":"</f>
        <v>Maggie:</v>
      </c>
      <c r="AL280" s="76"/>
    </row>
    <row r="281" spans="1:39" s="23" customFormat="1" ht="15.75" customHeight="1" outlineLevel="1">
      <c r="A281" s="145"/>
      <c r="B281" s="269" t="s">
        <v>565</v>
      </c>
      <c r="C281" s="184" t="s">
        <v>0</v>
      </c>
      <c r="D281" s="187"/>
      <c r="E281" s="884"/>
      <c r="F281" s="191"/>
      <c r="G281"/>
      <c r="H281" s="190">
        <f>AH281</f>
        <v>41820</v>
      </c>
      <c r="I281" s="745"/>
      <c r="J281"/>
      <c r="K281"/>
      <c r="L281"/>
      <c r="M281"/>
      <c r="N281"/>
      <c r="O281"/>
      <c r="P281"/>
      <c r="Q281"/>
      <c r="R281"/>
      <c r="S281"/>
      <c r="T281"/>
      <c r="U281"/>
      <c r="X281"/>
      <c r="AB281"/>
      <c r="AC281"/>
      <c r="AF281" s="361">
        <f t="shared" si="22"/>
        <v>1</v>
      </c>
      <c r="AG281" s="58"/>
      <c r="AH281" s="60">
        <f>S.Planning.AddConceptToPlanDate</f>
        <v>41820</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564</v>
      </c>
      <c r="C282" s="184" t="s">
        <v>0</v>
      </c>
      <c r="D282" s="187"/>
      <c r="E282" s="884"/>
      <c r="F282"/>
      <c r="H282" s="190">
        <f>AH282</f>
        <v>41820</v>
      </c>
      <c r="I282" s="745"/>
      <c r="J282"/>
      <c r="K282"/>
      <c r="L282"/>
      <c r="M282"/>
      <c r="N282"/>
      <c r="O282"/>
      <c r="P282"/>
      <c r="Q282"/>
      <c r="R282"/>
      <c r="S282"/>
      <c r="T282"/>
      <c r="U282"/>
      <c r="X282"/>
      <c r="AB282"/>
      <c r="AC282"/>
      <c r="AF282" s="361">
        <f t="shared" si="22"/>
        <v>1</v>
      </c>
      <c r="AG282" s="58"/>
      <c r="AH282" s="60">
        <f>S.Planning.AddConceptToPlanDate</f>
        <v>41820</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c r="A283" s="145"/>
      <c r="B283" s="269" t="str">
        <f>AK283</f>
        <v>* coordinates with AndreaG to identify SIP rules</v>
      </c>
      <c r="C283" s="185"/>
      <c r="D283" s="187"/>
      <c r="E283" s="884"/>
      <c r="F283"/>
      <c r="H283" s="190">
        <f>AH283</f>
        <v>0</v>
      </c>
      <c r="I283" s="745"/>
      <c r="J283"/>
      <c r="K283"/>
      <c r="L283"/>
      <c r="M283"/>
      <c r="N283"/>
      <c r="O283"/>
      <c r="P283"/>
      <c r="Q283"/>
      <c r="R283"/>
      <c r="S283"/>
      <c r="T283"/>
      <c r="U283"/>
      <c r="X283"/>
      <c r="AB283"/>
      <c r="AC283"/>
      <c r="AF283" s="361">
        <f>IF(AND(S.Planning.DecisionToAddToPlan="A",S.SIP.Involved="Y"),1,0)</f>
        <v>1</v>
      </c>
      <c r="AG283" s="60">
        <f>IF(S.SIP.Involved="Y",S.DIRECTOR.Approves.ForDEQRulemakingPlan,)</f>
        <v>41820</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566</v>
      </c>
      <c r="C284" s="509" t="str">
        <f>HYPERLINK("\\deqhq1\Rule_Development\Currrent Plan","i")</f>
        <v>i</v>
      </c>
      <c r="D284" s="187"/>
      <c r="E284" s="884"/>
      <c r="F284"/>
      <c r="H284" s="190">
        <f>AH284</f>
        <v>41820</v>
      </c>
      <c r="I284" s="745"/>
      <c r="J284"/>
      <c r="K284"/>
      <c r="L284"/>
      <c r="M284"/>
      <c r="N284"/>
      <c r="O284"/>
      <c r="P284"/>
      <c r="Q284"/>
      <c r="R284"/>
      <c r="S284"/>
      <c r="T284"/>
      <c r="U284"/>
      <c r="X284"/>
      <c r="AB284"/>
      <c r="AC284"/>
      <c r="AF284" s="361">
        <f>IF(S.Planning.DecisionToAddToPlan="A",1,0)</f>
        <v>1</v>
      </c>
      <c r="AG284" s="58"/>
      <c r="AH284" s="60">
        <f>S.Planning.AddConceptToPlanDate</f>
        <v>41820</v>
      </c>
      <c r="AI284" s="59"/>
      <c r="AJ284" s="59"/>
      <c r="AK284" s="78" t="str">
        <f>S.Staff.Subject.Expert.FirstName&amp;" gathers all planning emails for the Rule Record and saves as:"</f>
        <v>Brian gathers all planning emails for the Rule Record and saves as:</v>
      </c>
      <c r="AL284" s="76"/>
    </row>
    <row r="285" spans="1:39" s="23" customFormat="1" ht="15.75" customHeight="1" outlineLevel="1">
      <c r="A285" s="145"/>
      <c r="B285" s="342" t="s">
        <v>135</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5"/>
      <c r="AF286" s="361" t="s">
        <v>0</v>
      </c>
      <c r="AG286" s="58"/>
      <c r="AH286" s="58"/>
      <c r="AI286" s="59"/>
      <c r="AJ286" s="43"/>
      <c r="AK286" s="346"/>
      <c r="AL286" s="76"/>
      <c r="AM286"/>
    </row>
    <row r="287" spans="1:39" s="23" customFormat="1" ht="20.25" customHeight="1">
      <c r="A287" s="145"/>
      <c r="B287" s="1005" t="str">
        <f>AK12</f>
        <v>Advisory Committee - not involved</v>
      </c>
      <c r="C287" s="1005"/>
      <c r="D287" s="1005"/>
      <c r="E287" s="1005"/>
      <c r="F287" s="1005"/>
      <c r="G287" s="1005"/>
      <c r="H287" s="1005"/>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GPLMP</v>
      </c>
      <c r="C288" s="374" t="s">
        <v>0</v>
      </c>
      <c r="D288" s="374"/>
      <c r="E288" s="374"/>
      <c r="F288" s="382" t="s">
        <v>0</v>
      </c>
      <c r="G288" s="375" t="s">
        <v>57</v>
      </c>
      <c r="H288" s="375" t="s">
        <v>172</v>
      </c>
      <c r="I288" s="745"/>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hidden="1" customHeight="1" outlineLevel="1">
      <c r="A289" s="145"/>
      <c r="B289" s="384" t="s">
        <v>0</v>
      </c>
      <c r="C289" s="116" t="s">
        <v>0</v>
      </c>
      <c r="D289" s="707"/>
      <c r="E289" s="707"/>
      <c r="F289" s="116"/>
      <c r="G289" s="198">
        <f>AG289</f>
        <v>41761</v>
      </c>
      <c r="H289" s="198">
        <f>S.AC.BANNER.End</f>
        <v>0</v>
      </c>
      <c r="I289" s="745"/>
      <c r="AF289" s="361" t="s">
        <v>59</v>
      </c>
      <c r="AG289" s="60">
        <f>S.AC.BANNER.Begin</f>
        <v>41761</v>
      </c>
      <c r="AH289" s="60">
        <f>S.AC.BANNER.End</f>
        <v>0</v>
      </c>
      <c r="AI289" s="47"/>
      <c r="AJ289" s="61"/>
      <c r="AK289" s="346"/>
      <c r="AL289" s="76"/>
      <c r="AM289"/>
    </row>
    <row r="290" spans="1:39" ht="6" hidden="1" customHeight="1" outlineLevel="1">
      <c r="A290" s="145"/>
      <c r="B290" s="106"/>
      <c r="C290" s="98"/>
      <c r="D290" s="691"/>
      <c r="E290" s="691"/>
      <c r="F290" s="99"/>
      <c r="G290" s="98"/>
      <c r="H290" s="98"/>
      <c r="I290" s="745"/>
      <c r="AF290" s="362" t="s">
        <v>16</v>
      </c>
      <c r="AG290" s="47"/>
      <c r="AH290" s="47"/>
      <c r="AI290" s="47"/>
      <c r="AJ290" s="43"/>
      <c r="AK290" s="346"/>
      <c r="AL290" s="76"/>
      <c r="AM290"/>
    </row>
    <row r="291" spans="1:39" s="23" customFormat="1" ht="14.1" hidden="1" customHeight="1" outlineLevel="1">
      <c r="A291" s="145"/>
      <c r="B291" s="538" t="s">
        <v>336</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Brian holds/leads team meeting to: </v>
      </c>
      <c r="C292" s="324" t="s">
        <v>0</v>
      </c>
      <c r="D292" s="283"/>
      <c r="E292" s="283"/>
      <c r="F292"/>
      <c r="G292" s="525">
        <f>AG292</f>
        <v>41761</v>
      </c>
      <c r="H292" s="525">
        <f>AH292</f>
        <v>41761</v>
      </c>
      <c r="I292" s="745"/>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 holds/leads team meeting to: </v>
      </c>
      <c r="AL292" s="76"/>
    </row>
    <row r="293" spans="1:39" s="23" customFormat="1" ht="14.1" hidden="1" customHeight="1" outlineLevel="1">
      <c r="A293" s="145"/>
      <c r="B293" s="432" t="s">
        <v>703</v>
      </c>
      <c r="C293" s="543"/>
      <c r="D293" s="283"/>
      <c r="E293" s="750"/>
      <c r="F293"/>
      <c r="G293" s="280"/>
      <c r="H293" s="280"/>
      <c r="I293" s="745"/>
      <c r="AF293" s="362">
        <f t="shared" si="23"/>
        <v>0</v>
      </c>
      <c r="AG293" s="34"/>
      <c r="AH293" s="34" t="s">
        <v>0</v>
      </c>
      <c r="AI293" s="47"/>
      <c r="AJ293" s="43"/>
      <c r="AK293" s="346"/>
      <c r="AL293" s="76"/>
    </row>
    <row r="294" spans="1:39" s="23" customFormat="1" ht="14.1" hidden="1" customHeight="1" outlineLevel="1">
      <c r="A294" s="145"/>
      <c r="B294" s="870" t="s">
        <v>704</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0" t="s">
        <v>706</v>
      </c>
      <c r="C296" s="544"/>
      <c r="D296" s="283"/>
      <c r="E296" s="750"/>
      <c r="F296"/>
      <c r="G296" s="280"/>
      <c r="H296" s="280"/>
      <c r="I296" s="745"/>
      <c r="AF296" s="362">
        <f t="shared" si="23"/>
        <v>0</v>
      </c>
      <c r="AG296" s="34"/>
      <c r="AH296" s="34" t="s">
        <v>0</v>
      </c>
      <c r="AI296" s="47"/>
      <c r="AJ296" s="43"/>
      <c r="AK296" s="346"/>
      <c r="AL296" s="76"/>
    </row>
    <row r="297" spans="1:39" s="23" customFormat="1" ht="14.1" hidden="1" customHeight="1" outlineLevel="1">
      <c r="A297" s="145"/>
      <c r="B297" s="871" t="s">
        <v>705</v>
      </c>
      <c r="C297" s="268" t="s">
        <v>0</v>
      </c>
      <c r="D297" s="283"/>
      <c r="E297" s="750"/>
      <c r="F297"/>
      <c r="G297" s="280"/>
      <c r="H297" s="280"/>
      <c r="I297" s="745"/>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c r="A298" s="145"/>
      <c r="B298" s="432" t="s">
        <v>697</v>
      </c>
      <c r="C298" s="543"/>
      <c r="D298" s="283"/>
      <c r="E298" s="750"/>
      <c r="F298"/>
      <c r="G298" s="280"/>
      <c r="H298" s="280"/>
      <c r="I298" s="745"/>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c r="A299" s="145"/>
      <c r="B299" s="870" t="s">
        <v>695</v>
      </c>
      <c r="C299" s="509" t="str">
        <f>HYPERLINK("http://www.doj.state.or.us/pdf/public_records_and_meetings_manual.pdf","i")</f>
        <v>i</v>
      </c>
      <c r="D299" s="283"/>
      <c r="E299" s="750"/>
      <c r="F299"/>
      <c r="G299" s="280"/>
      <c r="H299" s="280"/>
      <c r="I299" s="745"/>
      <c r="AF299" s="362">
        <f t="shared" si="23"/>
        <v>0</v>
      </c>
      <c r="AG299" s="34"/>
      <c r="AH299" s="34" t="s">
        <v>0</v>
      </c>
      <c r="AI299" s="47"/>
      <c r="AJ299" s="43"/>
      <c r="AK299" s="34" t="s">
        <v>214</v>
      </c>
      <c r="AL299" s="76"/>
      <c r="AM299"/>
    </row>
    <row r="300" spans="1:39" ht="14.1" hidden="1" customHeight="1" outlineLevel="1" thickBot="1">
      <c r="A300" s="145"/>
      <c r="B300" s="870" t="s">
        <v>696</v>
      </c>
      <c r="C300" s="509" t="str">
        <f>HYPERLINK("http://www.oregonlaws.org/ors/192.630","i")</f>
        <v>i</v>
      </c>
      <c r="D300" s="283"/>
      <c r="E300" s="750"/>
      <c r="F300"/>
      <c r="G300" s="280"/>
      <c r="H300" s="280"/>
      <c r="I300" s="745"/>
      <c r="AF300" s="362">
        <f t="shared" si="23"/>
        <v>0</v>
      </c>
      <c r="AG300" s="34"/>
      <c r="AH300" s="34" t="s">
        <v>0</v>
      </c>
      <c r="AI300" s="47"/>
      <c r="AJ300" s="43"/>
      <c r="AK300" s="443" t="s">
        <v>208</v>
      </c>
      <c r="AL300" s="356" t="s">
        <v>49</v>
      </c>
      <c r="AM300"/>
    </row>
    <row r="301" spans="1:39" s="23" customFormat="1" ht="14.1" hidden="1" customHeight="1" outlineLevel="1">
      <c r="A301" s="145"/>
      <c r="B301" s="870" t="s">
        <v>698</v>
      </c>
      <c r="C301" s="544"/>
      <c r="D301" s="283"/>
      <c r="E301" s="750"/>
      <c r="F301"/>
      <c r="G301" s="280"/>
      <c r="H301" s="280"/>
      <c r="I301" s="745"/>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c r="A302" s="145"/>
      <c r="B302" s="870" t="s">
        <v>699</v>
      </c>
      <c r="C302" s="544"/>
      <c r="D302" s="283"/>
      <c r="E302" s="750"/>
      <c r="F302"/>
      <c r="G302" s="280"/>
      <c r="H302" s="280"/>
      <c r="I302" s="745"/>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c r="A303" s="145"/>
      <c r="B303" s="432" t="s">
        <v>700</v>
      </c>
      <c r="C303" s="543"/>
      <c r="D303" s="283"/>
      <c r="E303" s="750"/>
      <c r="F303"/>
      <c r="G303" s="280"/>
      <c r="H303" s="280"/>
      <c r="I303" s="745"/>
      <c r="AF303" s="362">
        <f t="shared" si="23"/>
        <v>0</v>
      </c>
      <c r="AG303" s="34"/>
      <c r="AH303" s="34" t="s">
        <v>0</v>
      </c>
      <c r="AI303" s="47"/>
      <c r="AJ303" s="43"/>
      <c r="AK303" s="346"/>
      <c r="AL303" s="76"/>
    </row>
    <row r="304" spans="1:39" s="23" customFormat="1" ht="14.1" hidden="1" customHeight="1" outlineLevel="1">
      <c r="A304" s="145"/>
      <c r="B304" s="870" t="s">
        <v>707</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0" t="s">
        <v>708</v>
      </c>
      <c r="C305" s="544"/>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0" t="s">
        <v>701</v>
      </c>
      <c r="C306" s="544"/>
      <c r="D306" s="283"/>
      <c r="E306" s="750"/>
      <c r="F306"/>
      <c r="G306" s="280"/>
      <c r="H306" s="280"/>
      <c r="I306" s="745"/>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c r="A307" s="145"/>
      <c r="B307" s="871" t="s">
        <v>702</v>
      </c>
      <c r="C307" s="268" t="s">
        <v>0</v>
      </c>
      <c r="D307" s="283"/>
      <c r="E307" s="750"/>
      <c r="F307"/>
      <c r="G307" s="280"/>
      <c r="H307" s="280"/>
      <c r="I307" s="745"/>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c r="A308" s="145"/>
      <c r="B308" s="317" t="str">
        <f>AK308</f>
        <v>Brian coordinates with team to:</v>
      </c>
      <c r="C308" s="268" t="s">
        <v>0</v>
      </c>
      <c r="D308" s="283"/>
      <c r="E308" s="283"/>
      <c r="F308"/>
      <c r="G308" s="572">
        <f>AG308</f>
        <v>41761</v>
      </c>
      <c r="H308" s="572">
        <f>AH308</f>
        <v>41761</v>
      </c>
      <c r="I308" s="745"/>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 coordinates with team to:</v>
      </c>
      <c r="AL308" s="76"/>
    </row>
    <row r="309" spans="1:39" ht="14.1" hidden="1" customHeight="1" outlineLevel="1">
      <c r="A309" s="145"/>
      <c r="B309" s="433" t="s">
        <v>210</v>
      </c>
      <c r="C309" s="268" t="s">
        <v>0</v>
      </c>
      <c r="D309" s="283"/>
      <c r="E309" s="750"/>
      <c r="F309"/>
      <c r="I309" s="745"/>
      <c r="AF309" s="362">
        <f t="shared" si="23"/>
        <v>0</v>
      </c>
      <c r="AG309" s="34"/>
      <c r="AH309" s="34" t="s">
        <v>0</v>
      </c>
      <c r="AI309" s="59"/>
      <c r="AJ309" s="59"/>
      <c r="AK309" s="346"/>
      <c r="AL309" s="76"/>
      <c r="AM309"/>
    </row>
    <row r="310" spans="1:39" s="23" customFormat="1" ht="14.1" hidden="1" customHeight="1" outlineLevel="1">
      <c r="A310" s="145"/>
      <c r="B310" s="433" t="s">
        <v>300</v>
      </c>
      <c r="C310" s="268" t="s">
        <v>0</v>
      </c>
      <c r="D310" s="283"/>
      <c r="E310" s="750"/>
      <c r="F310"/>
      <c r="G310" s="279"/>
      <c r="H310" s="279"/>
      <c r="I310" s="745"/>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c r="A311" s="145"/>
      <c r="B311" s="569" t="s">
        <v>349</v>
      </c>
      <c r="C311" s="545"/>
      <c r="D311" s="705"/>
      <c r="E311" s="705"/>
      <c r="F311"/>
      <c r="I311" s="745"/>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c r="A312" s="145"/>
      <c r="B312" s="569" t="s">
        <v>296</v>
      </c>
      <c r="C312" s="545"/>
      <c r="D312" s="705"/>
      <c r="E312" s="705"/>
      <c r="F312"/>
      <c r="I312" s="745"/>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c r="A313" s="145"/>
      <c r="B313" s="569" t="s">
        <v>297</v>
      </c>
      <c r="C313" s="545"/>
      <c r="D313" s="705"/>
      <c r="E313" s="705"/>
      <c r="F313"/>
      <c r="I313" s="745"/>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c r="A314" s="145"/>
      <c r="B314" s="569" t="s">
        <v>298</v>
      </c>
      <c r="C314" s="545"/>
      <c r="D314" s="705"/>
      <c r="E314" s="705"/>
      <c r="F314"/>
      <c r="I314" s="745"/>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c r="A315" s="145"/>
      <c r="B315" s="569" t="s">
        <v>299</v>
      </c>
      <c r="C315" s="545"/>
      <c r="D315" s="705"/>
      <c r="E315" s="705"/>
      <c r="F315"/>
      <c r="I315" s="745"/>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c r="A316" s="145"/>
      <c r="B316" s="434" t="s">
        <v>211</v>
      </c>
      <c r="C316" s="268" t="s">
        <v>0</v>
      </c>
      <c r="D316" s="283"/>
      <c r="E316" s="750"/>
      <c r="F316"/>
      <c r="G316" s="23"/>
      <c r="H316" s="23"/>
      <c r="I316" s="745"/>
      <c r="AF316" s="362">
        <f t="shared" si="23"/>
        <v>0</v>
      </c>
      <c r="AG316" s="80"/>
      <c r="AH316" s="80"/>
      <c r="AI316" s="59"/>
      <c r="AJ316" s="59"/>
      <c r="AK316" s="346"/>
      <c r="AL316" s="76"/>
      <c r="AM316"/>
    </row>
    <row r="317" spans="1:39" ht="14.1" hidden="1" customHeight="1" outlineLevel="1" thickBot="1">
      <c r="A317" s="145"/>
      <c r="B317" s="434" t="s">
        <v>212</v>
      </c>
      <c r="C317" s="268" t="s">
        <v>0</v>
      </c>
      <c r="D317" s="283"/>
      <c r="E317" s="283"/>
      <c r="F317"/>
      <c r="G317" s="323">
        <f t="shared" ref="G317:H319" si="24">AG317</f>
        <v>41761</v>
      </c>
      <c r="H317" s="256">
        <f t="shared" si="24"/>
        <v>41761</v>
      </c>
      <c r="I317" s="745"/>
      <c r="AF317" s="362">
        <f t="shared" si="23"/>
        <v>0</v>
      </c>
      <c r="AG317" s="60">
        <f>H308</f>
        <v>41761</v>
      </c>
      <c r="AH317" s="60">
        <f>G317</f>
        <v>41761</v>
      </c>
      <c r="AI317" s="59"/>
      <c r="AJ317" s="59"/>
      <c r="AK317" s="346"/>
      <c r="AL317" s="76"/>
      <c r="AM317"/>
    </row>
    <row r="318" spans="1:39" ht="14.1" hidden="1" customHeight="1" outlineLevel="1" thickBot="1">
      <c r="A318" s="145"/>
      <c r="B318" s="442" t="s">
        <v>250</v>
      </c>
      <c r="C318" s="539" t="s">
        <v>16</v>
      </c>
      <c r="D318" s="283"/>
      <c r="E318" s="283"/>
      <c r="F318"/>
      <c r="G318" s="322">
        <f t="shared" si="24"/>
        <v>41761</v>
      </c>
      <c r="H318" s="259">
        <f t="shared" si="24"/>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213</v>
      </c>
      <c r="C319" s="539" t="s">
        <v>16</v>
      </c>
      <c r="D319" s="283"/>
      <c r="E319" s="283"/>
      <c r="F319"/>
      <c r="G319" s="322">
        <f t="shared" si="24"/>
        <v>41761</v>
      </c>
      <c r="H319" s="259">
        <f t="shared" si="24"/>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348</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DavidC shares draft roster and invitation with Uri</v>
      </c>
      <c r="C321" s="268" t="s">
        <v>0</v>
      </c>
      <c r="D321" s="283"/>
      <c r="E321" s="283"/>
      <c r="F321"/>
      <c r="G321" s="256">
        <f t="shared" ref="G321:H323" si="25">AG321</f>
        <v>41761</v>
      </c>
      <c r="H321" s="256">
        <f t="shared" si="25"/>
        <v>41761</v>
      </c>
      <c r="I321" s="745"/>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Uri</v>
      </c>
      <c r="AL321" s="76"/>
    </row>
    <row r="322" spans="1:39" s="23" customFormat="1" ht="14.1" hidden="1" customHeight="1" outlineLevel="1">
      <c r="A322" s="145"/>
      <c r="B322" s="343" t="s">
        <v>182</v>
      </c>
      <c r="C322" s="268" t="s">
        <v>0</v>
      </c>
      <c r="D322" s="283"/>
      <c r="E322" s="283"/>
      <c r="F322"/>
      <c r="G322" s="323">
        <f t="shared" si="25"/>
        <v>41761</v>
      </c>
      <c r="H322" s="256">
        <f t="shared" si="25"/>
        <v>41761</v>
      </c>
      <c r="I322" s="745"/>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c r="A323" s="145"/>
      <c r="B323" s="343" t="str">
        <f>AK323</f>
        <v>DavidC approves potential advisory committee roster</v>
      </c>
      <c r="C323" s="196"/>
      <c r="D323" s="283"/>
      <c r="E323" s="283"/>
      <c r="F323"/>
      <c r="G323" s="323">
        <f t="shared" si="25"/>
        <v>41761</v>
      </c>
      <c r="H323" s="256">
        <f t="shared" si="25"/>
        <v>41761</v>
      </c>
      <c r="I323" s="745"/>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c r="A324" s="145"/>
      <c r="B324" s="343" t="s">
        <v>132</v>
      </c>
      <c r="C324" s="196"/>
      <c r="D324" s="706"/>
      <c r="E324" s="706"/>
      <c r="F324"/>
      <c r="G324" s="192"/>
      <c r="H324" s="193"/>
      <c r="I324" s="745"/>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c r="A325" s="145"/>
      <c r="B325" s="319" t="s">
        <v>181</v>
      </c>
      <c r="C325" s="268" t="s">
        <v>0</v>
      </c>
      <c r="D325" s="283"/>
      <c r="E325" s="283"/>
      <c r="F325"/>
      <c r="G325" s="323">
        <f>AG325</f>
        <v>41761</v>
      </c>
      <c r="H325" s="256">
        <f>AH325</f>
        <v>41761</v>
      </c>
      <c r="I325" s="745"/>
      <c r="AF325" s="362">
        <f t="shared" si="26"/>
        <v>0</v>
      </c>
      <c r="AG325" s="60">
        <f>H323</f>
        <v>41761</v>
      </c>
      <c r="AH325" s="60">
        <f>G325</f>
        <v>41761</v>
      </c>
      <c r="AI325" s="47"/>
      <c r="AJ325" s="43"/>
      <c r="AK325" s="34"/>
      <c r="AL325" s="76"/>
      <c r="AM325"/>
    </row>
    <row r="326" spans="1:39" s="23" customFormat="1" ht="14.1" hidden="1" customHeight="1" outlineLevel="1">
      <c r="A326" s="145"/>
      <c r="B326" s="319" t="s">
        <v>209</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c r="A327" s="145"/>
      <c r="B327" s="417" t="str">
        <f>AK327</f>
        <v>Brian:</v>
      </c>
      <c r="C327" s="268" t="s">
        <v>0</v>
      </c>
      <c r="D327" s="708"/>
      <c r="E327" s="708"/>
      <c r="F327"/>
      <c r="G327" s="279"/>
      <c r="H327" s="279"/>
      <c r="I327" s="745"/>
      <c r="J327"/>
      <c r="K327"/>
      <c r="L327"/>
      <c r="M327"/>
      <c r="N327"/>
      <c r="O327"/>
      <c r="P327"/>
      <c r="Q327"/>
      <c r="R327"/>
      <c r="S327"/>
      <c r="T327"/>
      <c r="U327"/>
      <c r="X327"/>
      <c r="AB327"/>
      <c r="AC327"/>
      <c r="AF327" s="362">
        <f t="shared" si="26"/>
        <v>0</v>
      </c>
      <c r="AG327" s="34"/>
      <c r="AH327" s="34" t="s">
        <v>0</v>
      </c>
      <c r="AI327" s="59"/>
      <c r="AJ327" s="59"/>
      <c r="AK327" s="78" t="str">
        <f>S.Staff.Subject.Expert.FirstName&amp;":"</f>
        <v>Brian:</v>
      </c>
      <c r="AL327" s="76"/>
    </row>
    <row r="328" spans="1:39" s="23" customFormat="1" ht="14.1" hidden="1" customHeight="1" outlineLevel="1">
      <c r="A328" s="145"/>
      <c r="B328" s="318" t="s">
        <v>709</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710</v>
      </c>
      <c r="C329" s="268" t="s">
        <v>0</v>
      </c>
      <c r="D329" s="708"/>
      <c r="E329" s="708"/>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117</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118</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39" t="s">
        <v>16</v>
      </c>
      <c r="D332" s="708"/>
      <c r="E332" s="708"/>
      <c r="F332"/>
      <c r="G332" s="254">
        <v>41795</v>
      </c>
      <c r="H332" s="253" t="s">
        <v>772</v>
      </c>
      <c r="I332" s="745"/>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119</v>
      </c>
      <c r="C333" s="969"/>
      <c r="D333" s="283"/>
      <c r="E333" s="750"/>
      <c r="F333"/>
      <c r="G333" s="258"/>
      <c r="H333" s="300"/>
      <c r="I333" s="745"/>
      <c r="AF333" s="362">
        <f t="shared" si="27"/>
        <v>0</v>
      </c>
      <c r="AG333" s="34"/>
      <c r="AH333" s="34" t="s">
        <v>0</v>
      </c>
      <c r="AI333" s="47"/>
      <c r="AJ333" s="43"/>
      <c r="AK333" s="34"/>
      <c r="AL333" s="76"/>
      <c r="AM333"/>
    </row>
    <row r="334" spans="1:39" s="23" customFormat="1" ht="14.1" hidden="1" customHeight="1" outlineLevel="2">
      <c r="A334" s="145"/>
      <c r="B334" s="284" t="str">
        <f>AK334</f>
        <v>Brian coordinates or drafts:</v>
      </c>
      <c r="C334" s="969"/>
      <c r="D334" s="283"/>
      <c r="E334" s="283"/>
      <c r="F334"/>
      <c r="G334" s="323">
        <f>AG334</f>
        <v>41761</v>
      </c>
      <c r="H334" s="256">
        <f>AH334</f>
        <v>41761</v>
      </c>
      <c r="I334" s="745"/>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 coordinates or drafts:</v>
      </c>
      <c r="AL334" s="76"/>
    </row>
    <row r="335" spans="1:39" ht="14.1" hidden="1" customHeight="1" outlineLevel="2">
      <c r="A335" s="145"/>
      <c r="B335" s="316" t="str">
        <f>AK335</f>
        <v>* AC.AGENDA.06.05.14</v>
      </c>
      <c r="C335" s="970" t="str">
        <f>HYPERLINK("\\deq000\templates\General\Agenda Template.dotx","i")</f>
        <v>i</v>
      </c>
      <c r="D335" s="357"/>
      <c r="E335" s="750"/>
      <c r="F335"/>
      <c r="G335" s="258"/>
      <c r="H335" s="300"/>
      <c r="I335" s="745"/>
      <c r="AF335" s="362">
        <f t="shared" si="27"/>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1" t="s">
        <v>0</v>
      </c>
      <c r="D336" s="283"/>
      <c r="E336" s="750"/>
      <c r="F336"/>
      <c r="G336" s="258"/>
      <c r="H336" s="300"/>
      <c r="I336" s="745"/>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Brian obtains team approval of agenda and notification</v>
      </c>
      <c r="C337" s="969"/>
      <c r="D337" s="283"/>
      <c r="E337" s="283"/>
      <c r="F337"/>
      <c r="G337" s="323">
        <f>AG337</f>
        <v>41761</v>
      </c>
      <c r="H337" s="256">
        <f>AH337</f>
        <v>41761</v>
      </c>
      <c r="I337" s="745"/>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 obtains team approval of agenda and notification</v>
      </c>
      <c r="AL337" s="76"/>
    </row>
    <row r="338" spans="1:39" s="23" customFormat="1" ht="14.1" hidden="1" customHeight="1" outlineLevel="2">
      <c r="A338" s="145"/>
      <c r="B338" s="284" t="str">
        <f>AK338</f>
        <v>Brian (about 14 working days before meeting:)</v>
      </c>
      <c r="C338" s="969"/>
      <c r="D338" s="283"/>
      <c r="E338" s="283"/>
      <c r="F338"/>
      <c r="G338" s="323">
        <f>AG338</f>
        <v>41761</v>
      </c>
      <c r="H338" s="256">
        <f>AH338</f>
        <v>41761</v>
      </c>
      <c r="I338" s="745"/>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 (about 14 working days before meeting:)</v>
      </c>
      <c r="AL338" s="76"/>
    </row>
    <row r="339" spans="1:39" ht="14.1" hidden="1" customHeight="1" outlineLevel="2">
      <c r="A339" s="145"/>
      <c r="B339" s="564" t="s">
        <v>215</v>
      </c>
      <c r="C339" s="970" t="str">
        <f>HYPERLINK("http://deq05/intranet/contentmanagement/login.asp","i")</f>
        <v>i</v>
      </c>
      <c r="D339" s="709"/>
      <c r="E339" s="885"/>
      <c r="F339"/>
      <c r="G339" s="258"/>
      <c r="H339" s="300"/>
      <c r="I339" s="745"/>
      <c r="AF339" s="362">
        <f t="shared" si="27"/>
        <v>0</v>
      </c>
      <c r="AG339" s="34"/>
      <c r="AH339" s="34" t="s">
        <v>0</v>
      </c>
      <c r="AI339" s="47"/>
      <c r="AJ339" s="43"/>
      <c r="AK339" s="43"/>
      <c r="AL339" s="76"/>
      <c r="AM339"/>
    </row>
    <row r="340" spans="1:39" s="23" customFormat="1" ht="14.1" hidden="1" customHeight="1" outlineLevel="2">
      <c r="A340" s="145"/>
      <c r="B340" s="564" t="s">
        <v>683</v>
      </c>
      <c r="C340" s="971" t="s">
        <v>0</v>
      </c>
      <c r="D340" s="709"/>
      <c r="E340" s="885"/>
      <c r="F340"/>
      <c r="G340" s="258"/>
      <c r="H340" s="300"/>
      <c r="I340" s="745"/>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c r="A341" s="145"/>
      <c r="B341" s="298" t="s">
        <v>184</v>
      </c>
      <c r="C341" s="971" t="s">
        <v>0</v>
      </c>
      <c r="D341" s="283"/>
      <c r="E341" s="750"/>
      <c r="F341"/>
      <c r="G341" s="258"/>
      <c r="H341" s="300"/>
      <c r="I341" s="745"/>
      <c r="AF341" s="362">
        <f t="shared" si="27"/>
        <v>0</v>
      </c>
      <c r="AG341" s="34"/>
      <c r="AH341" s="34" t="s">
        <v>0</v>
      </c>
      <c r="AI341" s="47"/>
      <c r="AJ341" s="43"/>
      <c r="AK341" s="43" t="s">
        <v>347</v>
      </c>
      <c r="AL341" s="76"/>
      <c r="AM341"/>
    </row>
    <row r="342" spans="1:39" ht="14.1" hidden="1" customHeight="1" outlineLevel="2">
      <c r="A342" s="145"/>
      <c r="B342" s="418" t="s">
        <v>120</v>
      </c>
      <c r="C342" s="971" t="s">
        <v>0</v>
      </c>
      <c r="D342" s="283"/>
      <c r="E342" s="283"/>
      <c r="F342"/>
      <c r="G342" s="323">
        <f t="shared" ref="G342:H345" si="28">AG342</f>
        <v>41761</v>
      </c>
      <c r="H342" s="256">
        <f t="shared" si="28"/>
        <v>41761</v>
      </c>
      <c r="I342" s="745"/>
      <c r="AF342" s="362">
        <f t="shared" si="27"/>
        <v>0</v>
      </c>
      <c r="AG342" s="60">
        <f>S.AC.SendInvitation</f>
        <v>41761</v>
      </c>
      <c r="AH342" s="60">
        <f>G342</f>
        <v>41761</v>
      </c>
      <c r="AI342" s="47"/>
      <c r="AJ342" s="43"/>
      <c r="AK342" s="43"/>
      <c r="AL342" s="76"/>
      <c r="AM342"/>
    </row>
    <row r="343" spans="1:39" ht="14.1" hidden="1" customHeight="1" outlineLevel="2">
      <c r="A343" s="145"/>
      <c r="B343" s="418" t="s">
        <v>120</v>
      </c>
      <c r="C343" s="971" t="s">
        <v>0</v>
      </c>
      <c r="D343" s="283"/>
      <c r="E343" s="283"/>
      <c r="F343"/>
      <c r="G343" s="323">
        <f t="shared" si="28"/>
        <v>41761</v>
      </c>
      <c r="H343" s="256">
        <f t="shared" si="28"/>
        <v>41761</v>
      </c>
      <c r="I343" s="745"/>
      <c r="AF343" s="362">
        <f t="shared" si="27"/>
        <v>0</v>
      </c>
      <c r="AG343" s="60">
        <f>S.AC.SendInvitation</f>
        <v>41761</v>
      </c>
      <c r="AH343" s="60">
        <f>G343</f>
        <v>41761</v>
      </c>
      <c r="AI343" s="47"/>
      <c r="AJ343" s="43"/>
      <c r="AK343" s="43"/>
      <c r="AL343" s="76"/>
      <c r="AM343"/>
    </row>
    <row r="344" spans="1:39" ht="14.1" hidden="1" customHeight="1" outlineLevel="2">
      <c r="A344" s="145"/>
      <c r="B344" s="418" t="s">
        <v>120</v>
      </c>
      <c r="C344" s="971" t="s">
        <v>0</v>
      </c>
      <c r="D344" s="283"/>
      <c r="E344" s="283"/>
      <c r="F344"/>
      <c r="G344" s="323">
        <f t="shared" si="28"/>
        <v>41761</v>
      </c>
      <c r="H344" s="256">
        <f t="shared" si="28"/>
        <v>41761</v>
      </c>
      <c r="I344" s="745"/>
      <c r="AF344" s="362">
        <f t="shared" si="27"/>
        <v>0</v>
      </c>
      <c r="AG344" s="60">
        <f>S.AC.SendInvitation</f>
        <v>41761</v>
      </c>
      <c r="AH344" s="60">
        <f>G344</f>
        <v>41761</v>
      </c>
      <c r="AI344" s="47"/>
      <c r="AJ344" s="43"/>
      <c r="AK344" s="43"/>
      <c r="AL344" s="76"/>
      <c r="AM344"/>
    </row>
    <row r="345" spans="1:39" ht="14.1" hidden="1" customHeight="1" outlineLevel="2" thickBot="1">
      <c r="A345" s="145"/>
      <c r="B345" s="418" t="s">
        <v>120</v>
      </c>
      <c r="C345" s="971" t="s">
        <v>0</v>
      </c>
      <c r="D345" s="283"/>
      <c r="E345" s="283"/>
      <c r="F345"/>
      <c r="G345" s="323">
        <f t="shared" si="28"/>
        <v>41761</v>
      </c>
      <c r="H345" s="256">
        <f t="shared" si="28"/>
        <v>41761</v>
      </c>
      <c r="I345" s="745"/>
      <c r="AF345" s="362">
        <f t="shared" si="27"/>
        <v>0</v>
      </c>
      <c r="AG345" s="60">
        <f>S.AC.SendInvitation</f>
        <v>41761</v>
      </c>
      <c r="AH345" s="60">
        <f>G345</f>
        <v>41761</v>
      </c>
      <c r="AI345" s="47"/>
      <c r="AJ345" s="43"/>
      <c r="AK345" s="43"/>
      <c r="AL345" s="76"/>
      <c r="AM345"/>
    </row>
    <row r="346" spans="1:39" s="23" customFormat="1" ht="14.1" hidden="1" customHeight="1" outlineLevel="2" thickBot="1">
      <c r="A346" s="145"/>
      <c r="B346" s="444" t="s">
        <v>169</v>
      </c>
      <c r="C346" s="539" t="s">
        <v>16</v>
      </c>
      <c r="D346" s="710"/>
      <c r="E346" s="710"/>
      <c r="F346"/>
      <c r="G346" s="324"/>
      <c r="H346" s="324"/>
      <c r="I346" s="745"/>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c r="A347" s="145"/>
      <c r="B347" s="445" t="s">
        <v>121</v>
      </c>
      <c r="C347" s="971" t="s">
        <v>0</v>
      </c>
      <c r="D347" s="325"/>
      <c r="E347" s="325"/>
      <c r="F347"/>
      <c r="G347" s="321"/>
      <c r="H347" s="321"/>
      <c r="I347" s="745"/>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c r="A348" s="145"/>
      <c r="B348" s="446" t="str">
        <f>AK348</f>
        <v>* drafts optional AC.PRESENTATION.06.05.14</v>
      </c>
      <c r="C348" s="970" t="str">
        <f>HYPERLINK("http://deq05/intranet/communication/docs/DEQAgencyTemplate1.potx","i")</f>
        <v>i</v>
      </c>
      <c r="D348" s="357"/>
      <c r="E348" s="357"/>
      <c r="F348"/>
      <c r="G348" s="323">
        <f>AG348</f>
        <v>41761</v>
      </c>
      <c r="H348" s="256">
        <f>AH348</f>
        <v>41761</v>
      </c>
      <c r="I348" s="745"/>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1" t="s">
        <v>0</v>
      </c>
      <c r="D349" s="325"/>
      <c r="E349" s="325"/>
      <c r="F349"/>
      <c r="G349" s="324"/>
      <c r="H349" s="324"/>
      <c r="I349" s="745"/>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c r="A350" s="145"/>
      <c r="B350" s="447" t="s">
        <v>183</v>
      </c>
      <c r="C350" s="971" t="s">
        <v>0</v>
      </c>
      <c r="D350" s="283"/>
      <c r="E350" s="283"/>
      <c r="F350"/>
      <c r="G350" s="323">
        <f>AG350</f>
        <v>41761</v>
      </c>
      <c r="H350" s="256">
        <f>AH350</f>
        <v>41761</v>
      </c>
      <c r="I350" s="745"/>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c r="A351" s="145"/>
      <c r="B351" s="448" t="s">
        <v>216</v>
      </c>
      <c r="C351" s="971" t="s">
        <v>0</v>
      </c>
      <c r="D351" s="283"/>
      <c r="E351" s="283"/>
      <c r="F351"/>
      <c r="G351" s="323">
        <f>AG351</f>
        <v>41761</v>
      </c>
      <c r="H351" s="256">
        <f>AH351</f>
        <v>41761</v>
      </c>
      <c r="I351" s="745"/>
      <c r="AF351" s="362">
        <f t="shared" si="29"/>
        <v>0</v>
      </c>
      <c r="AG351" s="60">
        <f>G350</f>
        <v>41761</v>
      </c>
      <c r="AH351" s="60">
        <f>G351</f>
        <v>41761</v>
      </c>
      <c r="AI351" s="47" t="s">
        <v>0</v>
      </c>
      <c r="AJ351" s="43"/>
      <c r="AK351" s="43"/>
      <c r="AL351" s="76"/>
      <c r="AM351"/>
    </row>
    <row r="352" spans="1:39" ht="14.1" hidden="1" customHeight="1" outlineLevel="2">
      <c r="A352" s="145"/>
      <c r="B352" s="449" t="str">
        <f>AK352</f>
        <v>Brian submits Web Request to post materials</v>
      </c>
      <c r="C352" s="972" t="str">
        <f>HYPERLINK("http://deq05/intranet/communication/WebRequests.htm","i")</f>
        <v>i</v>
      </c>
      <c r="D352" s="283"/>
      <c r="E352" s="750"/>
      <c r="F352"/>
      <c r="G352"/>
      <c r="H352"/>
      <c r="I352" s="745"/>
      <c r="AF352" s="362">
        <f t="shared" si="29"/>
        <v>0</v>
      </c>
      <c r="AG352" s="34"/>
      <c r="AH352" s="34"/>
      <c r="AI352" s="47"/>
      <c r="AJ352" s="43"/>
      <c r="AK352" s="78" t="str">
        <f>S.Staff.Subject.Expert.FirstName&amp;" submits Web Request to post materials"</f>
        <v>Brian submits Web Request to post materials</v>
      </c>
      <c r="AL352" s="76"/>
      <c r="AM352"/>
    </row>
    <row r="353" spans="1:39" s="23" customFormat="1" ht="14.1" hidden="1" customHeight="1" outlineLevel="2">
      <c r="A353" s="145"/>
      <c r="B353" s="448" t="s">
        <v>124</v>
      </c>
      <c r="C353" s="971" t="s">
        <v>0</v>
      </c>
      <c r="D353" s="283"/>
      <c r="E353" s="750"/>
      <c r="F353"/>
      <c r="I353" s="745"/>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c r="A354" s="145"/>
      <c r="B354" s="419" t="s">
        <v>122</v>
      </c>
      <c r="C354" s="971"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Brian drafts AC.MINUTES 06.05.14</v>
      </c>
      <c r="C355" s="970"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Brian drafts AC.MINUTES 06.05.14</v>
      </c>
      <c r="AL355" s="76"/>
      <c r="AM355"/>
    </row>
    <row r="356" spans="1:39" ht="14.1" hidden="1" customHeight="1" outlineLevel="2" thickBot="1">
      <c r="A356" s="145"/>
      <c r="B356" s="419" t="s">
        <v>123</v>
      </c>
      <c r="C356" s="971"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39" t="s">
        <v>16</v>
      </c>
      <c r="D357" s="711"/>
      <c r="E357" s="711"/>
      <c r="F357" s="306"/>
      <c r="G357" s="252">
        <v>41816</v>
      </c>
      <c r="H357" s="365" t="s">
        <v>772</v>
      </c>
      <c r="I357" s="745"/>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119</v>
      </c>
      <c r="C358" s="969"/>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c r="A359" s="145"/>
      <c r="B359" s="284" t="str">
        <f>AK359</f>
        <v>Brian coordinates or drafts:</v>
      </c>
      <c r="C359" s="969"/>
      <c r="D359" s="708"/>
      <c r="E359" s="708"/>
      <c r="F359" s="262"/>
      <c r="G359" s="258"/>
      <c r="H359" s="300"/>
      <c r="I359" s="745"/>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 coordinates or drafts:</v>
      </c>
      <c r="AL359" s="76"/>
    </row>
    <row r="360" spans="1:39" s="23" customFormat="1" ht="14.1" hidden="1" customHeight="1" outlineLevel="2">
      <c r="A360" s="145"/>
      <c r="B360" s="316" t="str">
        <f>AK360</f>
        <v>* AC.AGENDA.06.05.14, gets team agreement</v>
      </c>
      <c r="C360" s="970" t="str">
        <f>HYPERLINK("\\deq000\templates\General\Agenda Template.dotx","i")</f>
        <v>i</v>
      </c>
      <c r="D360" s="357"/>
      <c r="E360" s="357"/>
      <c r="F360" s="255">
        <f t="shared" ref="F360:F367" si="31">NETWORKDAYS(G360,H360,S.DDL_DEQClosed)</f>
        <v>1</v>
      </c>
      <c r="G360" s="323">
        <f t="shared" ref="G360:H367" si="32">AG360</f>
        <v>41802</v>
      </c>
      <c r="H360" s="256">
        <f t="shared" si="32"/>
        <v>41802</v>
      </c>
      <c r="I360" s="745"/>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1" t="s">
        <v>0</v>
      </c>
      <c r="D361" s="283"/>
      <c r="E361" s="283"/>
      <c r="F361" s="255">
        <f t="shared" si="31"/>
        <v>1</v>
      </c>
      <c r="G361" s="323">
        <f t="shared" si="32"/>
        <v>41802</v>
      </c>
      <c r="H361" s="256">
        <f t="shared" si="32"/>
        <v>41802</v>
      </c>
      <c r="I361" s="745"/>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c r="A362" s="145"/>
      <c r="B362" s="320" t="s">
        <v>215</v>
      </c>
      <c r="C362" s="970" t="str">
        <f>HYPERLINK("http://deq05/intranet/contentmanagement/login.asp","i")</f>
        <v>i</v>
      </c>
      <c r="D362" s="709"/>
      <c r="E362" s="709"/>
      <c r="F362" s="255">
        <f t="shared" si="31"/>
        <v>1</v>
      </c>
      <c r="G362" s="323">
        <f t="shared" si="32"/>
        <v>41802</v>
      </c>
      <c r="H362" s="256">
        <f t="shared" si="32"/>
        <v>41802</v>
      </c>
      <c r="I362" s="745"/>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c r="A363" s="145"/>
      <c r="B363" s="298" t="s">
        <v>184</v>
      </c>
      <c r="C363" s="971" t="s">
        <v>0</v>
      </c>
      <c r="D363" s="283"/>
      <c r="E363" s="283"/>
      <c r="F363" s="255">
        <f t="shared" si="31"/>
        <v>1</v>
      </c>
      <c r="G363" s="323">
        <f t="shared" si="32"/>
        <v>41802</v>
      </c>
      <c r="H363" s="256">
        <f t="shared" si="32"/>
        <v>41802</v>
      </c>
      <c r="I363" s="745"/>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c r="A364" s="145"/>
      <c r="B364" s="418" t="s">
        <v>120</v>
      </c>
      <c r="C364" s="971" t="s">
        <v>0</v>
      </c>
      <c r="D364" s="283"/>
      <c r="E364" s="283"/>
      <c r="F364" s="255">
        <f t="shared" si="31"/>
        <v>1</v>
      </c>
      <c r="G364" s="323">
        <f t="shared" si="32"/>
        <v>41802</v>
      </c>
      <c r="H364" s="256">
        <f t="shared" si="32"/>
        <v>41802</v>
      </c>
      <c r="I364" s="745"/>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c r="A365" s="145"/>
      <c r="B365" s="418" t="s">
        <v>120</v>
      </c>
      <c r="C365" s="971" t="s">
        <v>0</v>
      </c>
      <c r="D365" s="283"/>
      <c r="E365" s="283"/>
      <c r="F365" s="255">
        <f t="shared" si="31"/>
        <v>1</v>
      </c>
      <c r="G365" s="323">
        <f t="shared" si="32"/>
        <v>41802</v>
      </c>
      <c r="H365" s="256">
        <f t="shared" si="32"/>
        <v>41802</v>
      </c>
      <c r="I365" s="745"/>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c r="A366" s="145"/>
      <c r="B366" s="418" t="s">
        <v>120</v>
      </c>
      <c r="C366" s="971" t="s">
        <v>0</v>
      </c>
      <c r="D366" s="283"/>
      <c r="E366" s="283"/>
      <c r="F366" s="255">
        <f t="shared" si="31"/>
        <v>1</v>
      </c>
      <c r="G366" s="323">
        <f t="shared" si="32"/>
        <v>41802</v>
      </c>
      <c r="H366" s="256">
        <f t="shared" si="32"/>
        <v>41802</v>
      </c>
      <c r="I366" s="745"/>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c r="A367" s="145"/>
      <c r="B367" s="418" t="s">
        <v>120</v>
      </c>
      <c r="C367" s="971" t="s">
        <v>0</v>
      </c>
      <c r="D367" s="283"/>
      <c r="E367" s="283"/>
      <c r="F367" s="255">
        <f t="shared" si="31"/>
        <v>1</v>
      </c>
      <c r="G367" s="323">
        <f t="shared" si="32"/>
        <v>41802</v>
      </c>
      <c r="H367" s="256">
        <f t="shared" si="32"/>
        <v>41802</v>
      </c>
      <c r="I367" s="745"/>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c r="A368" s="145"/>
      <c r="B368" s="444" t="s">
        <v>169</v>
      </c>
      <c r="C368" s="539" t="s">
        <v>16</v>
      </c>
      <c r="D368" s="710"/>
      <c r="E368" s="710"/>
      <c r="F368" s="324"/>
      <c r="G368" s="324"/>
      <c r="H368" s="324"/>
      <c r="I368" s="745"/>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c r="A369" s="145"/>
      <c r="B369" s="445" t="s">
        <v>121</v>
      </c>
      <c r="C369" s="971" t="s">
        <v>0</v>
      </c>
      <c r="D369" s="325"/>
      <c r="E369" s="325"/>
      <c r="F369" s="321"/>
      <c r="G369" s="321"/>
      <c r="H369" s="321"/>
      <c r="I369" s="745"/>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c r="A370" s="145"/>
      <c r="B370" s="446" t="str">
        <f>AK370</f>
        <v>* drafts optional AC.PRESENTATION.06.05.14</v>
      </c>
      <c r="C370" s="970"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1" t="s">
        <v>0</v>
      </c>
      <c r="D371" s="325"/>
      <c r="E371" s="325"/>
      <c r="F371" s="324"/>
      <c r="G371" s="324"/>
      <c r="H371" s="324"/>
      <c r="I371" s="745"/>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c r="A372" s="145"/>
      <c r="B372" s="447" t="s">
        <v>183</v>
      </c>
      <c r="C372" s="971" t="s">
        <v>0</v>
      </c>
      <c r="D372" s="283"/>
      <c r="E372" s="283"/>
      <c r="F372" s="255">
        <f>NETWORKDAYS(G372,H372,S.DDL_DEQClosed)</f>
        <v>1</v>
      </c>
      <c r="G372" s="323">
        <f t="shared" ref="G372:H376" si="36">AG372</f>
        <v>41802</v>
      </c>
      <c r="H372" s="256">
        <f t="shared" si="36"/>
        <v>41802</v>
      </c>
      <c r="I372" s="745"/>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c r="A373" s="145"/>
      <c r="B373" s="448" t="s">
        <v>216</v>
      </c>
      <c r="C373" s="971" t="s">
        <v>0</v>
      </c>
      <c r="D373" s="283"/>
      <c r="E373" s="283"/>
      <c r="F373" s="255">
        <f>NETWORKDAYS(G373,H373,S.DDL_DEQClosed)</f>
        <v>1</v>
      </c>
      <c r="G373" s="323">
        <f t="shared" si="36"/>
        <v>41802</v>
      </c>
      <c r="H373" s="256">
        <f t="shared" si="36"/>
        <v>41802</v>
      </c>
      <c r="I373" s="745"/>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c r="A374" s="145"/>
      <c r="B374" s="449" t="str">
        <f>AK374</f>
        <v>Brian submits Web Request to post materials</v>
      </c>
      <c r="C374" s="972" t="str">
        <f>HYPERLINK("http://deq05/intranet/communication/WebRequests.htm","i")</f>
        <v>i</v>
      </c>
      <c r="D374" s="283"/>
      <c r="E374" s="283"/>
      <c r="F374" s="255">
        <f>NETWORKDAYS(G374,H374,S.DDL_DEQClosed)</f>
        <v>1</v>
      </c>
      <c r="G374" s="323">
        <f t="shared" si="36"/>
        <v>41802</v>
      </c>
      <c r="H374" s="256">
        <f t="shared" si="36"/>
        <v>41802</v>
      </c>
      <c r="I374" s="745"/>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 submits Web Request to post materials</v>
      </c>
      <c r="AL374" s="76"/>
    </row>
    <row r="375" spans="1:38" s="23" customFormat="1" ht="14.1" hidden="1" customHeight="1" outlineLevel="2">
      <c r="A375" s="145"/>
      <c r="B375" s="448" t="s">
        <v>124</v>
      </c>
      <c r="C375" s="971" t="s">
        <v>0</v>
      </c>
      <c r="D375" s="283"/>
      <c r="E375" s="283"/>
      <c r="F375" s="255">
        <f>NETWORKDAYS(G375,H375,S.DDL_DEQClosed)</f>
        <v>1</v>
      </c>
      <c r="G375" s="323">
        <f t="shared" si="36"/>
        <v>41802</v>
      </c>
      <c r="H375" s="256">
        <f t="shared" si="36"/>
        <v>41802</v>
      </c>
      <c r="I375" s="745"/>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c r="A376" s="145"/>
      <c r="B376" s="343" t="str">
        <f>AK376</f>
        <v>Brian sends meeting notice with link to Web page</v>
      </c>
      <c r="C376" s="971" t="s">
        <v>0</v>
      </c>
      <c r="D376" s="283"/>
      <c r="E376" s="283"/>
      <c r="F376" s="255">
        <f>NETWORKDAYS(G376,H376,S.DDL_DEQClosed)</f>
        <v>1</v>
      </c>
      <c r="G376" s="323">
        <f t="shared" si="36"/>
        <v>41802</v>
      </c>
      <c r="H376" s="256">
        <f t="shared" si="36"/>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 sends meeting notice with link to Web page</v>
      </c>
      <c r="AL376" s="76"/>
    </row>
    <row r="377" spans="1:38" s="23" customFormat="1" ht="14.1" hidden="1" customHeight="1" outlineLevel="2">
      <c r="A377" s="145"/>
      <c r="B377" s="419" t="s">
        <v>122</v>
      </c>
      <c r="C377" s="971" t="s">
        <v>0</v>
      </c>
      <c r="D377" s="1040" t="s">
        <v>220</v>
      </c>
      <c r="E377" s="1040"/>
      <c r="F377" s="1040"/>
      <c r="G377" s="1041"/>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Brian drafts AC.MINUTES 06.05.14</v>
      </c>
      <c r="C378" s="970"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 drafts AC.MINUTES 06.05.14</v>
      </c>
      <c r="AL378" s="76"/>
    </row>
    <row r="379" spans="1:38" s="23" customFormat="1" ht="14.1" hidden="1" customHeight="1" outlineLevel="2" thickBot="1">
      <c r="A379" s="145"/>
      <c r="B379" s="419" t="s">
        <v>123</v>
      </c>
      <c r="C379" s="971"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39" t="s">
        <v>16</v>
      </c>
      <c r="D380" s="711"/>
      <c r="E380" s="711"/>
      <c r="F380" s="306"/>
      <c r="G380" s="252">
        <v>41850</v>
      </c>
      <c r="H380" s="254" t="s">
        <v>772</v>
      </c>
      <c r="I380" s="745"/>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119</v>
      </c>
      <c r="C381" s="969"/>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c r="A382" s="145"/>
      <c r="B382" s="284" t="str">
        <f>AK382</f>
        <v>Brian coordinates or drafts:</v>
      </c>
      <c r="C382" s="969"/>
      <c r="D382" s="708"/>
      <c r="E382" s="708"/>
      <c r="F382" s="262"/>
      <c r="G382" s="258"/>
      <c r="H382" s="300"/>
      <c r="I382" s="745"/>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 coordinates or drafts:</v>
      </c>
      <c r="AL382" s="76"/>
    </row>
    <row r="383" spans="1:38" s="23" customFormat="1" ht="14.1" hidden="1" customHeight="1" outlineLevel="2">
      <c r="A383" s="145"/>
      <c r="B383" s="316" t="str">
        <f>AK383</f>
        <v>* AC.AGENDA.06.05.14, gets team agreement</v>
      </c>
      <c r="C383" s="970" t="str">
        <f>HYPERLINK("\\deq000\templates\General\Agenda Template.dotx","i")</f>
        <v>i</v>
      </c>
      <c r="D383" s="357"/>
      <c r="E383" s="357"/>
      <c r="F383" s="255">
        <f t="shared" ref="F383:F390" si="38">NETWORKDAYS(G383,H383,S.DDL_DEQClosed)</f>
        <v>1</v>
      </c>
      <c r="G383" s="323">
        <f t="shared" ref="G383:H390" si="39">AG383</f>
        <v>41836</v>
      </c>
      <c r="H383" s="256">
        <f t="shared" si="39"/>
        <v>41836</v>
      </c>
      <c r="I383" s="745"/>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1" t="s">
        <v>0</v>
      </c>
      <c r="D384" s="283"/>
      <c r="E384" s="283"/>
      <c r="F384" s="255">
        <f t="shared" si="38"/>
        <v>1</v>
      </c>
      <c r="G384" s="323">
        <f t="shared" si="39"/>
        <v>41836</v>
      </c>
      <c r="H384" s="256">
        <f t="shared" si="39"/>
        <v>41836</v>
      </c>
      <c r="I384" s="745"/>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c r="A385" s="145"/>
      <c r="B385" s="320" t="s">
        <v>215</v>
      </c>
      <c r="C385" s="970" t="str">
        <f>HYPERLINK("http://deq05/intranet/contentmanagement/login.asp","i")</f>
        <v>i</v>
      </c>
      <c r="D385" s="709"/>
      <c r="E385" s="709"/>
      <c r="F385" s="255">
        <f t="shared" si="38"/>
        <v>1</v>
      </c>
      <c r="G385" s="323">
        <f t="shared" si="39"/>
        <v>41836</v>
      </c>
      <c r="H385" s="256">
        <f t="shared" si="39"/>
        <v>41836</v>
      </c>
      <c r="I385" s="745"/>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c r="A386" s="145"/>
      <c r="B386" s="298" t="s">
        <v>184</v>
      </c>
      <c r="C386" s="971" t="s">
        <v>0</v>
      </c>
      <c r="D386" s="283"/>
      <c r="E386" s="283"/>
      <c r="F386" s="255">
        <f t="shared" si="38"/>
        <v>1</v>
      </c>
      <c r="G386" s="323">
        <f t="shared" si="39"/>
        <v>41836</v>
      </c>
      <c r="H386" s="256">
        <f t="shared" si="39"/>
        <v>41836</v>
      </c>
      <c r="I386" s="745"/>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c r="A387" s="145"/>
      <c r="B387" s="418" t="s">
        <v>120</v>
      </c>
      <c r="C387" s="971" t="s">
        <v>0</v>
      </c>
      <c r="D387" s="283"/>
      <c r="E387" s="283"/>
      <c r="F387" s="255">
        <f t="shared" si="38"/>
        <v>1</v>
      </c>
      <c r="G387" s="323">
        <f t="shared" si="39"/>
        <v>41836</v>
      </c>
      <c r="H387" s="256">
        <f t="shared" si="39"/>
        <v>41836</v>
      </c>
      <c r="I387" s="745"/>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c r="A388" s="145"/>
      <c r="B388" s="418" t="s">
        <v>120</v>
      </c>
      <c r="C388" s="971" t="s">
        <v>0</v>
      </c>
      <c r="D388" s="283"/>
      <c r="E388" s="283"/>
      <c r="F388" s="255">
        <f t="shared" si="38"/>
        <v>1</v>
      </c>
      <c r="G388" s="323">
        <f t="shared" si="39"/>
        <v>41836</v>
      </c>
      <c r="H388" s="256">
        <f t="shared" si="39"/>
        <v>41836</v>
      </c>
      <c r="I388" s="745"/>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c r="A389" s="145"/>
      <c r="B389" s="418" t="s">
        <v>120</v>
      </c>
      <c r="C389" s="971" t="s">
        <v>0</v>
      </c>
      <c r="D389" s="283"/>
      <c r="E389" s="283"/>
      <c r="F389" s="255">
        <f t="shared" si="38"/>
        <v>1</v>
      </c>
      <c r="G389" s="323">
        <f t="shared" si="39"/>
        <v>41836</v>
      </c>
      <c r="H389" s="256">
        <f t="shared" si="39"/>
        <v>41836</v>
      </c>
      <c r="I389" s="745"/>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c r="A390" s="145"/>
      <c r="B390" s="418" t="s">
        <v>120</v>
      </c>
      <c r="C390" s="971" t="s">
        <v>0</v>
      </c>
      <c r="D390" s="283"/>
      <c r="E390" s="283"/>
      <c r="F390" s="255">
        <f t="shared" si="38"/>
        <v>1</v>
      </c>
      <c r="G390" s="323">
        <f t="shared" si="39"/>
        <v>41836</v>
      </c>
      <c r="H390" s="256">
        <f t="shared" si="39"/>
        <v>41836</v>
      </c>
      <c r="I390" s="745"/>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c r="A391" s="145"/>
      <c r="B391" s="444" t="s">
        <v>169</v>
      </c>
      <c r="C391" s="539" t="s">
        <v>16</v>
      </c>
      <c r="D391" s="710"/>
      <c r="E391" s="710"/>
      <c r="F391" s="324"/>
      <c r="G391" s="324"/>
      <c r="H391" s="324"/>
      <c r="I391" s="745"/>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c r="A392" s="145"/>
      <c r="B392" s="445" t="s">
        <v>121</v>
      </c>
      <c r="C392" s="971" t="s">
        <v>0</v>
      </c>
      <c r="D392" s="325"/>
      <c r="E392" s="325"/>
      <c r="F392" s="321"/>
      <c r="G392" s="321"/>
      <c r="H392" s="321"/>
      <c r="I392" s="745"/>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c r="A393" s="145"/>
      <c r="B393" s="446" t="str">
        <f>AK393</f>
        <v>* drafts optional AC.PRESENTATION.06.05.14</v>
      </c>
      <c r="C393" s="970"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1" t="s">
        <v>0</v>
      </c>
      <c r="D394" s="325"/>
      <c r="E394" s="325"/>
      <c r="F394" s="324"/>
      <c r="G394" s="324"/>
      <c r="H394" s="324"/>
      <c r="I394" s="745"/>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c r="A395" s="145"/>
      <c r="B395" s="447" t="s">
        <v>183</v>
      </c>
      <c r="C395" s="971" t="s">
        <v>0</v>
      </c>
      <c r="D395" s="283"/>
      <c r="E395" s="283"/>
      <c r="F395" s="255">
        <f>NETWORKDAYS(G395,H395,S.DDL_DEQClosed)</f>
        <v>1</v>
      </c>
      <c r="G395" s="323">
        <f t="shared" ref="G395:H399" si="43">AG395</f>
        <v>41836</v>
      </c>
      <c r="H395" s="256">
        <f t="shared" si="43"/>
        <v>41836</v>
      </c>
      <c r="I395" s="745"/>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c r="A396" s="145"/>
      <c r="B396" s="448" t="s">
        <v>216</v>
      </c>
      <c r="C396" s="971" t="s">
        <v>0</v>
      </c>
      <c r="D396" s="283"/>
      <c r="E396" s="283"/>
      <c r="F396" s="255">
        <f>NETWORKDAYS(G396,H396,S.DDL_DEQClosed)</f>
        <v>1</v>
      </c>
      <c r="G396" s="323">
        <f t="shared" si="43"/>
        <v>41836</v>
      </c>
      <c r="H396" s="256">
        <f t="shared" si="43"/>
        <v>41836</v>
      </c>
      <c r="I396" s="745"/>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c r="A397" s="145"/>
      <c r="B397" s="449" t="str">
        <f>AK397</f>
        <v>Brian submits Web Request to post materials</v>
      </c>
      <c r="C397" s="972" t="str">
        <f>HYPERLINK("http://deq05/intranet/communication/WebRequests.htm","i")</f>
        <v>i</v>
      </c>
      <c r="D397" s="283"/>
      <c r="E397" s="283"/>
      <c r="F397" s="255">
        <f>NETWORKDAYS(G397,H397,S.DDL_DEQClosed)</f>
        <v>1</v>
      </c>
      <c r="G397" s="323">
        <f t="shared" si="43"/>
        <v>41836</v>
      </c>
      <c r="H397" s="256">
        <f t="shared" si="43"/>
        <v>41836</v>
      </c>
      <c r="I397" s="745"/>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 submits Web Request to post materials</v>
      </c>
      <c r="AL397" s="76"/>
    </row>
    <row r="398" spans="1:38" s="23" customFormat="1" ht="14.1" hidden="1" customHeight="1" outlineLevel="2">
      <c r="A398" s="145"/>
      <c r="B398" s="448" t="s">
        <v>124</v>
      </c>
      <c r="C398" s="971" t="s">
        <v>0</v>
      </c>
      <c r="D398" s="283"/>
      <c r="E398" s="283"/>
      <c r="F398" s="255">
        <f>NETWORKDAYS(G398,H398,S.DDL_DEQClosed)</f>
        <v>1</v>
      </c>
      <c r="G398" s="323">
        <f t="shared" si="43"/>
        <v>41836</v>
      </c>
      <c r="H398" s="256">
        <f t="shared" si="43"/>
        <v>41836</v>
      </c>
      <c r="I398" s="745"/>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c r="A399" s="145"/>
      <c r="B399" s="343" t="str">
        <f>AK399</f>
        <v>Brian sends meeting notice with link to Web page</v>
      </c>
      <c r="C399" s="971" t="s">
        <v>0</v>
      </c>
      <c r="D399" s="283"/>
      <c r="E399" s="283"/>
      <c r="F399" s="255">
        <f>NETWORKDAYS(G399,H399,S.DDL_DEQClosed)</f>
        <v>1</v>
      </c>
      <c r="G399" s="323">
        <f t="shared" si="43"/>
        <v>41836</v>
      </c>
      <c r="H399" s="256">
        <f t="shared" si="43"/>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 sends meeting notice with link to Web page</v>
      </c>
      <c r="AL399" s="76"/>
    </row>
    <row r="400" spans="1:38" s="23" customFormat="1" ht="14.1" hidden="1" customHeight="1" outlineLevel="2">
      <c r="A400" s="145"/>
      <c r="B400" s="419" t="s">
        <v>122</v>
      </c>
      <c r="C400" s="971" t="s">
        <v>0</v>
      </c>
      <c r="D400" s="1040" t="s">
        <v>219</v>
      </c>
      <c r="E400" s="1040"/>
      <c r="F400" s="1040"/>
      <c r="G400" s="1041"/>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Brian drafts AC.MINUTES06.05.14</v>
      </c>
      <c r="C401" s="970"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 drafts AC.MINUTES06.05.14</v>
      </c>
      <c r="AL401" s="76"/>
    </row>
    <row r="402" spans="1:38" s="23" customFormat="1" ht="14.1" hidden="1" customHeight="1" outlineLevel="2" thickBot="1">
      <c r="A402" s="145"/>
      <c r="B402" s="419" t="s">
        <v>123</v>
      </c>
      <c r="C402" s="971"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39" t="s">
        <v>206</v>
      </c>
      <c r="D403" s="711"/>
      <c r="E403" s="711"/>
      <c r="F403" s="306"/>
      <c r="G403" s="252">
        <f>AG403</f>
        <v>41850</v>
      </c>
      <c r="H403" s="366" t="s">
        <v>50</v>
      </c>
      <c r="I403" s="745"/>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c r="A405" s="145"/>
      <c r="B405" s="284" t="str">
        <f>AK405</f>
        <v>Brian coordinates or drafts:</v>
      </c>
      <c r="C405" s="258"/>
      <c r="D405" s="708"/>
      <c r="E405" s="708"/>
      <c r="F405" s="262"/>
      <c r="G405" s="258"/>
      <c r="H405" s="300"/>
      <c r="I405" s="745"/>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5"/>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5"/>
        <v>1</v>
      </c>
      <c r="G407" s="323">
        <f t="shared" si="46"/>
        <v>41836</v>
      </c>
      <c r="H407" s="256">
        <f t="shared" si="46"/>
        <v>41836</v>
      </c>
      <c r="I407" s="745"/>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09"/>
      <c r="E408" s="709"/>
      <c r="F408" s="255">
        <f t="shared" si="45"/>
        <v>1</v>
      </c>
      <c r="G408" s="323">
        <f t="shared" si="46"/>
        <v>41836</v>
      </c>
      <c r="H408" s="256">
        <f t="shared" si="46"/>
        <v>41836</v>
      </c>
      <c r="I408" s="745"/>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c r="A409" s="145"/>
      <c r="B409" s="298" t="s">
        <v>184</v>
      </c>
      <c r="C409" s="268" t="s">
        <v>0</v>
      </c>
      <c r="D409" s="283"/>
      <c r="E409" s="283"/>
      <c r="F409" s="255">
        <f t="shared" si="45"/>
        <v>1</v>
      </c>
      <c r="G409" s="323">
        <f t="shared" si="46"/>
        <v>41836</v>
      </c>
      <c r="H409" s="256">
        <f t="shared" si="46"/>
        <v>41836</v>
      </c>
      <c r="I409" s="745"/>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c r="A410" s="145"/>
      <c r="B410" s="418" t="s">
        <v>120</v>
      </c>
      <c r="C410" s="268" t="s">
        <v>0</v>
      </c>
      <c r="D410" s="283"/>
      <c r="E410" s="283"/>
      <c r="F410" s="255">
        <f t="shared" si="45"/>
        <v>1</v>
      </c>
      <c r="G410" s="323">
        <f t="shared" si="46"/>
        <v>41836</v>
      </c>
      <c r="H410" s="256">
        <f t="shared" si="46"/>
        <v>41836</v>
      </c>
      <c r="I410" s="745"/>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c r="A411" s="145"/>
      <c r="B411" s="418" t="s">
        <v>120</v>
      </c>
      <c r="C411" s="268" t="s">
        <v>0</v>
      </c>
      <c r="D411" s="283"/>
      <c r="E411" s="283"/>
      <c r="F411" s="255">
        <f t="shared" si="45"/>
        <v>1</v>
      </c>
      <c r="G411" s="323">
        <f t="shared" si="46"/>
        <v>41836</v>
      </c>
      <c r="H411" s="256">
        <f t="shared" si="46"/>
        <v>41836</v>
      </c>
      <c r="I411" s="745"/>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c r="A412" s="145"/>
      <c r="B412" s="418" t="s">
        <v>120</v>
      </c>
      <c r="C412" s="268" t="s">
        <v>0</v>
      </c>
      <c r="D412" s="283"/>
      <c r="E412" s="283"/>
      <c r="F412" s="255">
        <f t="shared" si="45"/>
        <v>1</v>
      </c>
      <c r="G412" s="323">
        <f t="shared" si="46"/>
        <v>41836</v>
      </c>
      <c r="H412" s="256">
        <f t="shared" si="46"/>
        <v>41836</v>
      </c>
      <c r="I412" s="745"/>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c r="A413" s="145"/>
      <c r="B413" s="418" t="s">
        <v>120</v>
      </c>
      <c r="C413" s="268" t="s">
        <v>0</v>
      </c>
      <c r="D413" s="283"/>
      <c r="E413" s="283"/>
      <c r="F413" s="255">
        <f t="shared" si="45"/>
        <v>1</v>
      </c>
      <c r="G413" s="323">
        <f t="shared" si="46"/>
        <v>41836</v>
      </c>
      <c r="H413" s="256">
        <f t="shared" si="46"/>
        <v>41836</v>
      </c>
      <c r="I413" s="745"/>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c r="A414" s="145"/>
      <c r="B414" s="444" t="s">
        <v>169</v>
      </c>
      <c r="C414" s="539" t="s">
        <v>16</v>
      </c>
      <c r="D414" s="710"/>
      <c r="E414" s="710"/>
      <c r="F414" s="324"/>
      <c r="G414" s="324"/>
      <c r="H414" s="324"/>
      <c r="I414" s="745"/>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5"/>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5"/>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0">AG418</f>
        <v>41836</v>
      </c>
      <c r="H418" s="256">
        <f t="shared" si="50"/>
        <v>41836</v>
      </c>
      <c r="I418" s="745"/>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0"/>
        <v>41836</v>
      </c>
      <c r="H419" s="256">
        <f t="shared" si="50"/>
        <v>41836</v>
      </c>
      <c r="I419" s="745"/>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c r="A420" s="145"/>
      <c r="B420" s="449" t="str">
        <f>AK420</f>
        <v>Brian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5"/>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0"/>
        <v>41836</v>
      </c>
      <c r="H421" s="256">
        <f t="shared" si="50"/>
        <v>41836</v>
      </c>
      <c r="I421" s="745"/>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c r="A422" s="145"/>
      <c r="B422" s="343" t="str">
        <f>AK422</f>
        <v>Brian sends meeting notice with link to Web page</v>
      </c>
      <c r="C422" s="268" t="s">
        <v>0</v>
      </c>
      <c r="D422" s="283"/>
      <c r="E422" s="283"/>
      <c r="F422" s="255">
        <f>NETWORKDAYS(G422,H422,S.DDL_DEQClosed)</f>
        <v>1</v>
      </c>
      <c r="G422" s="323">
        <f t="shared" si="50"/>
        <v>41836</v>
      </c>
      <c r="H422" s="256">
        <f t="shared" si="50"/>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 sends meeting notice with link to Web page</v>
      </c>
      <c r="AL422" s="76"/>
    </row>
    <row r="423" spans="1:38" s="23" customFormat="1" ht="14.1" hidden="1" customHeight="1" outlineLevel="2">
      <c r="A423" s="145"/>
      <c r="B423" s="419" t="s">
        <v>122</v>
      </c>
      <c r="C423" s="268" t="s">
        <v>0</v>
      </c>
      <c r="D423" s="1040" t="s">
        <v>217</v>
      </c>
      <c r="E423" s="1040"/>
      <c r="F423" s="1040"/>
      <c r="G423" s="1041"/>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Brian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39" t="s">
        <v>206</v>
      </c>
      <c r="D426" s="711"/>
      <c r="E426" s="711"/>
      <c r="F426" s="306"/>
      <c r="G426" s="252">
        <f>AG426</f>
        <v>41850</v>
      </c>
      <c r="H426" s="326" t="s">
        <v>50</v>
      </c>
      <c r="I426" s="745"/>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c r="A428" s="145"/>
      <c r="B428" s="284" t="str">
        <f>AK428</f>
        <v>Brian coordinates or drafts:</v>
      </c>
      <c r="C428" s="258"/>
      <c r="D428" s="708"/>
      <c r="E428" s="708"/>
      <c r="F428" s="262"/>
      <c r="G428" s="258"/>
      <c r="H428" s="300"/>
      <c r="I428" s="745"/>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5"/>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2"/>
        <v>1</v>
      </c>
      <c r="G430" s="323">
        <f t="shared" si="53"/>
        <v>41836</v>
      </c>
      <c r="H430" s="256">
        <f t="shared" si="53"/>
        <v>41836</v>
      </c>
      <c r="I430" s="745"/>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09"/>
      <c r="E431" s="709"/>
      <c r="F431" s="255">
        <f t="shared" si="52"/>
        <v>1</v>
      </c>
      <c r="G431" s="323">
        <f t="shared" si="53"/>
        <v>41836</v>
      </c>
      <c r="H431" s="256">
        <f t="shared" si="53"/>
        <v>41836</v>
      </c>
      <c r="I431" s="745"/>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c r="A432" s="145"/>
      <c r="B432" s="298" t="s">
        <v>184</v>
      </c>
      <c r="C432" s="268" t="s">
        <v>0</v>
      </c>
      <c r="D432" s="283"/>
      <c r="E432" s="283"/>
      <c r="F432" s="255">
        <f t="shared" si="52"/>
        <v>1</v>
      </c>
      <c r="G432" s="323">
        <f t="shared" si="53"/>
        <v>41836</v>
      </c>
      <c r="H432" s="256">
        <f t="shared" si="53"/>
        <v>41836</v>
      </c>
      <c r="I432" s="745"/>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c r="A433" s="145"/>
      <c r="B433" s="418" t="s">
        <v>120</v>
      </c>
      <c r="C433" s="268" t="s">
        <v>0</v>
      </c>
      <c r="D433" s="283"/>
      <c r="E433" s="283"/>
      <c r="F433" s="255">
        <f t="shared" si="52"/>
        <v>1</v>
      </c>
      <c r="G433" s="323">
        <f t="shared" si="53"/>
        <v>41836</v>
      </c>
      <c r="H433" s="256">
        <f t="shared" si="53"/>
        <v>41836</v>
      </c>
      <c r="I433" s="745"/>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c r="A434" s="145"/>
      <c r="B434" s="418" t="s">
        <v>120</v>
      </c>
      <c r="C434" s="268" t="s">
        <v>0</v>
      </c>
      <c r="D434" s="283"/>
      <c r="E434" s="283"/>
      <c r="F434" s="255">
        <f t="shared" si="52"/>
        <v>1</v>
      </c>
      <c r="G434" s="323">
        <f t="shared" si="53"/>
        <v>41836</v>
      </c>
      <c r="H434" s="256">
        <f t="shared" si="53"/>
        <v>41836</v>
      </c>
      <c r="I434" s="745"/>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c r="A435" s="145"/>
      <c r="B435" s="418" t="s">
        <v>120</v>
      </c>
      <c r="C435" s="268" t="s">
        <v>0</v>
      </c>
      <c r="D435" s="283"/>
      <c r="E435" s="283"/>
      <c r="F435" s="255">
        <f t="shared" si="52"/>
        <v>1</v>
      </c>
      <c r="G435" s="323">
        <f t="shared" si="53"/>
        <v>41836</v>
      </c>
      <c r="H435" s="256">
        <f t="shared" si="53"/>
        <v>41836</v>
      </c>
      <c r="I435" s="745"/>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c r="A436" s="145"/>
      <c r="B436" s="418" t="s">
        <v>120</v>
      </c>
      <c r="C436" s="268" t="s">
        <v>0</v>
      </c>
      <c r="D436" s="283"/>
      <c r="E436" s="283"/>
      <c r="F436" s="255">
        <f t="shared" si="52"/>
        <v>1</v>
      </c>
      <c r="G436" s="323">
        <f t="shared" si="53"/>
        <v>41836</v>
      </c>
      <c r="H436" s="256">
        <f t="shared" si="53"/>
        <v>41836</v>
      </c>
      <c r="I436" s="745"/>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c r="A437" s="145"/>
      <c r="B437" s="444" t="s">
        <v>169</v>
      </c>
      <c r="C437" s="539" t="s">
        <v>16</v>
      </c>
      <c r="D437" s="710"/>
      <c r="E437" s="710"/>
      <c r="F437" s="324"/>
      <c r="G437" s="324"/>
      <c r="H437" s="324"/>
      <c r="I437" s="745"/>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5"/>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5"/>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7">AG441</f>
        <v>41836</v>
      </c>
      <c r="H441" s="256">
        <f t="shared" si="57"/>
        <v>41836</v>
      </c>
      <c r="I441" s="745"/>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7"/>
        <v>41836</v>
      </c>
      <c r="H442" s="256">
        <f t="shared" si="57"/>
        <v>41836</v>
      </c>
      <c r="I442" s="745"/>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c r="A443" s="145"/>
      <c r="B443" s="449" t="str">
        <f>AK443</f>
        <v>Brian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5"/>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7"/>
        <v>41836</v>
      </c>
      <c r="H444" s="256">
        <f t="shared" si="57"/>
        <v>41836</v>
      </c>
      <c r="I444" s="745"/>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c r="A445" s="145"/>
      <c r="B445" s="343" t="str">
        <f>AK445</f>
        <v>Brian sends meeting notice with link to Web page</v>
      </c>
      <c r="C445" s="268" t="s">
        <v>0</v>
      </c>
      <c r="D445" s="283"/>
      <c r="E445" s="283"/>
      <c r="F445" s="255">
        <f>NETWORKDAYS(G445,H445,S.DDL_DEQClosed)</f>
        <v>1</v>
      </c>
      <c r="G445" s="323">
        <f t="shared" si="57"/>
        <v>41836</v>
      </c>
      <c r="H445" s="256">
        <f t="shared" si="57"/>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 sends meeting notice with link to Web page</v>
      </c>
      <c r="AL445" s="76"/>
    </row>
    <row r="446" spans="1:38" s="23" customFormat="1" ht="14.1" hidden="1" customHeight="1" outlineLevel="2">
      <c r="A446" s="145"/>
      <c r="B446" s="419" t="s">
        <v>122</v>
      </c>
      <c r="C446" s="268" t="s">
        <v>0</v>
      </c>
      <c r="D446" s="1040" t="s">
        <v>218</v>
      </c>
      <c r="E446" s="1040"/>
      <c r="F446" s="1040"/>
      <c r="G446" s="1041"/>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Brian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Brian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 gathers all advisory committee emails for the Rule Record and saves as:</v>
      </c>
      <c r="AL449" s="76"/>
    </row>
    <row r="450" spans="1:39" s="23" customFormat="1" ht="14.1" hidden="1" customHeight="1" outlineLevel="1">
      <c r="A450" s="145"/>
      <c r="B450" s="277" t="s">
        <v>134</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customHeight="1">
      <c r="A452" s="145"/>
      <c r="B452" s="1030" t="str">
        <f>AK14</f>
        <v>Fees - not involved</v>
      </c>
      <c r="C452" s="1030"/>
      <c r="D452" s="1030"/>
      <c r="E452" s="1030"/>
      <c r="F452" s="1030"/>
      <c r="G452" s="1030"/>
      <c r="H452" s="1030"/>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5"/>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59</v>
      </c>
      <c r="AG454" s="60">
        <f>G14</f>
        <v>0</v>
      </c>
      <c r="AH454" s="60">
        <f>IF(S.Fee.Involved="N",,S.Notice.SubmitToSOS)</f>
        <v>0</v>
      </c>
      <c r="AI454" s="59"/>
      <c r="AJ454" s="59"/>
      <c r="AK454" s="66"/>
      <c r="AL454" s="76"/>
      <c r="AM454"/>
    </row>
    <row r="455" spans="1:39" ht="6" hidden="1" customHeight="1" outlineLevel="1">
      <c r="A455" s="145"/>
      <c r="B455" s="106"/>
      <c r="C455" s="98"/>
      <c r="D455" s="691"/>
      <c r="E455" s="691"/>
      <c r="F455" s="99"/>
      <c r="G455" s="98"/>
      <c r="H455" s="98"/>
      <c r="I455" s="745"/>
      <c r="AF455" s="362" t="s">
        <v>16</v>
      </c>
      <c r="AG455" s="47"/>
      <c r="AH455" s="47"/>
      <c r="AI455" s="59"/>
      <c r="AJ455" s="59"/>
      <c r="AK455" s="62"/>
      <c r="AL455" s="76"/>
      <c r="AM455"/>
    </row>
    <row r="456" spans="1:39" s="23" customFormat="1" ht="14.1" hidden="1" customHeight="1" outlineLevel="1">
      <c r="A456" s="145"/>
      <c r="B456" s="538" t="s">
        <v>307</v>
      </c>
      <c r="C456" s="512" t="str">
        <f>HYPERLINK("\\deqhq1\Rule_Resources\i\0-VersionHistory.pdf","i")</f>
        <v>i</v>
      </c>
      <c r="D456" s="692"/>
      <c r="E456" s="692"/>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Brian:</v>
      </c>
      <c r="C457" s="196"/>
      <c r="D457" s="706"/>
      <c r="E457" s="706"/>
      <c r="F457" s="191"/>
      <c r="G457" s="192"/>
      <c r="H457" s="193"/>
      <c r="I457" s="745"/>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7">
        <f>NETWORKDAYS(G458,H458,S.DDL_DEQClosed)</f>
        <v>0</v>
      </c>
      <c r="G458" s="525">
        <f>AG458</f>
        <v>0</v>
      </c>
      <c r="H458" s="525">
        <f>AH458</f>
        <v>0</v>
      </c>
      <c r="I458" s="745"/>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6"/>
      <c r="E459" s="706"/>
      <c r="F459" s="578"/>
      <c r="G459" s="580"/>
      <c r="H459" s="579"/>
      <c r="I459" s="745"/>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c r="A460" s="145"/>
      <c r="B460" s="431" t="str">
        <f>AK460</f>
        <v xml:space="preserve"> blank row</v>
      </c>
      <c r="C460" s="546" t="s">
        <v>0</v>
      </c>
      <c r="D460" s="283"/>
      <c r="E460" s="750"/>
      <c r="F460" s="501"/>
      <c r="G460" s="501"/>
      <c r="H460" s="581"/>
      <c r="I460" s="745"/>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6" t="s">
        <v>0</v>
      </c>
      <c r="D461" s="283"/>
      <c r="E461" s="750"/>
      <c r="F461" s="501"/>
      <c r="G461" s="501"/>
      <c r="H461" s="581"/>
      <c r="I461" s="745"/>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1"/>
      <c r="I462" s="745"/>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2"/>
      <c r="I463" s="745"/>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7" t="s">
        <v>0</v>
      </c>
      <c r="D464" s="283"/>
      <c r="E464" s="283"/>
      <c r="F464" s="577">
        <f>NETWORKDAYS(G464,H464,S.DDL_DEQClosed)</f>
        <v>4</v>
      </c>
      <c r="G464" s="525">
        <f>AG464</f>
        <v>0</v>
      </c>
      <c r="H464" s="525">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6" t="s">
        <v>351</v>
      </c>
      <c r="C465" s="321"/>
      <c r="D465" s="712"/>
      <c r="E465" s="712"/>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9">AK466</f>
        <v>* initiates DavidC's Fee Approval Packet review, addresses suggestions</v>
      </c>
      <c r="C466" s="547"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c r="A467" s="145"/>
      <c r="B467" s="342" t="str">
        <f t="shared" si="59"/>
        <v>1st loop of DavidC's Fee Approval Packet review and approval</v>
      </c>
      <c r="C467" s="548"/>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c r="A468" s="145"/>
      <c r="B468" s="359" t="str">
        <f t="shared" si="59"/>
        <v>2nd loop of DavidC's Fee Approval Packet review and approval</v>
      </c>
      <c r="C468" s="481" t="s">
        <v>206</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c r="A469" s="145"/>
      <c r="B469" s="339" t="str">
        <f t="shared" si="59"/>
        <v>3rd loop of DavidC's Fee Approval Packet review and approval</v>
      </c>
      <c r="C469" s="539" t="s">
        <v>206</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c r="A470" s="145"/>
      <c r="B470" s="441" t="str">
        <f t="shared" si="59"/>
        <v>4th loop of DavidC's Fee Approval Packet review and approval</v>
      </c>
      <c r="C470" s="539" t="s">
        <v>206</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c r="A471" s="145"/>
      <c r="B471" s="267" t="str">
        <f t="shared" si="59"/>
        <v>AndreaG coordinates:</v>
      </c>
      <c r="C471" s="268"/>
      <c r="D471" s="268"/>
      <c r="E471" s="268"/>
      <c r="F471" s="262"/>
      <c r="G471" s="258"/>
      <c r="H471" s="258"/>
      <c r="I471" s="745"/>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125</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5"/>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5"/>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c r="A475" s="145"/>
      <c r="B475" s="203" t="s">
        <v>221</v>
      </c>
      <c r="C475" s="282" t="s">
        <v>0</v>
      </c>
      <c r="D475" s="283"/>
      <c r="E475" s="750"/>
      <c r="F475"/>
      <c r="G475"/>
      <c r="H475" s="256">
        <f t="shared" ref="H475:H482" si="61">AH475</f>
        <v>0</v>
      </c>
      <c r="I475" s="745"/>
      <c r="AF475" s="361">
        <f t="shared" si="60"/>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2">AK476</f>
        <v>DAS sends Brian response</v>
      </c>
      <c r="C476" s="282" t="s">
        <v>0</v>
      </c>
      <c r="D476" s="283"/>
      <c r="E476" s="750"/>
      <c r="F476"/>
      <c r="G476"/>
      <c r="H476" s="265">
        <f t="shared" si="61"/>
        <v>0</v>
      </c>
      <c r="I476" s="745"/>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 response</v>
      </c>
      <c r="AL476" s="76"/>
    </row>
    <row r="477" spans="1:39" s="23" customFormat="1" ht="14.1" hidden="1" customHeight="1" outlineLevel="1">
      <c r="A477" s="145"/>
      <c r="B477" s="204" t="str">
        <f t="shared" si="62"/>
        <v>If denied, Brian coordinates addressing DAS response</v>
      </c>
      <c r="C477" s="282" t="s">
        <v>0</v>
      </c>
      <c r="D477" s="283"/>
      <c r="E477" s="283"/>
      <c r="F477" s="261">
        <f>NETWORKDAYS(G477,H477,S.DDL_DEQClosed)</f>
        <v>0</v>
      </c>
      <c r="G477" s="256">
        <f t="shared" ref="G477:G482" si="63">AG477</f>
        <v>0</v>
      </c>
      <c r="H477" s="263">
        <f t="shared" si="61"/>
        <v>0</v>
      </c>
      <c r="I477" s="745"/>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 coordinates addressing DAS response</v>
      </c>
      <c r="AL477" s="76"/>
    </row>
    <row r="478" spans="1:39" ht="14.1" hidden="1" customHeight="1" outlineLevel="1" thickBot="1">
      <c r="A478" s="145"/>
      <c r="B478" s="342" t="str">
        <f t="shared" si="62"/>
        <v>1st loop of DavidC's approval of response to DAS denial</v>
      </c>
      <c r="C478" s="541" t="s">
        <v>0</v>
      </c>
      <c r="D478" s="283"/>
      <c r="E478" s="283"/>
      <c r="F478" s="261">
        <f>NETWORKDAYS(G478,H478,S.DDL_DEQClosed)</f>
        <v>0</v>
      </c>
      <c r="G478" s="256">
        <f t="shared" si="63"/>
        <v>0</v>
      </c>
      <c r="H478" s="256">
        <f t="shared" si="61"/>
        <v>0</v>
      </c>
      <c r="I478" s="745"/>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c r="A479" s="145"/>
      <c r="B479" s="359" t="str">
        <f t="shared" si="62"/>
        <v>2nd loop of DavidC's approval of response to DAS denial</v>
      </c>
      <c r="C479" s="481" t="s">
        <v>206</v>
      </c>
      <c r="D479" s="283"/>
      <c r="E479" s="283"/>
      <c r="F479" s="261">
        <f>NETWORKDAYS(G479,H479,S.DDL_DEQClosed)</f>
        <v>0</v>
      </c>
      <c r="G479" s="256">
        <f t="shared" si="63"/>
        <v>0</v>
      </c>
      <c r="H479" s="256">
        <f t="shared" si="61"/>
        <v>0</v>
      </c>
      <c r="I479" s="745"/>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c r="A480" s="145"/>
      <c r="B480" s="339" t="str">
        <f t="shared" si="62"/>
        <v>3rd loop of DavidC's approval of response to DAS denial</v>
      </c>
      <c r="C480" s="481" t="s">
        <v>206</v>
      </c>
      <c r="D480" s="283"/>
      <c r="E480" s="283"/>
      <c r="F480" s="261">
        <f>NETWORKDAYS(G480,H480,S.DDL_DEQClosed)</f>
        <v>0</v>
      </c>
      <c r="G480" s="256">
        <f t="shared" si="63"/>
        <v>0</v>
      </c>
      <c r="H480" s="256">
        <f t="shared" si="61"/>
        <v>0</v>
      </c>
      <c r="I480" s="745"/>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c r="A481" s="145"/>
      <c r="B481" s="441" t="str">
        <f t="shared" si="62"/>
        <v>4th loop of DavidC's approval of response to DAS denial</v>
      </c>
      <c r="C481" s="481" t="s">
        <v>206</v>
      </c>
      <c r="D481" s="283"/>
      <c r="E481" s="283"/>
      <c r="F481" s="261">
        <f>NETWORKDAYS(G481,H481,S.DDL_DEQClosed)</f>
        <v>0</v>
      </c>
      <c r="G481" s="256">
        <f t="shared" si="63"/>
        <v>0</v>
      </c>
      <c r="H481" s="256">
        <f t="shared" si="61"/>
        <v>0</v>
      </c>
      <c r="I481" s="745"/>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c r="A482" s="145"/>
      <c r="B482" s="276" t="str">
        <f t="shared" si="62"/>
        <v>If approved, Brian scans and files DAS.PART1.pdf</v>
      </c>
      <c r="C482" s="282" t="s">
        <v>0</v>
      </c>
      <c r="D482" s="283"/>
      <c r="E482" s="750"/>
      <c r="F482"/>
      <c r="G482" s="558">
        <f t="shared" si="63"/>
        <v>0</v>
      </c>
      <c r="H482" s="265">
        <f t="shared" si="61"/>
        <v>0</v>
      </c>
      <c r="I482" s="745"/>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 scans and files DAS.PART1.pdf</v>
      </c>
      <c r="AL482" s="76"/>
    </row>
    <row r="483" spans="1:39" s="23" customFormat="1" ht="14.1" hidden="1" customHeight="1" outlineLevel="1">
      <c r="A483" s="145"/>
      <c r="B483" s="273" t="s">
        <v>127</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Brian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customHeight="1">
      <c r="A487" s="145"/>
      <c r="B487" s="1004" t="str">
        <f>AK22</f>
        <v>Public Notice</v>
      </c>
      <c r="C487" s="1004"/>
      <c r="D487" s="1004"/>
      <c r="E487" s="1004"/>
      <c r="F487" s="1004"/>
      <c r="G487" s="1004"/>
      <c r="H487" s="1004"/>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74" t="str">
        <f>S.General.CodeName</f>
        <v>GPLMP</v>
      </c>
      <c r="C488" s="86" t="s">
        <v>0</v>
      </c>
      <c r="D488" s="171"/>
      <c r="E488" s="171"/>
      <c r="F488" s="171"/>
      <c r="G488" s="375" t="s">
        <v>57</v>
      </c>
      <c r="H488" s="375" t="s">
        <v>172</v>
      </c>
      <c r="I488" s="745"/>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1021" t="s">
        <v>0</v>
      </c>
      <c r="C489" s="1021"/>
      <c r="D489" s="1021"/>
      <c r="E489" s="1021"/>
      <c r="F489" s="1021"/>
      <c r="G489" s="175">
        <f>AG489</f>
        <v>41820</v>
      </c>
      <c r="H489" s="126">
        <f>AH489</f>
        <v>42024</v>
      </c>
      <c r="I489" s="745"/>
      <c r="AF489" s="361">
        <f>IF(S.Notice.Involved="Y",1,0)</f>
        <v>1</v>
      </c>
      <c r="AG489" s="60">
        <f>S.Notice.BANNER.Begin</f>
        <v>41820</v>
      </c>
      <c r="AH489" s="60">
        <f>S.Notice.BANNER.End</f>
        <v>42024</v>
      </c>
      <c r="AI489" s="59"/>
      <c r="AJ489" s="59"/>
      <c r="AK489" s="62"/>
      <c r="AL489" s="76"/>
      <c r="AM489"/>
    </row>
    <row r="490" spans="1:39" ht="6" customHeight="1">
      <c r="A490" s="145">
        <v>111</v>
      </c>
      <c r="B490" s="124"/>
      <c r="C490" s="98"/>
      <c r="D490" s="691"/>
      <c r="E490" s="691"/>
      <c r="F490" s="99"/>
      <c r="G490" s="98"/>
      <c r="H490" s="98"/>
      <c r="I490" s="745"/>
      <c r="AF490" s="361" t="s">
        <v>0</v>
      </c>
      <c r="AG490" s="47"/>
      <c r="AH490" s="47"/>
      <c r="AI490" s="47"/>
      <c r="AJ490" s="44"/>
      <c r="AK490" s="44"/>
      <c r="AL490" s="76"/>
      <c r="AM490"/>
    </row>
    <row r="491" spans="1:39" s="23" customFormat="1" ht="14.1" customHeight="1">
      <c r="A491" s="145"/>
      <c r="B491" s="538" t="s">
        <v>780</v>
      </c>
      <c r="C491" s="512" t="str">
        <f>HYPERLINK("\\deqhq1\Rule_Resources\i\0-VersionHistory.pdf","i")</f>
        <v>i</v>
      </c>
      <c r="D491" s="692"/>
      <c r="E491" s="692"/>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572</v>
      </c>
      <c r="D492" s="705"/>
      <c r="E492" s="705"/>
      <c r="I492" s="745"/>
      <c r="AF492" s="361">
        <f t="shared" ref="AF492:AF510" si="65">IF(S.Notice.Involved="Y",1,0)</f>
        <v>1</v>
      </c>
      <c r="AG492" s="59"/>
      <c r="AH492" s="59"/>
      <c r="AI492" s="59"/>
      <c r="AJ492" s="62"/>
      <c r="AK492" s="346"/>
      <c r="AL492" s="76"/>
    </row>
    <row r="493" spans="1:39" ht="14.1" customHeight="1">
      <c r="A493" s="145"/>
      <c r="B493" s="221" t="str">
        <f>AK493</f>
        <v>Brian leads drafting of Notice Packet with core team</v>
      </c>
      <c r="C493" s="545" t="s">
        <v>0</v>
      </c>
      <c r="D493" s="714"/>
      <c r="E493" s="886"/>
      <c r="F493" s="23"/>
      <c r="G493" s="938">
        <f t="shared" ref="G493" si="66">AG493</f>
        <v>41820</v>
      </c>
      <c r="H493" s="939">
        <f t="shared" ref="H493" si="67">AH493</f>
        <v>41939</v>
      </c>
      <c r="I493" s="745"/>
      <c r="AF493" s="361">
        <f t="shared" si="65"/>
        <v>1</v>
      </c>
      <c r="AG493" s="566">
        <f>IF(AF493=0,,S.Notice.BANNER.Begin)</f>
        <v>41820</v>
      </c>
      <c r="AH493" s="566">
        <f>IF(AF493=0,,WORKDAY(S.Notice.Submit.ToSponsoringMgr-1,-1,S.DDL_DEQClosed))</f>
        <v>41939</v>
      </c>
      <c r="AI493" s="47"/>
      <c r="AJ493" s="44"/>
      <c r="AK493" s="182" t="str">
        <f>S.Staff.Subject.Expert.FirstName&amp;" leads drafting of Notice Packet with core team"</f>
        <v>Brian leads drafting of Notice Packet with core team</v>
      </c>
      <c r="AL493" s="76"/>
      <c r="AM493"/>
    </row>
    <row r="494" spans="1:39" s="23" customFormat="1" ht="14.1" customHeight="1" outlineLevel="1">
      <c r="A494" s="145"/>
      <c r="B494" s="751" t="s">
        <v>573</v>
      </c>
      <c r="D494" s="705"/>
      <c r="E494" s="705"/>
      <c r="G494" s="940"/>
      <c r="H494" s="941"/>
      <c r="I494" s="745"/>
      <c r="AF494" s="361">
        <f t="shared" si="65"/>
        <v>1</v>
      </c>
      <c r="AG494" s="59"/>
      <c r="AH494" s="59"/>
      <c r="AI494" s="59"/>
      <c r="AJ494" s="62"/>
      <c r="AK494" s="346"/>
      <c r="AL494" s="76"/>
    </row>
    <row r="495" spans="1:39" s="23" customFormat="1" ht="14.1" customHeight="1" outlineLevel="1">
      <c r="A495" s="145"/>
      <c r="B495" s="424" t="s">
        <v>591</v>
      </c>
      <c r="D495" s="705"/>
      <c r="E495" s="705"/>
      <c r="G495" s="940"/>
      <c r="H495" s="941"/>
      <c r="I495" s="745"/>
      <c r="AF495" s="361">
        <f t="shared" si="65"/>
        <v>1</v>
      </c>
      <c r="AG495" s="59"/>
      <c r="AH495" s="59"/>
      <c r="AI495" s="59"/>
      <c r="AJ495" s="62"/>
      <c r="AK495" s="346"/>
      <c r="AL495" s="76"/>
    </row>
    <row r="496" spans="1:39" s="23" customFormat="1" ht="14.1" customHeight="1" outlineLevel="1">
      <c r="A496" s="145"/>
      <c r="B496" s="220" t="s">
        <v>579</v>
      </c>
      <c r="C496" s="545" t="s">
        <v>0</v>
      </c>
      <c r="D496"/>
      <c r="F496"/>
      <c r="G496" s="940"/>
      <c r="H496" s="941"/>
      <c r="I496" s="745"/>
      <c r="AF496" s="361">
        <f t="shared" si="65"/>
        <v>1</v>
      </c>
      <c r="AG496" s="58"/>
      <c r="AH496" s="58"/>
      <c r="AI496" s="59"/>
      <c r="AJ496" s="59"/>
      <c r="AK496" s="346"/>
      <c r="AL496" s="76"/>
    </row>
    <row r="497" spans="1:38" s="23" customFormat="1" ht="14.1" customHeight="1" outlineLevel="1">
      <c r="A497" s="145"/>
      <c r="B497" s="302" t="s">
        <v>580</v>
      </c>
      <c r="C497" s="542"/>
      <c r="D497"/>
      <c r="F497"/>
      <c r="G497" s="940"/>
      <c r="H497" s="941"/>
      <c r="I497" s="745"/>
      <c r="AF497" s="361">
        <f t="shared" si="65"/>
        <v>1</v>
      </c>
      <c r="AG497" s="58"/>
      <c r="AH497" s="58"/>
      <c r="AI497" s="59"/>
      <c r="AJ497" s="59"/>
      <c r="AK497" s="44"/>
      <c r="AL497" s="76"/>
    </row>
    <row r="498" spans="1:38" s="23" customFormat="1" ht="14.1" customHeight="1" outlineLevel="1">
      <c r="A498" s="145"/>
      <c r="B498" s="771" t="s">
        <v>616</v>
      </c>
      <c r="C498" s="282" t="s">
        <v>0</v>
      </c>
      <c r="D498"/>
      <c r="G498" s="940"/>
      <c r="H498" s="941"/>
      <c r="I498" s="745"/>
      <c r="AF498" s="361">
        <f t="shared" si="65"/>
        <v>1</v>
      </c>
      <c r="AG498" s="58"/>
      <c r="AH498" s="58"/>
      <c r="AI498" s="59"/>
      <c r="AJ498" s="59"/>
      <c r="AK498" s="44"/>
      <c r="AL498" s="76"/>
    </row>
    <row r="499" spans="1:38" s="23" customFormat="1" ht="14.1" customHeight="1" outlineLevel="1">
      <c r="A499" s="145"/>
      <c r="B499" s="771" t="s">
        <v>617</v>
      </c>
      <c r="C499" s="282" t="s">
        <v>0</v>
      </c>
      <c r="D499"/>
      <c r="G499" s="940"/>
      <c r="H499" s="941"/>
      <c r="I499" s="745"/>
      <c r="AF499" s="361">
        <f t="shared" si="65"/>
        <v>1</v>
      </c>
      <c r="AG499" s="58"/>
      <c r="AH499" s="58"/>
      <c r="AI499" s="59"/>
      <c r="AJ499" s="59"/>
      <c r="AK499" s="44"/>
      <c r="AL499" s="76"/>
    </row>
    <row r="500" spans="1:38" s="23" customFormat="1" ht="14.1" customHeight="1" outlineLevel="1">
      <c r="A500" s="145"/>
      <c r="B500" s="771" t="s">
        <v>618</v>
      </c>
      <c r="C500" s="282" t="s">
        <v>0</v>
      </c>
      <c r="D500"/>
      <c r="G500" s="940"/>
      <c r="H500" s="941"/>
      <c r="I500" s="745"/>
      <c r="AF500" s="361">
        <f t="shared" si="65"/>
        <v>1</v>
      </c>
      <c r="AG500" s="58"/>
      <c r="AH500" s="58"/>
      <c r="AI500" s="59"/>
      <c r="AJ500" s="59"/>
      <c r="AK500" s="44"/>
      <c r="AL500" s="76"/>
    </row>
    <row r="501" spans="1:38" s="23" customFormat="1" ht="14.1" customHeight="1" outlineLevel="1">
      <c r="A501" s="145"/>
      <c r="B501" s="771" t="s">
        <v>619</v>
      </c>
      <c r="C501" s="282" t="s">
        <v>0</v>
      </c>
      <c r="G501" s="940"/>
      <c r="H501" s="941"/>
      <c r="I501" s="745"/>
      <c r="AF501" s="361">
        <f t="shared" si="65"/>
        <v>1</v>
      </c>
      <c r="AG501" s="58"/>
      <c r="AH501" s="58"/>
      <c r="AI501" s="59"/>
      <c r="AJ501" s="59"/>
      <c r="AK501" s="44"/>
      <c r="AL501" s="76"/>
    </row>
    <row r="502" spans="1:38" s="23" customFormat="1" ht="14.1" customHeight="1" outlineLevel="1">
      <c r="A502" s="145"/>
      <c r="B502" s="771" t="s">
        <v>620</v>
      </c>
      <c r="C502" s="282" t="s">
        <v>0</v>
      </c>
      <c r="G502" s="940"/>
      <c r="H502" s="941"/>
      <c r="I502" s="745"/>
      <c r="AF502" s="361">
        <f t="shared" si="65"/>
        <v>1</v>
      </c>
      <c r="AG502" s="58"/>
      <c r="AH502" s="58"/>
      <c r="AI502" s="59"/>
      <c r="AJ502" s="59"/>
      <c r="AK502" s="44"/>
      <c r="AL502" s="76"/>
    </row>
    <row r="503" spans="1:38" s="23" customFormat="1" ht="14.1" customHeight="1" outlineLevel="1">
      <c r="A503" s="145"/>
      <c r="B503" s="771" t="s">
        <v>621</v>
      </c>
      <c r="C503" s="282" t="s">
        <v>0</v>
      </c>
      <c r="D503"/>
      <c r="G503" s="940"/>
      <c r="H503" s="941"/>
      <c r="I503" s="745"/>
      <c r="AF503" s="361">
        <f t="shared" si="65"/>
        <v>1</v>
      </c>
      <c r="AG503" s="58"/>
      <c r="AH503" s="58"/>
      <c r="AI503" s="59"/>
      <c r="AJ503" s="59"/>
      <c r="AK503" s="44"/>
      <c r="AL503" s="76"/>
    </row>
    <row r="504" spans="1:38" s="23" customFormat="1" ht="14.1" customHeight="1" outlineLevel="1">
      <c r="A504" s="145"/>
      <c r="B504" s="771" t="s">
        <v>622</v>
      </c>
      <c r="C504" s="282" t="s">
        <v>0</v>
      </c>
      <c r="D504"/>
      <c r="G504" s="940"/>
      <c r="H504" s="941"/>
      <c r="I504" s="745"/>
      <c r="AF504" s="361">
        <f t="shared" si="65"/>
        <v>1</v>
      </c>
      <c r="AG504" s="58"/>
      <c r="AH504" s="566">
        <f>S.Notice.Submit.ToRG</f>
        <v>41943</v>
      </c>
      <c r="AI504" s="59"/>
      <c r="AJ504" s="59"/>
      <c r="AK504" s="44"/>
      <c r="AL504" s="76"/>
    </row>
    <row r="505" spans="1:38" s="23" customFormat="1" ht="14.1" customHeight="1" outlineLevel="1">
      <c r="A505" s="145"/>
      <c r="B505" s="772" t="s">
        <v>623</v>
      </c>
      <c r="C505" s="282" t="s">
        <v>0</v>
      </c>
      <c r="D505"/>
      <c r="G505" s="940"/>
      <c r="H505" s="941"/>
      <c r="I505" s="745"/>
      <c r="AF505" s="361">
        <f t="shared" si="65"/>
        <v>1</v>
      </c>
      <c r="AG505" s="58"/>
      <c r="AH505" s="58"/>
      <c r="AI505" s="59"/>
      <c r="AJ505" s="59"/>
      <c r="AK505" s="44"/>
      <c r="AL505" s="76"/>
    </row>
    <row r="506" spans="1:38" s="23" customFormat="1" ht="14.1" customHeight="1" outlineLevel="1">
      <c r="A506" s="145"/>
      <c r="B506" s="220" t="s">
        <v>581</v>
      </c>
      <c r="C506" s="545" t="s">
        <v>0</v>
      </c>
      <c r="D506"/>
      <c r="F506"/>
      <c r="G506" s="940"/>
      <c r="H506" s="941"/>
      <c r="I506" s="745"/>
      <c r="AF506" s="361">
        <f t="shared" si="65"/>
        <v>1</v>
      </c>
      <c r="AG506" s="58"/>
      <c r="AH506" s="58"/>
      <c r="AI506" s="59"/>
      <c r="AJ506" s="59"/>
      <c r="AK506" s="44"/>
      <c r="AL506" s="76"/>
    </row>
    <row r="507" spans="1:38" s="23" customFormat="1" ht="14.1" customHeight="1">
      <c r="A507" s="145"/>
      <c r="B507" s="267" t="str">
        <f>AK507</f>
        <v xml:space="preserve">Brian asks RESOURCES for help and input, especially: </v>
      </c>
      <c r="C507" s="268"/>
      <c r="D507" s="714"/>
      <c r="E507" s="886"/>
      <c r="F507"/>
      <c r="G507" s="942">
        <f t="shared" ref="G507:G520" si="68">AG507</f>
        <v>41820</v>
      </c>
      <c r="H507" s="943">
        <f t="shared" ref="H507:H520" si="69">AH507</f>
        <v>41939</v>
      </c>
      <c r="I507" s="745"/>
      <c r="AF507" s="361">
        <f t="shared" si="65"/>
        <v>1</v>
      </c>
      <c r="AG507" s="566">
        <f>IF(AF507=0,,S.Notice.BANNER.Begin)</f>
        <v>41820</v>
      </c>
      <c r="AH507" s="566">
        <f>IF(AF507=0,,WORKDAY(S.Notice.Submit.ToSponsoringMgr-1,-1,S.DDL_DEQClosed))</f>
        <v>41939</v>
      </c>
      <c r="AI507" s="58"/>
      <c r="AJ507" s="44"/>
      <c r="AK507" s="182" t="str">
        <f>S.Staff.Subject.Expert.FirstName&amp;" asks RESOURCES for help and input, especially: "</f>
        <v xml:space="preserve">Brian asks RESOURCES for help and input, especially: </v>
      </c>
      <c r="AL507" s="76"/>
    </row>
    <row r="508" spans="1:38" s="23" customFormat="1" ht="14.1" customHeight="1">
      <c r="A508" s="145"/>
      <c r="B508" s="806" t="s">
        <v>613</v>
      </c>
      <c r="C508" s="282" t="s">
        <v>0</v>
      </c>
      <c r="G508" s="944"/>
      <c r="H508" s="945"/>
      <c r="I508" s="745"/>
      <c r="AF508" s="361">
        <f t="shared" si="65"/>
        <v>1</v>
      </c>
      <c r="AG508" s="58"/>
      <c r="AH508" s="58"/>
      <c r="AI508" s="59"/>
      <c r="AJ508" s="59"/>
      <c r="AK508" s="44"/>
      <c r="AL508" s="76"/>
    </row>
    <row r="509" spans="1:38" s="23" customFormat="1" ht="0.75" customHeight="1">
      <c r="A509" s="145"/>
      <c r="B509" s="742" t="str">
        <f>AK509</f>
        <v>* Advisory Commiitee not involved</v>
      </c>
      <c r="C509" s="282" t="s">
        <v>0</v>
      </c>
      <c r="D509" s="713"/>
      <c r="E509" s="887"/>
      <c r="F509"/>
      <c r="G509" s="946">
        <f t="shared" si="68"/>
        <v>41820</v>
      </c>
      <c r="H509" s="947">
        <f t="shared" si="69"/>
        <v>41939</v>
      </c>
      <c r="I509" s="745"/>
      <c r="J509"/>
      <c r="K509"/>
      <c r="L509"/>
      <c r="M509"/>
      <c r="N509"/>
      <c r="O509"/>
      <c r="P509"/>
      <c r="Q509"/>
      <c r="R509"/>
      <c r="S509"/>
      <c r="T509"/>
      <c r="U509"/>
      <c r="X509"/>
      <c r="AB509"/>
      <c r="AC509"/>
      <c r="AF509" s="361">
        <f t="shared" si="65"/>
        <v>1</v>
      </c>
      <c r="AG509" s="566">
        <f>$G$507</f>
        <v>41820</v>
      </c>
      <c r="AH509" s="566">
        <f>$H$507</f>
        <v>41939</v>
      </c>
      <c r="AI509" s="59"/>
      <c r="AJ509" s="59"/>
      <c r="AK509" s="67" t="str">
        <f>IF(S.AC.CommitteeInvolved="Y","* Advisory Committee-for fiscal impact","* Advisory Commiitee not involved")</f>
        <v>* Advisory Commiitee not involved</v>
      </c>
      <c r="AL509" s="76"/>
    </row>
    <row r="510" spans="1:38" s="23" customFormat="1" ht="14.1" customHeight="1">
      <c r="A510" s="145"/>
      <c r="B510" s="320" t="s">
        <v>624</v>
      </c>
      <c r="C510" s="282" t="s">
        <v>0</v>
      </c>
      <c r="D510" s="713"/>
      <c r="E510" s="887"/>
      <c r="F510"/>
      <c r="G510" s="946">
        <f t="shared" si="68"/>
        <v>41820</v>
      </c>
      <c r="H510" s="947">
        <f t="shared" si="69"/>
        <v>41939</v>
      </c>
      <c r="I510" s="745"/>
      <c r="J510"/>
      <c r="K510"/>
      <c r="L510"/>
      <c r="M510"/>
      <c r="N510"/>
      <c r="O510"/>
      <c r="P510"/>
      <c r="Q510"/>
      <c r="R510"/>
      <c r="S510"/>
      <c r="T510"/>
      <c r="U510"/>
      <c r="X510"/>
      <c r="AB510"/>
      <c r="AC510"/>
      <c r="AF510" s="361">
        <f t="shared" si="65"/>
        <v>1</v>
      </c>
      <c r="AG510" s="566">
        <f t="shared" ref="AG510:AG512" si="70">$G$507</f>
        <v>41820</v>
      </c>
      <c r="AH510" s="566">
        <f t="shared" ref="AH510:AH512" si="71">$H$507</f>
        <v>41939</v>
      </c>
      <c r="AI510" s="59"/>
      <c r="AJ510" s="59"/>
      <c r="AK510" s="44"/>
      <c r="AL510" s="76"/>
    </row>
    <row r="511" spans="1:38" s="23" customFormat="1" ht="14.1" hidden="1" customHeight="1">
      <c r="A511" s="145"/>
      <c r="B511" s="320" t="str">
        <f t="shared" ref="B511" si="72">AK511</f>
        <v>* AndreaG, for SIP consultation</v>
      </c>
      <c r="C511" s="545" t="s">
        <v>0</v>
      </c>
      <c r="D511" s="713"/>
      <c r="E511" s="887"/>
      <c r="F511"/>
      <c r="G511" s="946">
        <f t="shared" si="68"/>
        <v>41820</v>
      </c>
      <c r="H511" s="947">
        <f t="shared" si="69"/>
        <v>41939</v>
      </c>
      <c r="I511" s="745"/>
      <c r="J511"/>
      <c r="K511"/>
      <c r="L511"/>
      <c r="M511"/>
      <c r="N511"/>
      <c r="O511"/>
      <c r="P511"/>
      <c r="Q511"/>
      <c r="R511"/>
      <c r="S511"/>
      <c r="T511"/>
      <c r="U511"/>
      <c r="X511"/>
      <c r="AB511"/>
      <c r="AC511"/>
      <c r="AF511" s="361">
        <f>IF(AND(S.SIP.Involved="Y",S.Notice.Involved="Y"),1,0)</f>
        <v>1</v>
      </c>
      <c r="AG511" s="566">
        <f t="shared" si="70"/>
        <v>41820</v>
      </c>
      <c r="AH511" s="566">
        <f t="shared" si="71"/>
        <v>41939</v>
      </c>
      <c r="AI511" s="59"/>
      <c r="AJ511" s="59"/>
      <c r="AK511" s="67" t="str">
        <f>IF(S.SIP.Involved="Y","* "&amp;S.Staff.SIPCo&amp;", for SIP consultation","* SIP not involved")</f>
        <v>* AndreaG, for SIP consultation</v>
      </c>
      <c r="AL511" s="76"/>
    </row>
    <row r="512" spans="1:38" s="23" customFormat="1" ht="14.1" customHeight="1">
      <c r="A512" s="145"/>
      <c r="B512" s="220" t="str">
        <f>AK512</f>
        <v>* DavidC for direction and subject consultation, especially to ensure drafts:</v>
      </c>
      <c r="C512" s="545" t="s">
        <v>0</v>
      </c>
      <c r="D512" s="714"/>
      <c r="E512" s="886"/>
      <c r="F512"/>
      <c r="G512" s="946">
        <f t="shared" si="68"/>
        <v>41820</v>
      </c>
      <c r="H512" s="947">
        <f t="shared" si="69"/>
        <v>41939</v>
      </c>
      <c r="I512" s="745"/>
      <c r="AF512" s="361">
        <f t="shared" ref="AF512:AF538" si="73">IF(S.Notice.Involved="Y",1,0)</f>
        <v>1</v>
      </c>
      <c r="AG512" s="566">
        <f t="shared" si="70"/>
        <v>41820</v>
      </c>
      <c r="AH512" s="566">
        <f t="shared" si="71"/>
        <v>41939</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c r="A513" s="145"/>
      <c r="B513" s="427" t="s">
        <v>629</v>
      </c>
      <c r="C513" s="282" t="s">
        <v>0</v>
      </c>
      <c r="D513"/>
      <c r="F513"/>
      <c r="G513" s="944"/>
      <c r="H513" s="945"/>
      <c r="I513" s="745"/>
      <c r="AF513" s="361">
        <f t="shared" si="73"/>
        <v>1</v>
      </c>
      <c r="AG513" s="59"/>
      <c r="AH513" s="59"/>
      <c r="AI513" s="59"/>
      <c r="AJ513" s="59"/>
      <c r="AK513" s="44"/>
      <c r="AL513" s="76"/>
    </row>
    <row r="514" spans="1:38" s="23" customFormat="1" ht="14.1" customHeight="1">
      <c r="A514" s="145"/>
      <c r="B514" s="427" t="s">
        <v>630</v>
      </c>
      <c r="C514" s="282" t="s">
        <v>0</v>
      </c>
      <c r="D514"/>
      <c r="F514"/>
      <c r="G514" s="944"/>
      <c r="H514" s="945"/>
      <c r="I514" s="745"/>
      <c r="AF514" s="361">
        <f t="shared" si="73"/>
        <v>1</v>
      </c>
      <c r="AG514" s="59"/>
      <c r="AH514" s="59"/>
      <c r="AI514" s="59"/>
      <c r="AJ514" s="59"/>
      <c r="AK514" s="44"/>
      <c r="AL514" s="76"/>
    </row>
    <row r="515" spans="1:38" s="23" customFormat="1" ht="14.1" customHeight="1">
      <c r="A515" s="145"/>
      <c r="B515" s="269" t="str">
        <f t="shared" ref="B515" si="74">AK515</f>
        <v>* AndreaG for rulemaking best practices consultation</v>
      </c>
      <c r="C515" s="268"/>
      <c r="D515" s="714"/>
      <c r="E515" s="886"/>
      <c r="F515"/>
      <c r="G515" s="946">
        <f t="shared" si="68"/>
        <v>41820</v>
      </c>
      <c r="H515" s="947">
        <f t="shared" si="69"/>
        <v>41939</v>
      </c>
      <c r="I515" s="745"/>
      <c r="AF515" s="361">
        <f t="shared" si="73"/>
        <v>1</v>
      </c>
      <c r="AG515" s="566">
        <f t="shared" ref="AG515:AG530" si="75">$G$507</f>
        <v>41820</v>
      </c>
      <c r="AH515" s="566">
        <f t="shared" ref="AH515:AH530" si="76">$H$507</f>
        <v>41939</v>
      </c>
      <c r="AI515" s="58"/>
      <c r="AJ515" s="44"/>
      <c r="AK515" s="182" t="str">
        <f>"* "&amp;S.Staff.RG.Lead.FirstName&amp;" for rulemaking best practices consultation"</f>
        <v>* AndreaG for rulemaking best practices consultation</v>
      </c>
      <c r="AL515" s="76"/>
    </row>
    <row r="516" spans="1:38" s="23" customFormat="1" ht="14.1" customHeight="1">
      <c r="A516" s="145"/>
      <c r="B516" s="269" t="str">
        <f t="shared" ref="B516" si="77">AK516</f>
        <v>-blank-</v>
      </c>
      <c r="C516" s="268"/>
      <c r="D516" s="714"/>
      <c r="E516" s="886"/>
      <c r="F516"/>
      <c r="G516" s="946">
        <f t="shared" si="68"/>
        <v>41820</v>
      </c>
      <c r="H516" s="947">
        <f t="shared" si="69"/>
        <v>41939</v>
      </c>
      <c r="I516" s="745"/>
      <c r="AF516" s="361">
        <f t="shared" si="73"/>
        <v>1</v>
      </c>
      <c r="AG516" s="566">
        <f t="shared" si="75"/>
        <v>41820</v>
      </c>
      <c r="AH516" s="566">
        <f t="shared" si="76"/>
        <v>41939</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5" t="s">
        <v>0</v>
      </c>
      <c r="D517" s="713"/>
      <c r="E517" s="887"/>
      <c r="F517"/>
      <c r="G517" s="946">
        <f t="shared" si="68"/>
        <v>41820</v>
      </c>
      <c r="H517" s="947">
        <f t="shared" si="69"/>
        <v>41939</v>
      </c>
      <c r="I517" s="745"/>
      <c r="AF517" s="361">
        <f t="shared" si="73"/>
        <v>1</v>
      </c>
      <c r="AG517" s="566">
        <f t="shared" si="75"/>
        <v>41820</v>
      </c>
      <c r="AH517" s="566">
        <f t="shared" si="76"/>
        <v>41939</v>
      </c>
      <c r="AI517" s="59"/>
      <c r="AJ517" s="59"/>
      <c r="AK517" s="67" t="str">
        <f>"* "&amp;S.Staff.AAG&amp;", if needed for legal consultation"</f>
        <v>* PaulG, if needed for legal consultation</v>
      </c>
      <c r="AL517" s="76"/>
    </row>
    <row r="518" spans="1:38" s="23" customFormat="1" ht="14.1" hidden="1" customHeight="1" outlineLevel="1">
      <c r="A518" s="145"/>
      <c r="B518" s="743" t="s">
        <v>574</v>
      </c>
      <c r="C518" s="545" t="s">
        <v>0</v>
      </c>
      <c r="D518" s="713"/>
      <c r="E518" s="887"/>
      <c r="F518"/>
      <c r="G518" s="946">
        <f t="shared" si="68"/>
        <v>41820</v>
      </c>
      <c r="H518" s="947">
        <f t="shared" si="69"/>
        <v>41939</v>
      </c>
      <c r="I518" s="745"/>
      <c r="J518"/>
      <c r="K518"/>
      <c r="L518"/>
      <c r="M518"/>
      <c r="N518"/>
      <c r="O518"/>
      <c r="P518"/>
      <c r="Q518"/>
      <c r="R518"/>
      <c r="S518"/>
      <c r="T518"/>
      <c r="U518"/>
      <c r="X518"/>
      <c r="AB518"/>
      <c r="AC518"/>
      <c r="AF518" s="361">
        <f t="shared" si="73"/>
        <v>1</v>
      </c>
      <c r="AG518" s="566">
        <f t="shared" si="75"/>
        <v>41820</v>
      </c>
      <c r="AH518" s="566">
        <f t="shared" si="76"/>
        <v>41939</v>
      </c>
      <c r="AI518" s="59"/>
      <c r="AJ518" s="59"/>
      <c r="AK518" s="44"/>
      <c r="AL518" s="76"/>
    </row>
    <row r="519" spans="1:38" s="23" customFormat="1" ht="14.1" hidden="1" customHeight="1" outlineLevel="1">
      <c r="A519" s="145"/>
      <c r="B519" s="743" t="s">
        <v>574</v>
      </c>
      <c r="C519" s="545" t="s">
        <v>0</v>
      </c>
      <c r="D519" s="713"/>
      <c r="E519" s="887"/>
      <c r="F519"/>
      <c r="G519" s="946">
        <f t="shared" si="68"/>
        <v>41820</v>
      </c>
      <c r="H519" s="947">
        <f t="shared" si="69"/>
        <v>41939</v>
      </c>
      <c r="I519" s="745"/>
      <c r="J519"/>
      <c r="K519"/>
      <c r="L519"/>
      <c r="M519"/>
      <c r="N519"/>
      <c r="O519"/>
      <c r="P519"/>
      <c r="Q519"/>
      <c r="R519"/>
      <c r="S519"/>
      <c r="T519"/>
      <c r="U519"/>
      <c r="X519"/>
      <c r="AB519"/>
      <c r="AC519"/>
      <c r="AF519" s="361">
        <f t="shared" si="73"/>
        <v>1</v>
      </c>
      <c r="AG519" s="566">
        <f t="shared" si="75"/>
        <v>41820</v>
      </c>
      <c r="AH519" s="566">
        <f t="shared" si="76"/>
        <v>41939</v>
      </c>
      <c r="AI519" s="59"/>
      <c r="AJ519" s="59"/>
      <c r="AK519" s="44"/>
      <c r="AL519" s="76"/>
    </row>
    <row r="520" spans="1:38" s="23" customFormat="1" ht="14.1" hidden="1" customHeight="1" outlineLevel="1">
      <c r="A520" s="145"/>
      <c r="B520" s="743" t="s">
        <v>574</v>
      </c>
      <c r="C520" s="545" t="s">
        <v>0</v>
      </c>
      <c r="D520" s="713"/>
      <c r="E520" s="887"/>
      <c r="F520"/>
      <c r="G520" s="946">
        <f t="shared" si="68"/>
        <v>41820</v>
      </c>
      <c r="H520" s="947">
        <f t="shared" si="69"/>
        <v>41939</v>
      </c>
      <c r="I520" s="745"/>
      <c r="J520"/>
      <c r="K520"/>
      <c r="L520"/>
      <c r="M520"/>
      <c r="N520"/>
      <c r="O520"/>
      <c r="P520"/>
      <c r="Q520"/>
      <c r="R520"/>
      <c r="S520"/>
      <c r="T520"/>
      <c r="U520"/>
      <c r="X520"/>
      <c r="AB520"/>
      <c r="AC520"/>
      <c r="AF520" s="361">
        <f t="shared" si="73"/>
        <v>1</v>
      </c>
      <c r="AG520" s="566">
        <f t="shared" si="75"/>
        <v>41820</v>
      </c>
      <c r="AH520" s="566">
        <f t="shared" si="76"/>
        <v>41939</v>
      </c>
      <c r="AI520" s="59"/>
      <c r="AJ520" s="59"/>
      <c r="AK520" s="44"/>
      <c r="AL520" s="76"/>
    </row>
    <row r="521" spans="1:38" s="23" customFormat="1" ht="14.1" customHeight="1" collapsed="1" thickBot="1">
      <c r="A521" s="145"/>
      <c r="B521" s="267" t="str">
        <f t="shared" ref="B521" si="78">AK521</f>
        <v>Brian continually refines draft Notice Packet to consider RESOURCES input</v>
      </c>
      <c r="C521" s="268"/>
      <c r="D521" s="714"/>
      <c r="E521" s="886"/>
      <c r="F521"/>
      <c r="G521" s="948">
        <f>AG521</f>
        <v>41820</v>
      </c>
      <c r="H521" s="949">
        <f t="shared" ref="H521" si="79">AH521</f>
        <v>41939</v>
      </c>
      <c r="I521" s="745"/>
      <c r="AF521" s="361">
        <f t="shared" ref="AF521:AF572" si="80">IF(S.Notice.Involved="Y",1,0)</f>
        <v>1</v>
      </c>
      <c r="AG521" s="566">
        <f t="shared" si="75"/>
        <v>41820</v>
      </c>
      <c r="AH521" s="566">
        <f t="shared" si="76"/>
        <v>41939</v>
      </c>
      <c r="AI521" s="58"/>
      <c r="AJ521" s="44"/>
      <c r="AK521" s="182" t="str">
        <f>S.Staff.Subject.Expert.FirstName&amp;" continually refines draft Notice Packet to consider RESOURCES input"</f>
        <v>Brian continually refines draft Notice Packet to consider RESOURCES input</v>
      </c>
      <c r="AL521" s="76"/>
    </row>
    <row r="522" spans="1:38" s="23" customFormat="1" ht="14.1" customHeight="1" outlineLevel="1">
      <c r="A522" s="145"/>
      <c r="B522" s="320" t="s">
        <v>648</v>
      </c>
      <c r="C522" s="282" t="s">
        <v>0</v>
      </c>
      <c r="D522" s="282" t="s">
        <v>0</v>
      </c>
      <c r="E522" s="282"/>
      <c r="I522" s="745"/>
      <c r="AF522" s="361">
        <f t="shared" si="80"/>
        <v>1</v>
      </c>
      <c r="AG522" s="59"/>
      <c r="AH522" s="59"/>
      <c r="AI522" s="59"/>
      <c r="AJ522" s="59"/>
      <c r="AK522" s="44"/>
      <c r="AL522" s="76"/>
    </row>
    <row r="523" spans="1:38" s="23" customFormat="1" ht="14.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customHeight="1" outlineLevel="1">
      <c r="A524" s="145"/>
      <c r="B524" s="269" t="str">
        <f t="shared" ref="B524" si="81">AK524</f>
        <v>* asks PaulG for legal sufficiency if warranted</v>
      </c>
      <c r="C524" s="268"/>
      <c r="D524" s="282" t="s">
        <v>0</v>
      </c>
      <c r="E524" s="282"/>
      <c r="F524"/>
      <c r="I524" s="745"/>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c r="A525" s="145"/>
      <c r="B525" s="269" t="str">
        <f t="shared" ref="B525:B529" si="82">AK525</f>
        <v>* addresses PaulG concerns and discusses with DavidC as needed</v>
      </c>
      <c r="C525" s="268"/>
      <c r="D525" s="282" t="s">
        <v>0</v>
      </c>
      <c r="E525" s="282"/>
      <c r="F525"/>
      <c r="I525" s="745"/>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c r="A526" s="145"/>
      <c r="B526" s="220" t="str">
        <f t="shared" si="82"/>
        <v>* informs DavidC about the approach, issues and potential delays</v>
      </c>
      <c r="C526" s="545" t="s">
        <v>0</v>
      </c>
      <c r="I526" s="745"/>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c r="A527" s="145"/>
      <c r="B527" s="220" t="s">
        <v>650</v>
      </c>
      <c r="C527" s="220"/>
      <c r="D527" s="220"/>
      <c r="E527" s="220"/>
      <c r="F527" s="220"/>
      <c r="G527" s="40"/>
      <c r="I527" s="745"/>
      <c r="AF527" s="361">
        <f t="shared" si="80"/>
        <v>1</v>
      </c>
      <c r="AG527" s="59"/>
      <c r="AH527" s="59"/>
      <c r="AI527" s="47"/>
      <c r="AJ527" s="44"/>
      <c r="AK527" s="44"/>
      <c r="AL527" s="76"/>
    </row>
    <row r="528" spans="1:38" s="23" customFormat="1" ht="14.1" customHeight="1" outlineLevel="1">
      <c r="A528" s="145"/>
      <c r="B528" s="220" t="s">
        <v>651</v>
      </c>
      <c r="C528" s="220"/>
      <c r="D528" s="220"/>
      <c r="E528" s="220"/>
      <c r="F528" s="220"/>
      <c r="G528" s="40"/>
      <c r="H528" s="40"/>
      <c r="I528" s="745"/>
      <c r="AF528" s="361">
        <f t="shared" si="80"/>
        <v>1</v>
      </c>
      <c r="AG528" s="59"/>
      <c r="AH528" s="59"/>
      <c r="AI528" s="47"/>
      <c r="AJ528" s="44"/>
      <c r="AK528" s="44"/>
      <c r="AL528" s="76"/>
    </row>
    <row r="529" spans="1:38" s="23" customFormat="1" ht="14.1" customHeight="1" outlineLevel="1">
      <c r="A529" s="145"/>
      <c r="B529" s="269" t="str">
        <f t="shared" si="82"/>
        <v>* informs AndreaG about potential delays for and develop contingency, if needed</v>
      </c>
      <c r="C529" s="268"/>
      <c r="D529" s="282" t="s">
        <v>0</v>
      </c>
      <c r="E529" s="282"/>
      <c r="I529" s="745"/>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c r="A530" s="145"/>
      <c r="B530" s="779" t="str">
        <f>AK530</f>
        <v>Brian asks subject contributors, including DavidC for consensus on</v>
      </c>
      <c r="C530" s="282" t="s">
        <v>0</v>
      </c>
      <c r="D530" s="714"/>
      <c r="E530" s="886"/>
      <c r="G530" s="948">
        <f>AG530</f>
        <v>41820</v>
      </c>
      <c r="H530" s="949">
        <f t="shared" ref="H530" si="83">AH530</f>
        <v>41939</v>
      </c>
      <c r="I530" s="745"/>
      <c r="AF530" s="361">
        <f t="shared" si="80"/>
        <v>1</v>
      </c>
      <c r="AG530" s="566">
        <f t="shared" si="75"/>
        <v>41820</v>
      </c>
      <c r="AH530" s="566">
        <f t="shared" si="76"/>
        <v>41939</v>
      </c>
      <c r="AI530" s="59"/>
      <c r="AJ530" s="59"/>
      <c r="AK530" s="182" t="str">
        <f>S.Staff.Subject.Expert.FirstName&amp;" asks subject contributors, including "&amp;S.Staff.Program.Mgr.FirstName&amp;" for consensus on"</f>
        <v>Brian asks subject contributors, including DavidC for consensus on</v>
      </c>
      <c r="AL530" s="76"/>
    </row>
    <row r="531" spans="1:38" s="23" customFormat="1" ht="14.1" customHeight="1">
      <c r="A531" s="145"/>
      <c r="B531" s="207" t="s">
        <v>769</v>
      </c>
      <c r="C531" s="220"/>
      <c r="D531" s="220"/>
      <c r="E531" s="220"/>
      <c r="F531" s="220"/>
      <c r="G531" s="40"/>
      <c r="I531" s="745"/>
      <c r="AF531" s="361">
        <f t="shared" si="80"/>
        <v>1</v>
      </c>
      <c r="AG531" s="47"/>
      <c r="AH531" s="47"/>
      <c r="AI531" s="47"/>
      <c r="AJ531" s="44"/>
      <c r="AK531" s="44"/>
      <c r="AL531" s="76"/>
    </row>
    <row r="532" spans="1:38" s="23" customFormat="1" ht="14.1" customHeight="1">
      <c r="A532" s="145"/>
      <c r="B532" s="267" t="str">
        <f t="shared" ref="B532" si="84">AK532</f>
        <v>Brian verifies draft rules to ensure:</v>
      </c>
      <c r="C532" s="268"/>
      <c r="D532"/>
      <c r="F532"/>
      <c r="G532"/>
      <c r="H532"/>
      <c r="I532" s="745"/>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 verifies draft rules to ensure:</v>
      </c>
      <c r="AL532" s="76"/>
    </row>
    <row r="533" spans="1:38" s="23" customFormat="1" ht="14.1" customHeight="1" outlineLevel="1">
      <c r="A533" s="145"/>
      <c r="B533" s="302" t="s">
        <v>592</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c r="A534" s="145"/>
      <c r="B534" s="302" t="s">
        <v>593</v>
      </c>
      <c r="C534" s="542"/>
      <c r="D534" s="283"/>
      <c r="E534" s="750"/>
      <c r="F534"/>
      <c r="I534" s="745"/>
      <c r="AF534" s="361">
        <f t="shared" si="73"/>
        <v>1</v>
      </c>
      <c r="AG534" s="58"/>
      <c r="AH534" s="58"/>
      <c r="AI534" s="59"/>
      <c r="AJ534" s="59"/>
      <c r="AK534" s="44"/>
      <c r="AL534" s="76"/>
    </row>
    <row r="535" spans="1:38" s="23" customFormat="1" ht="14.1" customHeight="1" outlineLevel="1">
      <c r="A535" s="145"/>
      <c r="B535" s="302" t="s">
        <v>575</v>
      </c>
      <c r="C535" s="542"/>
      <c r="D535" s="283"/>
      <c r="E535" s="750"/>
      <c r="F535"/>
      <c r="G535"/>
      <c r="H535"/>
      <c r="I535" s="745"/>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c r="A536" s="145"/>
      <c r="B536" s="302" t="s">
        <v>576</v>
      </c>
      <c r="C536" s="542"/>
      <c r="D536" s="283"/>
      <c r="E536" s="750"/>
      <c r="F536"/>
      <c r="G536"/>
      <c r="H536"/>
      <c r="I536" s="745"/>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c r="A537" s="145"/>
      <c r="B537" s="741" t="str">
        <f>AK537</f>
        <v>* SIP note is at bottom of all SIP rules</v>
      </c>
      <c r="C537" s="542"/>
      <c r="D537" s="283"/>
      <c r="E537" s="750"/>
      <c r="F537"/>
      <c r="G537"/>
      <c r="H537"/>
      <c r="I537" s="745"/>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c r="A538" s="145"/>
      <c r="B538" s="523" t="s">
        <v>578</v>
      </c>
      <c r="C538" s="282"/>
      <c r="I538" s="745"/>
      <c r="AF538" s="361">
        <f t="shared" si="73"/>
        <v>1</v>
      </c>
      <c r="AG538" s="58"/>
      <c r="AH538" s="58"/>
      <c r="AI538" s="59"/>
      <c r="AJ538" s="59"/>
      <c r="AK538" s="44"/>
      <c r="AL538" s="76"/>
    </row>
    <row r="539" spans="1:38" s="23" customFormat="1" ht="14.1" customHeight="1">
      <c r="A539" s="145"/>
      <c r="B539" s="284" t="str">
        <f t="shared" ref="B539:B546" si="85">AK539</f>
        <v>Brian asks Carol to schedule future time on Uri's calendar for:</v>
      </c>
      <c r="C539" s="987" t="s">
        <v>627</v>
      </c>
      <c r="D539" s="987"/>
      <c r="E539" s="987"/>
      <c r="F539" s="987"/>
      <c r="G539" s="988"/>
      <c r="H539" s="256">
        <f t="shared" ref="H539" si="86">AH539</f>
        <v>41907</v>
      </c>
      <c r="I539" s="745"/>
      <c r="J539"/>
      <c r="K539"/>
      <c r="L539"/>
      <c r="M539"/>
      <c r="N539"/>
      <c r="O539"/>
      <c r="P539"/>
      <c r="Q539"/>
      <c r="R539"/>
      <c r="S539"/>
      <c r="T539"/>
      <c r="U539"/>
      <c r="X539"/>
      <c r="AB539"/>
      <c r="AC539"/>
      <c r="AF539" s="361">
        <f t="shared" ref="AF539:AF546" si="87">IF(S.Notice.Involved="Y",1,0)</f>
        <v>1</v>
      </c>
      <c r="AG539" s="58"/>
      <c r="AH539" s="60">
        <f>IF(AF539=0,,WORKDAY(S.Notice.Submit.ToADA-59,-1,S.DDL_DEQClosed))</f>
        <v>41907</v>
      </c>
      <c r="AI539" s="59"/>
      <c r="AJ539" s="59"/>
      <c r="AK539" s="182" t="str">
        <f>S.Staff.Subject.Expert.FirstName&amp;" asks "&amp;S.Staff.DA.Support.ForProgram.FirstName&amp;" to schedule future time on "&amp;S.Staff.Assistant.DA.ShortName&amp;"'s calendar for:"</f>
        <v>Brian asks Carol to schedule future time on Uri's calendar for:</v>
      </c>
      <c r="AL539" s="76"/>
    </row>
    <row r="540" spans="1:38" s="23" customFormat="1" ht="14.1" customHeight="1">
      <c r="A540" s="145"/>
      <c r="B540" s="320" t="str">
        <f t="shared" si="85"/>
        <v>* Uri briefing meeting with Brian, DavidC and AndreaG</v>
      </c>
      <c r="C540" s="987" t="s">
        <v>626</v>
      </c>
      <c r="D540" s="1013"/>
      <c r="E540" s="1013"/>
      <c r="F540" s="1013"/>
      <c r="G540" s="1014"/>
      <c r="H540" s="263">
        <f>AH540</f>
        <v>41964</v>
      </c>
      <c r="I540" s="745"/>
      <c r="J540"/>
      <c r="K540"/>
      <c r="L540"/>
      <c r="M540"/>
      <c r="N540"/>
      <c r="O540"/>
      <c r="P540"/>
      <c r="Q540"/>
      <c r="R540"/>
      <c r="S540"/>
      <c r="T540"/>
      <c r="U540"/>
      <c r="X540"/>
      <c r="AB540"/>
      <c r="AC540"/>
      <c r="AF540" s="361">
        <f t="shared" si="87"/>
        <v>1</v>
      </c>
      <c r="AG540" s="58"/>
      <c r="AH540" s="60">
        <f>IF(AF540=0,,WORKDAY(S.Notice.Submit.ToADA,-1,S.DDL_DEQClosed))</f>
        <v>41964</v>
      </c>
      <c r="AI540" s="59"/>
      <c r="AJ540" s="59"/>
      <c r="AK540" s="182" t="str">
        <f>"* "&amp;S.Staff.Assistant.DA.ShortName&amp;" briefing meeting with "&amp;S.Staff.Subject.Expert.FirstName&amp;", "&amp;S.Staff.Program.Mgr.FirstName&amp;" and "&amp;S.Staff.RG.Lead.FirstName</f>
        <v>* Uri briefing meeting with Brian, DavidC and AndreaG</v>
      </c>
      <c r="AL540" s="76"/>
    </row>
    <row r="541" spans="1:38" s="23" customFormat="1" ht="14.1" customHeight="1">
      <c r="A541" s="145"/>
      <c r="B541" s="742" t="str">
        <f t="shared" si="85"/>
        <v>* time on Uri's calendar to review Notice Packet during preview week</v>
      </c>
      <c r="C541" s="987" t="s">
        <v>625</v>
      </c>
      <c r="D541" s="987"/>
      <c r="E541" s="987"/>
      <c r="F541" s="987"/>
      <c r="G541" s="988"/>
      <c r="H541" s="263">
        <f>AH541</f>
        <v>41967</v>
      </c>
      <c r="I541" s="745"/>
      <c r="J541"/>
      <c r="K541"/>
      <c r="L541"/>
      <c r="M541"/>
      <c r="N541"/>
      <c r="O541"/>
      <c r="P541"/>
      <c r="Q541"/>
      <c r="R541"/>
      <c r="S541"/>
      <c r="T541"/>
      <c r="U541"/>
      <c r="X541"/>
      <c r="AB541"/>
      <c r="AC541"/>
      <c r="AF541" s="361">
        <f t="shared" si="87"/>
        <v>1</v>
      </c>
      <c r="AG541" s="58"/>
      <c r="AH541" s="60">
        <f>IF(AF541=0,,S.Notice.Submit.ToADA)</f>
        <v>41967</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5"/>
        <v>Brian schedules time on DavidC calendar to review Notice Packet</v>
      </c>
      <c r="C542" s="545" t="s">
        <v>0</v>
      </c>
      <c r="D542"/>
      <c r="F542"/>
      <c r="I542" s="745"/>
      <c r="AF542" s="361">
        <f t="shared" si="87"/>
        <v>1</v>
      </c>
      <c r="AG542" s="58"/>
      <c r="AH542" s="58"/>
      <c r="AI542" s="47"/>
      <c r="AJ542" s="44"/>
      <c r="AK542" s="182" t="str">
        <f>S.Staff.Subject.Expert.FirstName&amp;" schedules time on "&amp;S.Staff.Program.Mgr.FirstName&amp;" calendar to review Notice Packet"</f>
        <v>Brian schedules time on DavidC calendar to review Notice Packet</v>
      </c>
      <c r="AL542" s="76"/>
    </row>
    <row r="543" spans="1:38" s="23" customFormat="1" ht="14.1" customHeight="1">
      <c r="A543" s="145"/>
      <c r="B543" s="221" t="str">
        <f t="shared" ref="B543" si="88">AK543</f>
        <v>Brian keeps DavidC informed about progress</v>
      </c>
      <c r="C543" s="987" t="s">
        <v>625</v>
      </c>
      <c r="D543" s="987"/>
      <c r="E543" s="987"/>
      <c r="F543" s="987"/>
      <c r="G543" s="988"/>
      <c r="H543" s="263">
        <f>AH543</f>
        <v>41941</v>
      </c>
      <c r="I543" s="745"/>
      <c r="AF543" s="361">
        <f t="shared" si="87"/>
        <v>1</v>
      </c>
      <c r="AG543" s="58"/>
      <c r="AH543" s="60">
        <f>IF(AF543=0,,S.Notice.Submit.ToSponsoringMgr)</f>
        <v>41941</v>
      </c>
      <c r="AI543" s="47"/>
      <c r="AJ543" s="44"/>
      <c r="AK543" s="182" t="str">
        <f>S.Staff.Subject.Expert.FirstName&amp;" keeps "&amp;S.Staff.Program.Mgr.FirstName&amp;" informed about progress"</f>
        <v>Brian keeps DavidC informed about progress</v>
      </c>
      <c r="AL543" s="76"/>
    </row>
    <row r="544" spans="1:38" s="23" customFormat="1" ht="14.1" customHeight="1">
      <c r="A544" s="145"/>
      <c r="B544" s="221" t="str">
        <f t="shared" si="85"/>
        <v>DavidC keeps Uri informed about progress</v>
      </c>
      <c r="C544" s="545" t="s">
        <v>0</v>
      </c>
      <c r="D544"/>
      <c r="F544"/>
      <c r="I544" s="745"/>
      <c r="AF544" s="361">
        <f t="shared" si="87"/>
        <v>1</v>
      </c>
      <c r="AG544" s="58"/>
      <c r="AH544" s="58"/>
      <c r="AI544" s="47"/>
      <c r="AJ544" s="44"/>
      <c r="AK544" s="182" t="str">
        <f>S.Staff.Program.Mgr.FirstName&amp;" keeps "&amp;S.Staff.Assistant.DA.ShortName&amp;" informed about progress"</f>
        <v>DavidC keeps Uri informed about progress</v>
      </c>
      <c r="AL544" s="76"/>
    </row>
    <row r="545" spans="1:38" s="23" customFormat="1" ht="14.1" customHeight="1">
      <c r="A545" s="145"/>
      <c r="B545" s="221" t="str">
        <f t="shared" ref="B545" si="89">AK545</f>
        <v>Uri keeps Wendy informed about potential risks &amp; delays</v>
      </c>
      <c r="C545" s="545" t="s">
        <v>0</v>
      </c>
      <c r="F545"/>
      <c r="I545" s="745"/>
      <c r="AF545" s="361">
        <f t="shared" si="87"/>
        <v>1</v>
      </c>
      <c r="AG545" s="58"/>
      <c r="AH545" s="58"/>
      <c r="AI545" s="47"/>
      <c r="AJ545" s="44"/>
      <c r="AK545" s="182" t="str">
        <f>S.Staff.Assistant.DA.ShortName&amp;" keeps "&amp;S.Staff.DA.ForProgram.FirstName&amp;" informed about potential risks &amp; delays"</f>
        <v>Uri keeps Wendy informed about potential risks &amp; delays</v>
      </c>
      <c r="AL545" s="76"/>
    </row>
    <row r="546" spans="1:38" s="23" customFormat="1" ht="14.1" customHeight="1">
      <c r="A546" s="145"/>
      <c r="B546" s="221" t="str">
        <f t="shared" si="85"/>
        <v>AndreaG keeps Lydia informed about risks &amp; progress</v>
      </c>
      <c r="C546" s="545" t="s">
        <v>0</v>
      </c>
      <c r="F546"/>
      <c r="I546" s="745"/>
      <c r="AF546" s="361">
        <f t="shared" si="87"/>
        <v>1</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c r="A547" s="145"/>
      <c r="B547" s="523" t="s">
        <v>594</v>
      </c>
      <c r="C547" s="282"/>
      <c r="F547"/>
      <c r="I547" s="745"/>
      <c r="AF547" s="361">
        <f>IF(AND(S.SIP.Involved="Y",S.Notice.Involved="Y"),1,0)</f>
        <v>1</v>
      </c>
      <c r="AG547" s="58"/>
      <c r="AH547" s="58"/>
      <c r="AI547" s="59"/>
      <c r="AJ547" s="59"/>
      <c r="AK547" s="44"/>
      <c r="AL547" s="76"/>
    </row>
    <row r="548" spans="1:38" s="23" customFormat="1" ht="14.1" hidden="1" customHeight="1" outlineLevel="1" thickBot="1">
      <c r="A548" s="145"/>
      <c r="B548" s="465" t="s">
        <v>281</v>
      </c>
      <c r="C548" s="415" t="s">
        <v>206</v>
      </c>
      <c r="D548" s="283"/>
      <c r="E548" s="750"/>
      <c r="F548"/>
      <c r="G548" s="291">
        <f t="shared" ref="G548:G559" si="90">AG548</f>
        <v>0</v>
      </c>
      <c r="H548" s="291">
        <f t="shared" ref="H548:H559" si="91">AH548</f>
        <v>0</v>
      </c>
      <c r="I548" s="745"/>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c r="A549" s="145"/>
      <c r="B549" s="467" t="s">
        <v>242</v>
      </c>
      <c r="C549" s="545" t="s">
        <v>0</v>
      </c>
      <c r="D549" s="715"/>
      <c r="E549" s="888"/>
      <c r="F549"/>
      <c r="G549" s="291">
        <f t="shared" si="90"/>
        <v>0</v>
      </c>
      <c r="H549" s="291">
        <f t="shared" si="91"/>
        <v>0</v>
      </c>
      <c r="I549" s="745"/>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c r="A550" s="145"/>
      <c r="B550" s="467" t="s">
        <v>242</v>
      </c>
      <c r="C550" s="545" t="s">
        <v>0</v>
      </c>
      <c r="D550" s="715"/>
      <c r="E550" s="888"/>
      <c r="F550"/>
      <c r="G550" s="291">
        <f t="shared" si="90"/>
        <v>0</v>
      </c>
      <c r="H550" s="291">
        <f t="shared" si="91"/>
        <v>0</v>
      </c>
      <c r="I550" s="745"/>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c r="A551" s="145"/>
      <c r="B551" s="467" t="s">
        <v>242</v>
      </c>
      <c r="C551" s="545" t="s">
        <v>0</v>
      </c>
      <c r="D551" s="715"/>
      <c r="E551" s="888"/>
      <c r="F551"/>
      <c r="G551" s="291">
        <f t="shared" si="90"/>
        <v>0</v>
      </c>
      <c r="H551" s="291">
        <f t="shared" si="91"/>
        <v>0</v>
      </c>
      <c r="I551" s="745"/>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c r="A552" s="145"/>
      <c r="B552" s="468" t="s">
        <v>244</v>
      </c>
      <c r="C552" s="415" t="s">
        <v>206</v>
      </c>
      <c r="D552" s="283"/>
      <c r="E552" s="750"/>
      <c r="F552"/>
      <c r="G552" s="291">
        <f t="shared" si="90"/>
        <v>0</v>
      </c>
      <c r="H552" s="291">
        <f t="shared" si="91"/>
        <v>0</v>
      </c>
      <c r="I552" s="745"/>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c r="A553" s="145"/>
      <c r="B553" s="469" t="s">
        <v>242</v>
      </c>
      <c r="C553" s="545" t="s">
        <v>0</v>
      </c>
      <c r="D553" s="715"/>
      <c r="E553" s="888"/>
      <c r="F553"/>
      <c r="G553" s="291">
        <f t="shared" si="90"/>
        <v>0</v>
      </c>
      <c r="H553" s="291">
        <f t="shared" si="91"/>
        <v>0</v>
      </c>
      <c r="I553" s="745"/>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c r="A554" s="145"/>
      <c r="B554" s="469" t="s">
        <v>242</v>
      </c>
      <c r="C554" s="545" t="s">
        <v>0</v>
      </c>
      <c r="D554" s="715"/>
      <c r="E554" s="888"/>
      <c r="F554"/>
      <c r="G554" s="291">
        <f t="shared" si="90"/>
        <v>0</v>
      </c>
      <c r="H554" s="291">
        <f t="shared" si="91"/>
        <v>0</v>
      </c>
      <c r="I554" s="745"/>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c r="A555" s="145"/>
      <c r="B555" s="469" t="s">
        <v>242</v>
      </c>
      <c r="C555" s="545" t="s">
        <v>0</v>
      </c>
      <c r="D555" s="715"/>
      <c r="E555" s="888"/>
      <c r="F555"/>
      <c r="G555" s="291">
        <f t="shared" si="90"/>
        <v>0</v>
      </c>
      <c r="H555" s="291">
        <f t="shared" si="91"/>
        <v>0</v>
      </c>
      <c r="I555" s="745"/>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c r="A556" s="145"/>
      <c r="B556" s="470" t="s">
        <v>245</v>
      </c>
      <c r="C556" s="415" t="s">
        <v>206</v>
      </c>
      <c r="D556" s="283"/>
      <c r="E556" s="750"/>
      <c r="F556"/>
      <c r="G556" s="291">
        <f t="shared" si="90"/>
        <v>0</v>
      </c>
      <c r="H556" s="291">
        <f t="shared" si="91"/>
        <v>0</v>
      </c>
      <c r="I556" s="745"/>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c r="A557" s="145"/>
      <c r="B557" s="471" t="s">
        <v>242</v>
      </c>
      <c r="C557" s="545" t="s">
        <v>0</v>
      </c>
      <c r="D557" s="715"/>
      <c r="E557" s="888"/>
      <c r="F557"/>
      <c r="G557" s="291">
        <f t="shared" si="90"/>
        <v>0</v>
      </c>
      <c r="H557" s="291">
        <f t="shared" si="91"/>
        <v>0</v>
      </c>
      <c r="I557" s="745"/>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c r="A558" s="145"/>
      <c r="B558" s="471" t="s">
        <v>242</v>
      </c>
      <c r="C558" s="545" t="s">
        <v>0</v>
      </c>
      <c r="D558" s="715"/>
      <c r="E558" s="888"/>
      <c r="F558"/>
      <c r="G558" s="291">
        <f t="shared" si="90"/>
        <v>0</v>
      </c>
      <c r="H558" s="291">
        <f t="shared" si="91"/>
        <v>0</v>
      </c>
      <c r="I558" s="745"/>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c r="A559" s="145"/>
      <c r="B559" s="471" t="s">
        <v>242</v>
      </c>
      <c r="C559" s="545" t="s">
        <v>0</v>
      </c>
      <c r="D559" s="715"/>
      <c r="E559" s="888"/>
      <c r="F559"/>
      <c r="G559" s="291">
        <f t="shared" si="90"/>
        <v>0</v>
      </c>
      <c r="H559" s="291">
        <f t="shared" si="91"/>
        <v>0</v>
      </c>
      <c r="I559" s="745"/>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c r="A560" s="145"/>
      <c r="B560" s="471"/>
      <c r="C560" s="545"/>
      <c r="F560"/>
      <c r="I560" s="745"/>
      <c r="AF560" s="361">
        <f>IF(AND(S.SIP.Involved="Y",S.Notice.Involved="Y"),1,0)</f>
        <v>1</v>
      </c>
      <c r="AG560" s="58"/>
      <c r="AH560" s="58"/>
      <c r="AI560" s="59"/>
      <c r="AJ560" s="159"/>
      <c r="AK560" s="44"/>
      <c r="AL560" s="76"/>
    </row>
    <row r="561" spans="1:38" s="23" customFormat="1" ht="20.25" customHeight="1" collapsed="1" thickBot="1">
      <c r="A561" s="145"/>
      <c r="B561" s="523" t="s">
        <v>770</v>
      </c>
      <c r="C561" s="282"/>
      <c r="D561" s="40"/>
      <c r="E561" s="40"/>
      <c r="F561" s="40"/>
      <c r="G561" s="40"/>
      <c r="H561" s="40"/>
      <c r="I561" s="745"/>
      <c r="AF561" s="361">
        <f t="shared" si="80"/>
        <v>1</v>
      </c>
      <c r="AG561" s="58"/>
      <c r="AH561" s="58"/>
      <c r="AI561" s="59"/>
      <c r="AJ561" s="59"/>
      <c r="AK561" s="44"/>
      <c r="AL561" s="76"/>
    </row>
    <row r="562" spans="1:38" s="23" customFormat="1" ht="30" customHeight="1" thickTop="1">
      <c r="A562" s="145"/>
      <c r="B562" s="779" t="str">
        <f>AK562</f>
        <v>DavidC looks at Notice Packet ensure:</v>
      </c>
      <c r="C562" s="282" t="s">
        <v>0</v>
      </c>
      <c r="D562" s="40"/>
      <c r="E562" s="40"/>
      <c r="F562" s="40"/>
      <c r="G562" s="1006" t="s">
        <v>686</v>
      </c>
      <c r="H562" s="1007"/>
      <c r="I562" s="745"/>
      <c r="AE562" s="859"/>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c r="A563" s="145"/>
      <c r="B563" s="269" t="s">
        <v>763</v>
      </c>
      <c r="C563" s="282" t="s">
        <v>0</v>
      </c>
      <c r="D563" s="283"/>
      <c r="E563" s="750"/>
      <c r="F563" s="40"/>
      <c r="G563" s="932">
        <f>AG563</f>
        <v>41941</v>
      </c>
      <c r="H563" s="933">
        <f>AH563</f>
        <v>41946</v>
      </c>
      <c r="I563" s="745"/>
      <c r="AE563" s="859"/>
      <c r="AF563" s="361">
        <f t="shared" si="80"/>
        <v>1</v>
      </c>
      <c r="AG563" s="60">
        <f>S.Notice.Submit.ToSponsoringMgr</f>
        <v>41941</v>
      </c>
      <c r="AH563" s="60">
        <f>H23</f>
        <v>41946</v>
      </c>
      <c r="AI563" s="59"/>
      <c r="AJ563" s="59"/>
      <c r="AK563" s="44"/>
      <c r="AL563" s="76"/>
    </row>
    <row r="564" spans="1:38" s="23" customFormat="1" ht="14.1" customHeight="1">
      <c r="A564" s="145"/>
      <c r="B564" s="269" t="s">
        <v>764</v>
      </c>
      <c r="C564" s="282" t="s">
        <v>0</v>
      </c>
      <c r="G564" s="934" t="s">
        <v>762</v>
      </c>
      <c r="H564" s="935" t="s">
        <v>761</v>
      </c>
      <c r="I564" s="745"/>
      <c r="AE564" s="859"/>
      <c r="AF564" s="361">
        <f t="shared" si="80"/>
        <v>1</v>
      </c>
      <c r="AG564" s="59"/>
      <c r="AH564" s="59"/>
      <c r="AI564" s="59"/>
      <c r="AJ564" s="59"/>
      <c r="AK564" s="44"/>
      <c r="AL564" s="76"/>
    </row>
    <row r="565" spans="1:38" s="23" customFormat="1" ht="14.1" customHeight="1" thickBot="1">
      <c r="A565" s="145"/>
      <c r="B565" s="269" t="s">
        <v>757</v>
      </c>
      <c r="C565" s="282" t="s">
        <v>0</v>
      </c>
      <c r="D565"/>
      <c r="F565"/>
      <c r="G565" s="936" t="s">
        <v>0</v>
      </c>
      <c r="H565" s="937" t="s">
        <v>0</v>
      </c>
      <c r="I565" s="745"/>
      <c r="AE565" s="859"/>
      <c r="AF565" s="361">
        <f t="shared" si="80"/>
        <v>1</v>
      </c>
      <c r="AG565" s="59"/>
      <c r="AH565" s="59"/>
      <c r="AI565" s="59"/>
      <c r="AJ565" s="59"/>
      <c r="AK565" s="44"/>
      <c r="AL565" s="76"/>
    </row>
    <row r="566" spans="1:38" s="23" customFormat="1" ht="14.1" customHeight="1" thickTop="1">
      <c r="A566" s="145"/>
      <c r="B566" s="267" t="str">
        <f>AK566</f>
        <v>DavidC:</v>
      </c>
      <c r="C566" s="282" t="s">
        <v>0</v>
      </c>
      <c r="H566" s="952"/>
      <c r="I566" s="745"/>
      <c r="AF566" s="361">
        <f t="shared" si="80"/>
        <v>1</v>
      </c>
      <c r="AG566" s="59"/>
      <c r="AH566" s="59"/>
      <c r="AI566" s="59"/>
      <c r="AJ566" s="59"/>
      <c r="AK566" s="182" t="str">
        <f>S.Staff.Program.Mgr.FirstName&amp;":"</f>
        <v>DavidC:</v>
      </c>
      <c r="AL566" s="76"/>
    </row>
    <row r="567" spans="1:38" s="23" customFormat="1" ht="14.1" customHeight="1">
      <c r="A567" s="145"/>
      <c r="B567" s="269" t="s">
        <v>771</v>
      </c>
      <c r="C567" s="282" t="s">
        <v>0</v>
      </c>
      <c r="G567" s="40"/>
      <c r="H567" s="40"/>
      <c r="I567" s="745"/>
      <c r="AE567" s="40"/>
      <c r="AF567" s="361">
        <f t="shared" si="80"/>
        <v>1</v>
      </c>
      <c r="AG567" s="59"/>
      <c r="AH567" s="59"/>
      <c r="AI567" s="59"/>
      <c r="AJ567" s="59"/>
      <c r="AK567" s="44"/>
      <c r="AL567" s="76"/>
    </row>
    <row r="568" spans="1:38" s="23" customFormat="1" ht="14.1" customHeight="1">
      <c r="A568" s="145"/>
      <c r="B568" s="269" t="str">
        <f>AK568</f>
        <v>* notifies Brian when complete</v>
      </c>
      <c r="C568" s="282" t="s">
        <v>0</v>
      </c>
      <c r="G568" s="40"/>
      <c r="H568" s="40"/>
      <c r="I568" s="745"/>
      <c r="AE568" s="40"/>
      <c r="AF568" s="361">
        <f t="shared" si="80"/>
        <v>1</v>
      </c>
      <c r="AG568" s="59"/>
      <c r="AH568" s="59"/>
      <c r="AI568" s="59"/>
      <c r="AJ568" s="59"/>
      <c r="AK568" s="182" t="str">
        <f>"* notifies "&amp;S.Staff.Subject.Expert.FirstName&amp;" when complete"</f>
        <v>* notifies Brian when complete</v>
      </c>
      <c r="AL568" s="76"/>
    </row>
    <row r="569" spans="1:38" s="23" customFormat="1" ht="14.1" customHeight="1">
      <c r="A569" s="145"/>
      <c r="B569" s="779" t="str">
        <f>AK569</f>
        <v>Brian:</v>
      </c>
      <c r="C569" s="282" t="s">
        <v>0</v>
      </c>
      <c r="D569" s="283"/>
      <c r="E569" s="750"/>
      <c r="G569" s="256">
        <f>AG569</f>
        <v>41947</v>
      </c>
      <c r="H569" s="953">
        <f>AH569</f>
        <v>41942</v>
      </c>
      <c r="I569" s="745"/>
      <c r="AF569" s="361">
        <f t="shared" si="80"/>
        <v>1</v>
      </c>
      <c r="AG569" s="60">
        <f>WORKDAY(H563,1,S.DDL_DEQClosed)</f>
        <v>41947</v>
      </c>
      <c r="AH569" s="60">
        <f>IF(AF569=0,,WORKDAY(S.Notice.Submit.ToRG,-1,S.DDL_DEQClosed))</f>
        <v>41942</v>
      </c>
      <c r="AI569" s="59"/>
      <c r="AJ569" s="59"/>
      <c r="AK569" s="182" t="str">
        <f>S.Staff.Subject.Expert.FirstName&amp;":"</f>
        <v>Brian:</v>
      </c>
      <c r="AL569" s="76"/>
    </row>
    <row r="570" spans="1:38" s="23" customFormat="1" ht="14.1" customHeight="1">
      <c r="A570" s="145"/>
      <c r="B570" s="269" t="str">
        <f>AK570</f>
        <v>* addresses DavidC's technical concerns</v>
      </c>
      <c r="C570" s="282" t="s">
        <v>0</v>
      </c>
      <c r="G570" s="40"/>
      <c r="H570" s="40"/>
      <c r="I570" s="745"/>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c r="A571" s="145"/>
      <c r="B571" s="269" t="str">
        <f>AK571</f>
        <v>* submits Notice and Proposed Rules to Rule Publication (AndreaG)</v>
      </c>
      <c r="C571" s="282" t="s">
        <v>0</v>
      </c>
      <c r="G571" s="40"/>
      <c r="H571" s="784"/>
      <c r="I571" s="745"/>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c r="A572" s="145"/>
      <c r="B572" s="779" t="str">
        <f>AK572</f>
        <v>AndreaG leads initial Rule Publication work that includes:</v>
      </c>
      <c r="C572" s="268"/>
      <c r="D572" s="40"/>
      <c r="E572" s="40"/>
      <c r="F572"/>
      <c r="G572" s="1002" t="s">
        <v>611</v>
      </c>
      <c r="H572" s="1003"/>
      <c r="I572" s="745"/>
      <c r="AF572" s="361">
        <f t="shared" si="80"/>
        <v>1</v>
      </c>
      <c r="AG572" s="59"/>
      <c r="AH572" s="59"/>
      <c r="AI572" s="58"/>
      <c r="AJ572" s="44"/>
      <c r="AK572" s="810" t="str">
        <f>S.Staff.RG.Lead.FirstName&amp;" leads initial Rule Publication work that includes:"</f>
        <v>AndreaG leads initial Rule Publication work that includes:</v>
      </c>
      <c r="AL572" s="76"/>
    </row>
    <row r="573" spans="1:38" s="23" customFormat="1" ht="14.1" customHeight="1">
      <c r="A573" s="145" t="s">
        <v>0</v>
      </c>
      <c r="B573" s="269" t="s">
        <v>682</v>
      </c>
      <c r="C573" s="268"/>
      <c r="D573" s="714"/>
      <c r="E573" s="886"/>
      <c r="F573"/>
      <c r="G573" s="950">
        <f>AG573</f>
        <v>41943</v>
      </c>
      <c r="H573" s="933">
        <f>AH573</f>
        <v>41953</v>
      </c>
      <c r="I573" s="745"/>
      <c r="AF573" s="361">
        <f t="shared" ref="AF573:AF580" si="94">IF(S.Notice.Involved="Y",1,0)</f>
        <v>1</v>
      </c>
      <c r="AG573" s="566">
        <f>S.Notice.Submit.ToRG</f>
        <v>41943</v>
      </c>
      <c r="AH573" s="566">
        <f>H24</f>
        <v>41953</v>
      </c>
      <c r="AI573" s="58"/>
      <c r="AJ573" s="44"/>
      <c r="AK573" s="44"/>
      <c r="AL573" s="76"/>
    </row>
    <row r="574" spans="1:38" s="23" customFormat="1" ht="14.1" customHeight="1" thickBot="1">
      <c r="A574" s="145"/>
      <c r="B574" s="269" t="s">
        <v>608</v>
      </c>
      <c r="C574" s="268"/>
      <c r="D574"/>
      <c r="F574"/>
      <c r="G574" s="958" t="s">
        <v>762</v>
      </c>
      <c r="H574" s="959" t="s">
        <v>761</v>
      </c>
      <c r="I574" s="745"/>
      <c r="AF574" s="361">
        <f t="shared" si="94"/>
        <v>1</v>
      </c>
      <c r="AG574" s="58"/>
      <c r="AH574" s="58"/>
      <c r="AI574" s="58"/>
      <c r="AJ574" s="44"/>
      <c r="AK574" s="44"/>
      <c r="AL574" s="76"/>
    </row>
    <row r="575" spans="1:38" s="23" customFormat="1" ht="14.1" customHeight="1" thickTop="1" thickBot="1">
      <c r="A575" s="145"/>
      <c r="B575" s="289" t="s">
        <v>766</v>
      </c>
      <c r="C575" s="358" t="str">
        <f>HYPERLINK("\\deqhq1\Rule_Resources\i\Final Review Checklist.docx","i")</f>
        <v>i</v>
      </c>
      <c r="D575" s="325"/>
      <c r="E575" s="325"/>
      <c r="F575" s="262"/>
      <c r="G575" s="258"/>
      <c r="H575" s="258"/>
      <c r="I575" s="745"/>
      <c r="AF575" s="361">
        <f t="shared" si="94"/>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5"/>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4" t="s">
        <v>669</v>
      </c>
      <c r="C577" s="282"/>
      <c r="G577" s="40"/>
      <c r="H577" s="40"/>
      <c r="I577" s="745"/>
      <c r="AF577" s="361">
        <f t="shared" si="94"/>
        <v>1</v>
      </c>
      <c r="AG577" s="59"/>
      <c r="AH577" s="59"/>
      <c r="AI577" s="59"/>
      <c r="AJ577" s="59"/>
      <c r="AK577" s="44"/>
      <c r="AL577" s="76"/>
    </row>
    <row r="578" spans="1:39" s="23" customFormat="1" ht="14.1" customHeight="1">
      <c r="A578" s="145"/>
      <c r="B578" s="320" t="s">
        <v>649</v>
      </c>
      <c r="C578" s="282"/>
      <c r="F578"/>
      <c r="G578" s="40"/>
      <c r="H578" s="40"/>
      <c r="I578" s="745"/>
      <c r="AF578" s="361">
        <f t="shared" si="94"/>
        <v>1</v>
      </c>
      <c r="AG578" s="59"/>
      <c r="AH578" s="59"/>
      <c r="AI578" s="59"/>
      <c r="AJ578" s="59"/>
      <c r="AK578" s="44"/>
      <c r="AL578" s="76"/>
    </row>
    <row r="579" spans="1:39" s="631" customFormat="1" ht="14.1" customHeight="1">
      <c r="A579" s="600"/>
      <c r="B579" s="773" t="str">
        <f t="shared" ref="B579:B580" si="95">AK579</f>
        <v>Brian &amp; AndreaG prepare drafts for preview</v>
      </c>
      <c r="C579" s="268" t="s">
        <v>0</v>
      </c>
      <c r="D579" s="774"/>
      <c r="E579" s="889"/>
      <c r="F579"/>
      <c r="G579" s="256">
        <f t="shared" ref="G579" si="96">AG579</f>
        <v>41955</v>
      </c>
      <c r="H579" s="256">
        <f t="shared" ref="H579:H584" si="97">AH579</f>
        <v>41960</v>
      </c>
      <c r="I579" s="930"/>
      <c r="AF579" s="361">
        <f t="shared" si="94"/>
        <v>1</v>
      </c>
      <c r="AG579" s="775">
        <f>WORKDAY(H573,1,S.DDL_DEQClosed)</f>
        <v>41955</v>
      </c>
      <c r="AH579" s="775">
        <f>WORKDAY(G579,3,S.DDL_DEQClosed)</f>
        <v>41960</v>
      </c>
      <c r="AI579" s="59"/>
      <c r="AJ579" s="59"/>
      <c r="AK579" s="776" t="str">
        <f>S.Staff.Subject.Expert.FirstName&amp;" &amp; "&amp;S.Staff.RG.Lead.FirstName&amp;" prepare drafts for preview"</f>
        <v>Brian &amp; AndreaG prepare drafts for preview</v>
      </c>
      <c r="AL579" s="76"/>
    </row>
    <row r="580" spans="1:39" s="23" customFormat="1" ht="14.1" customHeight="1">
      <c r="A580" s="145"/>
      <c r="B580" s="267" t="str">
        <f t="shared" si="95"/>
        <v>DavidC approves moving forward with Notice and Proposed Rules</v>
      </c>
      <c r="C580" s="268" t="s">
        <v>0</v>
      </c>
      <c r="D580" s="283"/>
      <c r="E580" s="750"/>
      <c r="G580" s="256">
        <f>AG580</f>
        <v>41961</v>
      </c>
      <c r="H580" s="256">
        <f t="shared" si="97"/>
        <v>41962</v>
      </c>
      <c r="I580" s="745"/>
      <c r="AF580" s="361">
        <f t="shared" si="94"/>
        <v>1</v>
      </c>
      <c r="AG580" s="60">
        <f>IF(AF580=0,,WORKDAY(H579,1,S.DDL_DEQClosed))</f>
        <v>41961</v>
      </c>
      <c r="AH580" s="60">
        <f>IF(AF580=0,,WORKDAY(G580,1,S.DDL_DEQClosed))</f>
        <v>41962</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c r="A581" s="145"/>
      <c r="B581" s="359" t="str">
        <f t="shared" ref="B581:B584" si="98">AK581</f>
        <v>2nd loop of DavidC's Notice Packet review and approval</v>
      </c>
      <c r="C581" s="481" t="s">
        <v>206</v>
      </c>
      <c r="D581" s="283"/>
      <c r="E581" s="750"/>
      <c r="F581"/>
      <c r="G581" s="256">
        <f>AG581</f>
        <v>0</v>
      </c>
      <c r="H581" s="256">
        <f t="shared" si="9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c r="A582" s="145"/>
      <c r="B582" s="339" t="str">
        <f t="shared" si="98"/>
        <v>3rd loop of DavidC's Notice Packet review and approval</v>
      </c>
      <c r="C582" s="481" t="s">
        <v>206</v>
      </c>
      <c r="D582" s="283"/>
      <c r="E582" s="750"/>
      <c r="F582"/>
      <c r="G582" s="256">
        <f t="shared" ref="G582:G583" si="99">AG582</f>
        <v>0</v>
      </c>
      <c r="H582" s="256">
        <f t="shared" si="9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c r="A583" s="145"/>
      <c r="B583" s="440" t="str">
        <f t="shared" si="98"/>
        <v>4th loop of DavidC's Notice Packet review and approval</v>
      </c>
      <c r="C583" s="481" t="s">
        <v>206</v>
      </c>
      <c r="D583" s="283"/>
      <c r="E583" s="750"/>
      <c r="F583"/>
      <c r="G583" s="256">
        <f t="shared" si="99"/>
        <v>0</v>
      </c>
      <c r="H583" s="256">
        <f t="shared" si="9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c r="A584" s="145"/>
      <c r="B584" s="267" t="str">
        <f t="shared" si="98"/>
        <v>Brian &amp; AndreaG address any concerns that may block DavidC's approval</v>
      </c>
      <c r="C584" s="282" t="s">
        <v>0</v>
      </c>
      <c r="D584" s="283"/>
      <c r="E584" s="750"/>
      <c r="F584"/>
      <c r="G584" s="256">
        <f>AG584</f>
        <v>41963</v>
      </c>
      <c r="H584" s="256">
        <f t="shared" si="97"/>
        <v>41964</v>
      </c>
      <c r="I584" s="745"/>
      <c r="AF584" s="361">
        <f t="shared" ref="AF584:AF592" si="100">IF(S.Notice.Involved="Y",1,0)</f>
        <v>1</v>
      </c>
      <c r="AG584" s="60">
        <f>WORKDAY(MAX(H562:H583),1,S.DDL_DEQClosed)</f>
        <v>41963</v>
      </c>
      <c r="AH584" s="60">
        <f>IF(AF584=0,,WORKDAY(G584,1,S.DDL_DEQClosed))</f>
        <v>41964</v>
      </c>
      <c r="AI584" s="59"/>
      <c r="AJ584" s="59"/>
      <c r="AK584" s="182" t="str">
        <f>S.Staff.Subject.Expert.FirstName&amp;" &amp; "&amp;S.Staff.RG.Lead.FirstName&amp;" address any concerns that may block "&amp;S.Staff.Program.Mgr.FirstName&amp;"'s approval"</f>
        <v>Brian &amp; AndreaG address any concerns that may block DavidC's approval</v>
      </c>
      <c r="AL584" s="76"/>
    </row>
    <row r="585" spans="1:39" s="23" customFormat="1" ht="20.25" customHeight="1">
      <c r="A585" s="145"/>
      <c r="B585" s="523" t="s">
        <v>774</v>
      </c>
      <c r="C585" s="541"/>
      <c r="D585" s="705"/>
      <c r="E585" s="705"/>
      <c r="F585"/>
      <c r="I585" s="745"/>
      <c r="AF585" s="361">
        <f t="shared" si="100"/>
        <v>1</v>
      </c>
      <c r="AG585" s="59"/>
      <c r="AH585" s="59"/>
      <c r="AI585" s="59"/>
      <c r="AJ585" s="59"/>
      <c r="AK585" s="44"/>
      <c r="AL585" s="76"/>
    </row>
    <row r="586" spans="1:39" s="23" customFormat="1" ht="14.1" customHeight="1">
      <c r="A586" s="145"/>
      <c r="B586" s="267" t="str">
        <f t="shared" ref="B586:B590" si="101">AK586</f>
        <v>AndreaG drafts EMAIL.PREVIEW - instructions in template:</v>
      </c>
      <c r="C586" s="509" t="str">
        <f>HYPERLINK("\\deqhq1\Rule_Resources\i\EMAIL.Preview.docx","i")</f>
        <v>i</v>
      </c>
      <c r="D586" s="283"/>
      <c r="E586" s="750"/>
      <c r="F586"/>
      <c r="H586" s="265">
        <f>AH586</f>
        <v>41964</v>
      </c>
      <c r="I586" s="745"/>
      <c r="AF586" s="361">
        <f t="shared" si="100"/>
        <v>1</v>
      </c>
      <c r="AG586" s="59"/>
      <c r="AH586" s="60">
        <f>IF(AF586=0,,H584)</f>
        <v>41964</v>
      </c>
      <c r="AI586" s="59"/>
      <c r="AJ586" s="59"/>
      <c r="AK586" s="182" t="str">
        <f>S.Staff.RG.Lead.FirstName&amp;" drafts EMAIL.PREVIEW - instructions in template:"</f>
        <v>AndreaG drafts EMAIL.PREVIEW - instructions in template:</v>
      </c>
      <c r="AL586" s="76"/>
    </row>
    <row r="587" spans="1:39" s="23" customFormat="1" ht="14.1" customHeight="1">
      <c r="A587" s="145"/>
      <c r="B587" s="320" t="str">
        <f t="shared" si="101"/>
        <v>* sends draft to Uri before briefing, copies Brian &amp; DavidC</v>
      </c>
      <c r="C587" s="541" t="s">
        <v>0</v>
      </c>
      <c r="D587" s="705"/>
      <c r="E587" s="705"/>
      <c r="F587"/>
      <c r="I587" s="745"/>
      <c r="AF587" s="361">
        <f t="shared" si="100"/>
        <v>1</v>
      </c>
      <c r="AG587" s="59"/>
      <c r="AH587" s="59"/>
      <c r="AI587" s="59"/>
      <c r="AJ587" s="59"/>
      <c r="AK587" s="182" t="str">
        <f>"* sends draft to "&amp;S.Staff.Assistant.DA.ShortName&amp;" before briefing, copies "&amp;S.Staff.Subject.Expert.FirstName&amp;" &amp; "&amp;S.Staff.Program.Mgr.FirstName</f>
        <v>* sends draft to Uri before briefing, copies Brian &amp; DavidC</v>
      </c>
      <c r="AL587" s="76"/>
    </row>
    <row r="588" spans="1:39" ht="14.1" customHeight="1">
      <c r="A588" s="145"/>
      <c r="B588" s="284" t="str">
        <f t="shared" si="101"/>
        <v>Brian, DavidC &amp; AndreaG:</v>
      </c>
      <c r="C588" s="541" t="s">
        <v>0</v>
      </c>
      <c r="D588" s="705"/>
      <c r="E588" s="705"/>
      <c r="F588"/>
      <c r="G588"/>
      <c r="H588"/>
      <c r="I588" s="745"/>
      <c r="AF588" s="361">
        <f t="shared" si="100"/>
        <v>1</v>
      </c>
      <c r="AG588" s="59"/>
      <c r="AH588" s="59"/>
      <c r="AI588" s="59"/>
      <c r="AJ588" s="59"/>
      <c r="AK588" s="182" t="str">
        <f>S.Staff.Subject.Expert.FirstName&amp;", "&amp;S.Staff.Program.Mgr.FirstName&amp;" &amp; "&amp;S.Staff.RG.Lead.FirstName&amp;":"</f>
        <v>Brian, DavidC &amp; AndreaG:</v>
      </c>
      <c r="AL588" s="76"/>
      <c r="AM588"/>
    </row>
    <row r="589" spans="1:39" s="23" customFormat="1" ht="14.1" customHeight="1">
      <c r="A589" s="145"/>
      <c r="B589" s="320" t="str">
        <f t="shared" si="101"/>
        <v>* brief Uri</v>
      </c>
      <c r="C589" s="478" t="s">
        <v>0</v>
      </c>
      <c r="D589" s="283"/>
      <c r="E589" s="750"/>
      <c r="F589"/>
      <c r="G589" s="917" t="s">
        <v>760</v>
      </c>
      <c r="H589" s="256">
        <f>AH589</f>
        <v>41964</v>
      </c>
      <c r="I589" s="745"/>
      <c r="J589"/>
      <c r="K589"/>
      <c r="L589"/>
      <c r="M589"/>
      <c r="N589"/>
      <c r="O589"/>
      <c r="P589"/>
      <c r="Q589"/>
      <c r="R589"/>
      <c r="S589"/>
      <c r="T589"/>
      <c r="U589"/>
      <c r="X589"/>
      <c r="AB589"/>
      <c r="AC589"/>
      <c r="AF589" s="361">
        <f t="shared" si="100"/>
        <v>1</v>
      </c>
      <c r="AG589" s="59"/>
      <c r="AH589" s="60">
        <f>IF(AF540=0,,WORKDAY(S.Notice.Submit.ToADA,-1,S.DDL_DEQClosed))</f>
        <v>41964</v>
      </c>
      <c r="AI589" s="59" t="s">
        <v>0</v>
      </c>
      <c r="AJ589" s="59"/>
      <c r="AK589" s="182" t="str">
        <f>"* brief "&amp;S.Staff.Assistant.DA.ShortName</f>
        <v>* brief Uri</v>
      </c>
      <c r="AL589" s="76"/>
    </row>
    <row r="590" spans="1:39" s="23" customFormat="1" ht="14.1" customHeight="1" thickBot="1">
      <c r="A590" s="145"/>
      <c r="B590" s="320" t="str">
        <f t="shared" si="101"/>
        <v>* remind Uri this is also his review/approval period</v>
      </c>
      <c r="C590" s="541" t="s">
        <v>0</v>
      </c>
      <c r="D590" s="705"/>
      <c r="E590" s="705"/>
      <c r="F590"/>
      <c r="G590" s="784"/>
      <c r="H590" s="784"/>
      <c r="I590" s="745"/>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1"/>
      <c r="D591" s="701"/>
      <c r="E591" s="701"/>
      <c r="F591" s="781"/>
      <c r="G591" s="1015" t="s">
        <v>634</v>
      </c>
      <c r="H591" s="1016"/>
      <c r="I591" s="745"/>
      <c r="AE591" s="780"/>
      <c r="AF591" s="361">
        <f t="shared" si="100"/>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0" t="str">
        <f>AK592</f>
        <v>To… Dick, Wendy, Leadership Team &amp; StephanieC</v>
      </c>
      <c r="C592" s="541"/>
      <c r="D592" s="701"/>
      <c r="E592" s="701"/>
      <c r="F592" s="781"/>
      <c r="G592" s="954" t="s">
        <v>57</v>
      </c>
      <c r="H592" s="955" t="s">
        <v>172</v>
      </c>
      <c r="I592" s="745"/>
      <c r="AE592" s="780"/>
      <c r="AF592" s="361">
        <f t="shared" si="100"/>
        <v>1</v>
      </c>
      <c r="AG592" s="59"/>
      <c r="AH592" s="59"/>
      <c r="AI592" s="59"/>
      <c r="AJ592" s="59"/>
      <c r="AK592" s="182" t="str">
        <f>"To… "&amp;S.Staff.Director&amp;", "&amp;S.Staff.DA.ForProgram.FirstName&amp;", Leadership Team &amp; "&amp;S.Staff.EQCAssistant</f>
        <v>To… Dick, Wendy, Leadership Team &amp; StephanieC</v>
      </c>
      <c r="AL592" s="76"/>
    </row>
    <row r="593" spans="1:39" s="23" customFormat="1" ht="14.1" customHeight="1">
      <c r="A593" s="145"/>
      <c r="B593" s="530" t="s">
        <v>775</v>
      </c>
      <c r="C593" s="541" t="s">
        <v>0</v>
      </c>
      <c r="D593" s="265"/>
      <c r="E593" s="890"/>
      <c r="F593" s="781"/>
      <c r="G593" s="956">
        <f>AG593</f>
        <v>41967</v>
      </c>
      <c r="H593" s="957">
        <f>AH593</f>
        <v>41974</v>
      </c>
      <c r="I593" s="745"/>
      <c r="J593"/>
      <c r="K593"/>
      <c r="L593"/>
      <c r="M593"/>
      <c r="N593"/>
      <c r="O593"/>
      <c r="P593"/>
      <c r="Q593"/>
      <c r="R593"/>
      <c r="S593"/>
      <c r="T593"/>
      <c r="U593"/>
      <c r="X593"/>
      <c r="AB593"/>
      <c r="AC593"/>
      <c r="AE593" s="780"/>
      <c r="AF593" s="361">
        <f t="shared" ref="AF593:AF602" si="102">IF(S.Notice.Involved="Y",1,0)</f>
        <v>1</v>
      </c>
      <c r="AG593" s="60">
        <f>S.Notice.Submit.ToADA</f>
        <v>41967</v>
      </c>
      <c r="AH593" s="60">
        <f>IF(AF593=0,,AH25)</f>
        <v>41974</v>
      </c>
      <c r="AI593" s="59"/>
      <c r="AJ593" s="59"/>
      <c r="AK593" s="44"/>
      <c r="AL593" s="76"/>
    </row>
    <row r="594" spans="1:39" s="23" customFormat="1" ht="14.1" customHeight="1" thickBot="1">
      <c r="A594" s="145"/>
      <c r="C594" s="545" t="s">
        <v>0</v>
      </c>
      <c r="D594" s="583"/>
      <c r="E594" s="40"/>
      <c r="F594" s="781"/>
      <c r="G594" s="1017" t="s">
        <v>635</v>
      </c>
      <c r="H594" s="1018"/>
      <c r="I594" s="745"/>
      <c r="J594"/>
      <c r="K594"/>
      <c r="L594"/>
      <c r="M594"/>
      <c r="N594"/>
      <c r="O594"/>
      <c r="P594"/>
      <c r="Q594"/>
      <c r="R594"/>
      <c r="S594"/>
      <c r="T594"/>
      <c r="U594"/>
      <c r="X594"/>
      <c r="AB594"/>
      <c r="AC594"/>
      <c r="AE594" s="780"/>
      <c r="AF594" s="361">
        <f t="shared" si="102"/>
        <v>1</v>
      </c>
      <c r="AG594" s="59"/>
      <c r="AH594" s="58"/>
      <c r="AI594" s="59"/>
      <c r="AJ594" s="59"/>
      <c r="AK594" s="44"/>
      <c r="AL594" s="76"/>
    </row>
    <row r="595" spans="1:39" ht="6" customHeight="1" thickTop="1">
      <c r="A595" s="145"/>
      <c r="C595" s="306"/>
      <c r="D595" s="40"/>
      <c r="E595" s="40"/>
      <c r="F595" s="40"/>
      <c r="G595"/>
      <c r="H595"/>
      <c r="I595" s="745"/>
      <c r="AF595" s="361">
        <f t="shared" si="102"/>
        <v>1</v>
      </c>
      <c r="AG595" s="58"/>
      <c r="AH595" s="58"/>
      <c r="AI595" s="59"/>
      <c r="AJ595" s="59"/>
      <c r="AK595" s="44"/>
      <c r="AL595" s="76"/>
      <c r="AM595"/>
    </row>
    <row r="596" spans="1:39" s="23" customFormat="1" ht="14.1" customHeight="1">
      <c r="A596" s="145"/>
      <c r="B596" s="267" t="str">
        <f>AK596</f>
        <v>Brian:</v>
      </c>
      <c r="C596" s="268"/>
      <c r="D596" s="283"/>
      <c r="E596" s="750"/>
      <c r="F596"/>
      <c r="G596" s="265">
        <f>AG596</f>
        <v>41967</v>
      </c>
      <c r="H596" s="265">
        <f>AH596</f>
        <v>41978</v>
      </c>
      <c r="I596" s="745"/>
      <c r="J596"/>
      <c r="K596"/>
      <c r="L596"/>
      <c r="M596"/>
      <c r="N596"/>
      <c r="O596"/>
      <c r="P596"/>
      <c r="Q596"/>
      <c r="R596"/>
      <c r="S596"/>
      <c r="T596"/>
      <c r="U596"/>
      <c r="X596"/>
      <c r="AB596"/>
      <c r="AC596"/>
      <c r="AF596" s="361">
        <f t="shared" si="102"/>
        <v>1</v>
      </c>
      <c r="AG596" s="60">
        <f>IF(AF596=0,,S.Notice.PreviewBegin)</f>
        <v>41967</v>
      </c>
      <c r="AH596" s="60">
        <f>IF(AF596=0,,WORKDAY(AH593+6,-1,S.DDL_DEQClosed))</f>
        <v>41978</v>
      </c>
      <c r="AI596" s="58"/>
      <c r="AJ596" s="44"/>
      <c r="AK596" s="182" t="str">
        <f>S.Staff.Subject.Expert.FirstName&amp;":"</f>
        <v>Brian:</v>
      </c>
      <c r="AL596" s="76"/>
    </row>
    <row r="597" spans="1:39" s="23" customFormat="1" ht="14.1" customHeight="1">
      <c r="A597" s="145"/>
      <c r="B597" s="289" t="s">
        <v>234</v>
      </c>
      <c r="C597" s="509" t="str">
        <f>HYPERLINK("\\deqhq1\Rule_Development\Currrent Plan","i")</f>
        <v>i</v>
      </c>
      <c r="D597" s="283"/>
      <c r="E597" s="750"/>
      <c r="I597" s="745"/>
      <c r="J597"/>
      <c r="K597"/>
      <c r="L597"/>
      <c r="M597"/>
      <c r="N597"/>
      <c r="O597"/>
      <c r="P597"/>
      <c r="Q597"/>
      <c r="R597"/>
      <c r="S597"/>
      <c r="T597"/>
      <c r="U597"/>
      <c r="X597"/>
      <c r="AB597"/>
      <c r="AC597"/>
      <c r="AF597" s="361">
        <f t="shared" si="102"/>
        <v>1</v>
      </c>
      <c r="AG597" s="58"/>
      <c r="AH597" s="58"/>
      <c r="AI597" s="58"/>
      <c r="AJ597" s="59"/>
      <c r="AK597" s="44"/>
      <c r="AL597" s="76"/>
    </row>
    <row r="598" spans="1:39" ht="14.1" customHeight="1">
      <c r="A598" s="145"/>
      <c r="B598" s="289" t="str">
        <f t="shared" ref="B598" si="103">AK598</f>
        <v>* talks with DavidC, decides how to address any feedback from preview</v>
      </c>
      <c r="C598" s="545" t="s">
        <v>0</v>
      </c>
      <c r="D598" s="283"/>
      <c r="E598" s="750"/>
      <c r="F598"/>
      <c r="G598"/>
      <c r="H598"/>
      <c r="I598" s="745"/>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c r="A599" s="145"/>
      <c r="B599" s="289" t="s">
        <v>202</v>
      </c>
      <c r="C599" s="545" t="s">
        <v>0</v>
      </c>
      <c r="D599" s="283"/>
      <c r="E599" s="750"/>
      <c r="F599"/>
      <c r="I599" s="745"/>
      <c r="J599"/>
      <c r="K599"/>
      <c r="L599"/>
      <c r="M599"/>
      <c r="N599"/>
      <c r="O599"/>
      <c r="P599"/>
      <c r="Q599"/>
      <c r="R599"/>
      <c r="S599"/>
      <c r="T599"/>
      <c r="U599"/>
      <c r="X599"/>
      <c r="AB599"/>
      <c r="AC599"/>
      <c r="AF599" s="361">
        <f t="shared" si="102"/>
        <v>1</v>
      </c>
      <c r="AG599" s="58"/>
      <c r="AH599" s="58"/>
      <c r="AI599" s="59"/>
      <c r="AJ599" s="59"/>
      <c r="AK599" s="44"/>
      <c r="AL599" s="76"/>
    </row>
    <row r="600" spans="1:39" ht="14.1" customHeight="1">
      <c r="A600" s="145"/>
      <c r="B600" s="220" t="s">
        <v>636</v>
      </c>
      <c r="C600" s="545" t="s">
        <v>0</v>
      </c>
      <c r="D600" s="283"/>
      <c r="E600" s="750"/>
      <c r="F600"/>
      <c r="G600" s="23"/>
      <c r="H600" s="23"/>
      <c r="I600" s="745"/>
      <c r="AF600" s="361">
        <f t="shared" si="102"/>
        <v>1</v>
      </c>
      <c r="AG600" s="58"/>
      <c r="AH600" s="58"/>
      <c r="AI600" s="59"/>
      <c r="AJ600" s="59"/>
      <c r="AK600" s="44"/>
      <c r="AL600" s="76"/>
      <c r="AM600"/>
    </row>
    <row r="601" spans="1:39" ht="14.1" customHeight="1">
      <c r="A601" s="145"/>
      <c r="B601" s="298" t="str">
        <f>AK601</f>
        <v>* finalizes Notice Packet with DavidC</v>
      </c>
      <c r="C601" s="541" t="s">
        <v>0</v>
      </c>
      <c r="D601" s="283"/>
      <c r="E601" s="750"/>
      <c r="F601"/>
      <c r="G601" s="40"/>
      <c r="H601" s="23"/>
      <c r="I601" s="745"/>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c r="A602" s="145"/>
      <c r="B602" s="529" t="str">
        <f t="shared" ref="B602" si="104">AK602</f>
        <v>DavidC:</v>
      </c>
      <c r="F602"/>
      <c r="I602" s="745"/>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c r="A603" s="145"/>
      <c r="B603" s="298" t="str">
        <f>AK603</f>
        <v>* determines whether Uri needs a second review    'Y' if 2nd review needed&gt;</v>
      </c>
      <c r="C603" s="481" t="s">
        <v>206</v>
      </c>
      <c r="D603" s="283"/>
      <c r="E603" s="750"/>
      <c r="F603"/>
      <c r="G603" s="265">
        <f>AG603</f>
        <v>0</v>
      </c>
      <c r="H603" s="265">
        <f>AH603</f>
        <v>41978</v>
      </c>
      <c r="I603" s="745"/>
      <c r="J603"/>
      <c r="K603"/>
      <c r="L603"/>
      <c r="M603"/>
      <c r="N603"/>
      <c r="O603"/>
      <c r="P603"/>
      <c r="Q603"/>
      <c r="R603"/>
      <c r="S603"/>
      <c r="T603"/>
      <c r="U603"/>
      <c r="X603"/>
      <c r="AB603"/>
      <c r="AC603"/>
      <c r="AF603" s="361">
        <f>IF(AND(C603="Y",S.Notice.Involved="Y"),1,0)</f>
        <v>0</v>
      </c>
      <c r="AG603" s="60">
        <f>IF(AF603=0,,AH593)</f>
        <v>0</v>
      </c>
      <c r="AH603" s="60">
        <f>H596</f>
        <v>41978</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1" t="s">
        <v>0</v>
      </c>
      <c r="D604" s="705"/>
      <c r="E604" s="705"/>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Brian &amp; AndreaG</v>
      </c>
      <c r="C605" s="996" t="s">
        <v>0</v>
      </c>
      <c r="D605" s="996"/>
      <c r="E605" s="996"/>
      <c r="F605" s="996"/>
      <c r="G605" s="996"/>
      <c r="H605" s="811">
        <f t="shared" ref="H605" si="105">AH605</f>
        <v>41978</v>
      </c>
      <c r="I605" s="745"/>
      <c r="J605"/>
      <c r="K605"/>
      <c r="L605"/>
      <c r="M605"/>
      <c r="N605"/>
      <c r="O605"/>
      <c r="P605"/>
      <c r="Q605"/>
      <c r="R605"/>
      <c r="S605"/>
      <c r="T605"/>
      <c r="U605"/>
      <c r="X605"/>
      <c r="AB605"/>
      <c r="AC605"/>
      <c r="AF605" s="361">
        <f>IF(S.Notice.Involved="Y",1,0)</f>
        <v>1</v>
      </c>
      <c r="AG605" s="59"/>
      <c r="AH605" s="60">
        <f>WORKDAY(AH603+2,-1,S.DDL_DEQClosed)</f>
        <v>41978</v>
      </c>
      <c r="AI605" s="59"/>
      <c r="AJ605" s="59"/>
      <c r="AK605" s="182" t="str">
        <f>"* emails approval to move forward with Notice to "&amp;S.Staff.Subject.Expert.FirstName&amp;" &amp; "&amp;S.Staff.RG.Lead.FirstName</f>
        <v>* emails approval to move forward with Notice to Brian &amp; AndreaG</v>
      </c>
      <c r="AL605" s="76"/>
    </row>
    <row r="606" spans="1:39" s="23" customFormat="1" ht="14.1" customHeight="1">
      <c r="A606" s="145" t="s">
        <v>0</v>
      </c>
      <c r="B606" s="285" t="str">
        <f t="shared" ref="B606" si="106">AK606</f>
        <v>AndreaG, depending on input from preview, leads Rule Publication work that:</v>
      </c>
      <c r="C606" s="321"/>
      <c r="D606" s="478" t="s">
        <v>0</v>
      </c>
      <c r="E606" s="478"/>
      <c r="F606" s="478"/>
      <c r="G606" s="256">
        <f>AG606</f>
        <v>41981</v>
      </c>
      <c r="I606" s="745"/>
      <c r="J606"/>
      <c r="K606"/>
      <c r="L606"/>
      <c r="M606"/>
      <c r="N606"/>
      <c r="O606"/>
      <c r="P606"/>
      <c r="Q606"/>
      <c r="R606"/>
      <c r="S606"/>
      <c r="T606"/>
      <c r="U606"/>
      <c r="X606"/>
      <c r="AB606"/>
      <c r="AC606"/>
      <c r="AF606" s="361">
        <f t="shared" ref="AF606:AF622" si="107">IF(S.Notice.Involved="Y",1,0)</f>
        <v>1</v>
      </c>
      <c r="AG606" s="60">
        <f>WORKDAY(S.Notice.MgrNoticeApproval,1,S.DDL_DEQClosed)</f>
        <v>41981</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6.25" customHeight="1">
      <c r="A607" s="145" t="s">
        <v>0</v>
      </c>
      <c r="B607" s="289" t="s">
        <v>687</v>
      </c>
      <c r="C607" s="321"/>
      <c r="D607" s="716"/>
      <c r="E607" s="716"/>
      <c r="F607" s="287"/>
      <c r="G607" s="288"/>
      <c r="H607" s="288"/>
      <c r="I607" s="745"/>
      <c r="AF607" s="361">
        <f t="shared" si="107"/>
        <v>1</v>
      </c>
      <c r="AG607" s="58"/>
      <c r="AH607" s="58"/>
      <c r="AI607" s="59"/>
      <c r="AJ607" s="59"/>
      <c r="AK607" s="159" t="s">
        <v>0</v>
      </c>
      <c r="AL607" s="76"/>
    </row>
    <row r="608" spans="1:39" s="23" customFormat="1" ht="14.1" customHeight="1">
      <c r="A608" s="145"/>
      <c r="B608" s="289" t="s">
        <v>691</v>
      </c>
      <c r="C608" s="321"/>
      <c r="D608" s="716"/>
      <c r="E608" s="716"/>
      <c r="F608" s="287"/>
      <c r="G608" s="288"/>
      <c r="H608" s="288"/>
      <c r="I608" s="745"/>
      <c r="AF608" s="361">
        <f t="shared" si="107"/>
        <v>1</v>
      </c>
      <c r="AG608" s="58"/>
      <c r="AH608" s="58"/>
      <c r="AI608" s="59"/>
      <c r="AJ608" s="59"/>
      <c r="AK608" s="159" t="s">
        <v>0</v>
      </c>
      <c r="AL608" s="76"/>
    </row>
    <row r="609" spans="1:38" s="23" customFormat="1" ht="14.1" customHeight="1">
      <c r="A609" s="145"/>
      <c r="B609" s="289" t="str">
        <f>AK609</f>
        <v>* verifies/clarifies additional edits with Brian &amp; DavidC as warranted</v>
      </c>
      <c r="C609" s="321"/>
      <c r="D609" s="1019"/>
      <c r="E609" s="1019"/>
      <c r="F609" s="1019"/>
      <c r="G609" s="1019"/>
      <c r="I609" s="745"/>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 &amp; DavidC as warranted</v>
      </c>
      <c r="AL609" s="76"/>
    </row>
    <row r="610" spans="1:38" s="23" customFormat="1" ht="14.1" customHeight="1">
      <c r="A610" s="145"/>
      <c r="B610" s="529" t="str">
        <f t="shared" ref="B610" si="108">AK610</f>
        <v>DavidC emails Brian &amp; AndreaG approval to publish notice</v>
      </c>
      <c r="C610" s="994" t="s">
        <v>689</v>
      </c>
      <c r="D610" s="994"/>
      <c r="E610" s="994"/>
      <c r="F610" s="994"/>
      <c r="G610" s="995"/>
      <c r="H610" s="256">
        <f>AH610</f>
        <v>41984</v>
      </c>
      <c r="I610" s="745"/>
      <c r="AF610" s="361">
        <f t="shared" si="107"/>
        <v>1</v>
      </c>
      <c r="AG610" s="58"/>
      <c r="AH610" s="60">
        <f>WORKDAY(G606,3,S.DDL_DEQClosed)</f>
        <v>41984</v>
      </c>
      <c r="AI610" s="59"/>
      <c r="AJ610" s="59"/>
      <c r="AK610" s="182" t="str">
        <f>S.Staff.Program.Mgr.FirstName&amp;" emails "&amp;S.Staff.Subject.Expert.FirstName&amp;" &amp; "&amp;S.Staff.RG.Lead.FirstName&amp;" approval to publish notice"</f>
        <v>DavidC emails Brian &amp; AndreaG approval to publish notice</v>
      </c>
      <c r="AL610" s="76"/>
    </row>
    <row r="611" spans="1:38" s="23" customFormat="1" ht="14.1" customHeight="1">
      <c r="A611" s="145"/>
      <c r="B611" s="267" t="str">
        <f>AK611</f>
        <v>Brian:</v>
      </c>
      <c r="C611" s="268"/>
      <c r="D611" s="268"/>
      <c r="E611" s="268"/>
      <c r="F611" s="262"/>
      <c r="G611"/>
      <c r="H611" s="258"/>
      <c r="I611" s="745"/>
      <c r="J611"/>
      <c r="K611"/>
      <c r="L611"/>
      <c r="M611"/>
      <c r="N611"/>
      <c r="O611"/>
      <c r="P611"/>
      <c r="Q611"/>
      <c r="R611"/>
      <c r="S611"/>
      <c r="T611"/>
      <c r="U611"/>
      <c r="X611"/>
      <c r="AB611"/>
      <c r="AC611"/>
      <c r="AF611" s="361">
        <f>IF(S.Notice.Involved="Y",1,0)</f>
        <v>1</v>
      </c>
      <c r="AG611" s="58"/>
      <c r="AH611" s="58"/>
      <c r="AI611" s="58"/>
      <c r="AJ611" s="44"/>
      <c r="AK611" s="182" t="str">
        <f>S.Staff.Subject.Expert.FirstName&amp;":"</f>
        <v>Brian:</v>
      </c>
      <c r="AL611" s="76"/>
    </row>
    <row r="612" spans="1:38" s="23" customFormat="1" ht="14.1" customHeight="1">
      <c r="A612" s="145"/>
      <c r="B612" s="298" t="s">
        <v>260</v>
      </c>
      <c r="C612" s="541" t="s">
        <v>0</v>
      </c>
      <c r="D612" s="283"/>
      <c r="E612" s="750"/>
      <c r="F612"/>
      <c r="G612"/>
      <c r="I612" s="745"/>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612</v>
      </c>
      <c r="C613" s="545"/>
      <c r="D613" s="705"/>
      <c r="E613" s="705"/>
      <c r="I613" s="745"/>
      <c r="AF613" s="361">
        <f>IF(AND(S.Notice.Involved="Y",S.Notice.AD.Involved="Y"),1,0)</f>
        <v>1</v>
      </c>
      <c r="AG613" s="59"/>
      <c r="AH613" s="59"/>
      <c r="AI613" s="59"/>
      <c r="AJ613" s="59"/>
      <c r="AK613" s="44"/>
      <c r="AL613" s="76"/>
    </row>
    <row r="614" spans="1:38" s="23" customFormat="1" ht="14.1" customHeight="1">
      <c r="A614" s="145"/>
      <c r="B614" s="267" t="str">
        <f>AK614</f>
        <v>Brian:</v>
      </c>
      <c r="C614" s="268"/>
      <c r="D614" s="268"/>
      <c r="E614" s="268"/>
      <c r="F614" s="262"/>
      <c r="G614" s="258"/>
      <c r="H614" s="258"/>
      <c r="I614" s="745"/>
      <c r="AF614" s="361">
        <f>IF(S.Notice.Involved="Y",1,0)</f>
        <v>1</v>
      </c>
      <c r="AG614" s="58"/>
      <c r="AH614" s="58"/>
      <c r="AI614" s="58"/>
      <c r="AJ614" s="44"/>
      <c r="AK614" s="182" t="str">
        <f>S.Staff.Subject.Expert.FirstName&amp;":"</f>
        <v>Brian:</v>
      </c>
      <c r="AL614" s="76"/>
    </row>
    <row r="615" spans="1:38" s="23" customFormat="1" ht="14.1" hidden="1" customHeight="1">
      <c r="A615" s="145"/>
      <c r="B615" s="298" t="s">
        <v>690</v>
      </c>
      <c r="C615" s="545" t="s">
        <v>0</v>
      </c>
      <c r="D615" s="283"/>
      <c r="E615" s="750"/>
      <c r="H615" s="256">
        <f t="shared" ref="H615" si="109">AH615</f>
        <v>41984</v>
      </c>
      <c r="I615" s="745"/>
      <c r="AF615" s="361">
        <f>IF(S.SIP.Involved="Y",1,0)</f>
        <v>1</v>
      </c>
      <c r="AG615" s="48"/>
      <c r="AH615" s="60">
        <f>S.Notice.OK.ToPublish</f>
        <v>41984</v>
      </c>
      <c r="AI615" s="59"/>
      <c r="AJ615" s="59"/>
      <c r="AK615" s="74"/>
      <c r="AL615" s="76"/>
    </row>
    <row r="616" spans="1:38" s="23" customFormat="1" ht="14.1" customHeight="1">
      <c r="A616" s="145" t="s">
        <v>0</v>
      </c>
      <c r="B616" s="285" t="str">
        <f t="shared" ref="B616" si="110">AK616</f>
        <v>AndreaG works with Rule Publication to:</v>
      </c>
      <c r="C616" s="321"/>
      <c r="D616" s="478" t="s">
        <v>0</v>
      </c>
      <c r="E616" s="478"/>
      <c r="F616" s="478"/>
      <c r="G616" s="256">
        <f>AG616</f>
        <v>41981</v>
      </c>
      <c r="I616" s="745"/>
      <c r="AF616" s="361">
        <f t="shared" si="107"/>
        <v>1</v>
      </c>
      <c r="AG616" s="60">
        <f>WORKDAY(S.Notice.MgrNoticeApproval,1,S.DDL_DEQClosed)</f>
        <v>41981</v>
      </c>
      <c r="AH616" s="58"/>
      <c r="AI616" s="59"/>
      <c r="AJ616" s="59"/>
      <c r="AK616" s="182" t="str">
        <f>S.Staff.RG.Lead.FirstName&amp;" works with Rule Publication to:"</f>
        <v>AndreaG works with Rule Publication to:</v>
      </c>
      <c r="AL616" s="76"/>
    </row>
    <row r="617" spans="1:38" s="23" customFormat="1" ht="14.1" customHeight="1" thickBot="1">
      <c r="A617" s="145"/>
      <c r="B617" s="289" t="str">
        <f t="shared" ref="B617" si="111">AK617</f>
        <v>* establishes Outlook comment box for University students with Brian as owner</v>
      </c>
      <c r="C617" s="321"/>
      <c r="D617" s="716"/>
      <c r="E617" s="716"/>
      <c r="F617" s="287"/>
      <c r="G617" s="288"/>
      <c r="H617" s="288"/>
      <c r="I617" s="745"/>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 as owner</v>
      </c>
      <c r="AL617" s="76"/>
    </row>
    <row r="618" spans="1:38" s="23" customFormat="1" ht="14.1" customHeight="1" thickBot="1">
      <c r="A618" s="145"/>
      <c r="B618" s="812" t="s">
        <v>653</v>
      </c>
      <c r="C618" s="358" t="s">
        <v>49</v>
      </c>
      <c r="D618" s="325"/>
      <c r="E618" s="325"/>
      <c r="F618" s="262"/>
      <c r="G618" s="258"/>
      <c r="H618" s="258"/>
      <c r="I618" s="745"/>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c r="A619" s="145"/>
      <c r="B619" s="289" t="s">
        <v>654</v>
      </c>
      <c r="C619" s="542"/>
      <c r="D619" s="325"/>
      <c r="E619" s="325"/>
      <c r="F619" s="262"/>
      <c r="G619" s="258"/>
      <c r="H619" s="258"/>
      <c r="I619" s="745"/>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c r="A620" s="145"/>
      <c r="B620" s="289" t="s">
        <v>765</v>
      </c>
      <c r="C620" s="358" t="str">
        <f>HYPERLINK("\\deqhq1\Rule_Resources\i\Final Review Checklist.docx","i")</f>
        <v>i</v>
      </c>
      <c r="D620" s="325"/>
      <c r="E620" s="325"/>
      <c r="F620" s="262"/>
      <c r="G620" s="258"/>
      <c r="H620" s="258"/>
      <c r="I620" s="745"/>
      <c r="AF620" s="361">
        <f t="shared" si="107"/>
        <v>1</v>
      </c>
      <c r="AG620" s="58"/>
      <c r="AH620" s="58"/>
      <c r="AI620" s="59"/>
      <c r="AJ620" s="59"/>
      <c r="AK620" s="74"/>
      <c r="AL620" s="76"/>
    </row>
    <row r="621" spans="1:38" s="23" customFormat="1" ht="14.1" customHeight="1" thickBot="1">
      <c r="A621" s="145"/>
      <c r="B621" s="289" t="s">
        <v>658</v>
      </c>
      <c r="C621" s="542"/>
      <c r="D621" s="325"/>
      <c r="E621" s="325"/>
      <c r="F621" s="262"/>
      <c r="G621" s="258"/>
      <c r="H621" s="258"/>
      <c r="I621" s="745"/>
      <c r="AF621" s="361">
        <f t="shared" si="107"/>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7"/>
      <c r="E622" s="717"/>
      <c r="F622"/>
      <c r="G622"/>
      <c r="H622"/>
      <c r="I622" s="745"/>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customHeight="1" thickBot="1">
      <c r="A623" s="145" t="s">
        <v>0</v>
      </c>
      <c r="B623" s="289" t="s">
        <v>656</v>
      </c>
      <c r="C623" s="545" t="s">
        <v>0</v>
      </c>
      <c r="D623" s="717"/>
      <c r="E623" s="717"/>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657</v>
      </c>
      <c r="C624" s="358" t="str">
        <f>HYPERLINK("\\deqhq1\Rule_Development\Currrent Plan","i")</f>
        <v>i</v>
      </c>
      <c r="D624" s="717"/>
      <c r="E624" s="717"/>
      <c r="I624" s="745"/>
      <c r="AF624" s="361">
        <f>IF(S.Notice.Involved="Y",1,0)</f>
        <v>1</v>
      </c>
      <c r="AG624" s="59"/>
      <c r="AH624" s="59"/>
      <c r="AI624" s="59"/>
      <c r="AJ624" s="59"/>
      <c r="AK624" s="74"/>
      <c r="AL624" s="76"/>
    </row>
    <row r="625" spans="1:39" s="23" customFormat="1" ht="14.1" customHeight="1">
      <c r="A625" s="145"/>
      <c r="B625" s="753" t="str">
        <f>AK625</f>
        <v>Brian leads:</v>
      </c>
      <c r="C625" s="548"/>
      <c r="D625"/>
      <c r="F625" s="40"/>
      <c r="I625" s="745"/>
      <c r="AF625" s="361">
        <f>IF(AND(S.Notice.Involved="Y",S.Notice.AD.Involved="Y"),1,0)</f>
        <v>1</v>
      </c>
      <c r="AG625" s="59"/>
      <c r="AH625" s="59"/>
      <c r="AI625" s="59"/>
      <c r="AJ625" s="59"/>
      <c r="AK625" s="182" t="str">
        <f>S.Staff.Subject.Expert.FirstName&amp;" leads:"</f>
        <v>Brian leads:</v>
      </c>
      <c r="AL625" s="76"/>
    </row>
    <row r="626" spans="1:39" s="23" customFormat="1" ht="14.1" customHeight="1" thickBot="1">
      <c r="A626" s="145"/>
      <c r="B626" s="289" t="s">
        <v>684</v>
      </c>
      <c r="C626" s="545" t="s">
        <v>0</v>
      </c>
      <c r="D626" s="1009" t="s">
        <v>652</v>
      </c>
      <c r="E626" s="1009"/>
      <c r="F626" s="1009"/>
      <c r="G626" s="1010"/>
      <c r="H626" s="973">
        <f>AH626</f>
        <v>41975</v>
      </c>
      <c r="I626" s="745"/>
      <c r="AF626" s="361">
        <f>IF(AND(S.Notice.AD.Involved="Y",S.Notice.Involved="Y"),1,0)</f>
        <v>1</v>
      </c>
      <c r="AG626" s="59"/>
      <c r="AH626" s="60">
        <f>IF(AF626=0,,S.Notice.AD.ToContractServices)</f>
        <v>41975</v>
      </c>
      <c r="AI626" s="59"/>
      <c r="AJ626" s="59"/>
      <c r="AK626" s="182" t="str">
        <f>"* modifies documents as needed"</f>
        <v>* modifies documents as needed</v>
      </c>
      <c r="AL626" s="76"/>
    </row>
    <row r="627" spans="1:39" s="23" customFormat="1" ht="14.1" customHeight="1" thickBot="1">
      <c r="A627" s="145"/>
      <c r="B627" s="289" t="s">
        <v>659</v>
      </c>
      <c r="C627" s="358" t="s">
        <v>49</v>
      </c>
      <c r="D627" s="283"/>
      <c r="E627" s="750"/>
      <c r="F627" s="262"/>
      <c r="G627" s="258"/>
      <c r="H627"/>
      <c r="I627" s="745"/>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c r="A628" s="145"/>
      <c r="B628" s="298" t="s">
        <v>661</v>
      </c>
      <c r="C628" s="500" t="s">
        <v>49</v>
      </c>
      <c r="D628" s="283"/>
      <c r="E628" s="750"/>
      <c r="F628"/>
      <c r="G628"/>
      <c r="H628"/>
      <c r="I628" s="745"/>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c r="A629" s="145"/>
      <c r="B629" s="289" t="s">
        <v>660</v>
      </c>
      <c r="C629" s="542"/>
      <c r="D629" s="283"/>
      <c r="E629" s="750"/>
      <c r="F629" s="262"/>
      <c r="G629" s="258"/>
      <c r="H629" s="258"/>
      <c r="I629" s="745"/>
      <c r="AF629" s="361">
        <f t="shared" si="112"/>
        <v>1</v>
      </c>
      <c r="AG629" s="58"/>
      <c r="AH629" s="58"/>
      <c r="AI629" s="59"/>
      <c r="AJ629" s="59"/>
      <c r="AK629" s="182" t="str">
        <f>"* validates Web page, comment form, hearing date accuracy with "&amp;S.Staff.Subject.Expert.FirstName</f>
        <v>* validates Web page, comment form, hearing date accuracy with Brian</v>
      </c>
      <c r="AL629" s="76"/>
    </row>
    <row r="630" spans="1:39" ht="14.1" customHeight="1">
      <c r="A630" s="145"/>
      <c r="B630" s="289" t="s">
        <v>688</v>
      </c>
      <c r="C630" s="545" t="s">
        <v>0</v>
      </c>
      <c r="D630" s="1008" t="s">
        <v>0</v>
      </c>
      <c r="E630" s="1009"/>
      <c r="F630" s="1009"/>
      <c r="G630" s="1010"/>
      <c r="H630" s="263">
        <f>AH630</f>
        <v>41989</v>
      </c>
      <c r="I630" s="745"/>
      <c r="AF630" s="361">
        <f t="shared" si="112"/>
        <v>1</v>
      </c>
      <c r="AG630" s="59"/>
      <c r="AH630" s="60">
        <f>IF(AF630=0,,S.Notice.OpenComment)</f>
        <v>41989</v>
      </c>
      <c r="AI630" s="59"/>
      <c r="AJ630" s="59"/>
      <c r="AK630" s="74"/>
      <c r="AL630" s="76"/>
      <c r="AM630"/>
    </row>
    <row r="631" spans="1:39" s="23" customFormat="1" ht="14.1" customHeight="1">
      <c r="A631" s="145"/>
      <c r="B631" s="423" t="s">
        <v>180</v>
      </c>
      <c r="C631" s="545" t="s">
        <v>0</v>
      </c>
      <c r="D631" s="283"/>
      <c r="E631" s="891"/>
      <c r="F631" s="813"/>
      <c r="G631" s="40"/>
      <c r="H631"/>
      <c r="I631" s="745"/>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c r="A632" s="145"/>
      <c r="B632" s="423" t="s">
        <v>188</v>
      </c>
      <c r="C632" s="545" t="s">
        <v>0</v>
      </c>
      <c r="D632" s="283"/>
      <c r="E632" s="750"/>
      <c r="F632"/>
      <c r="G632"/>
      <c r="H632"/>
      <c r="I632" s="745"/>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c r="A633" s="145"/>
      <c r="B633" s="423" t="s">
        <v>189</v>
      </c>
      <c r="C633" s="545" t="s">
        <v>0</v>
      </c>
      <c r="D633" s="283"/>
      <c r="E633" s="750"/>
      <c r="F633"/>
      <c r="G633"/>
      <c r="H633"/>
      <c r="I633" s="745"/>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c r="A634" s="145"/>
      <c r="B634" s="289" t="s">
        <v>665</v>
      </c>
      <c r="C634" s="545" t="s">
        <v>0</v>
      </c>
      <c r="D634" s="283"/>
      <c r="E634" s="750"/>
      <c r="F634"/>
      <c r="G634"/>
      <c r="H634"/>
      <c r="I634" s="745"/>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c r="A635" s="145"/>
      <c r="B635" s="289" t="s">
        <v>666</v>
      </c>
      <c r="C635" s="545" t="s">
        <v>0</v>
      </c>
      <c r="D635" s="283"/>
      <c r="E635" s="750"/>
      <c r="F635"/>
      <c r="G635"/>
      <c r="H635"/>
      <c r="I635" s="745"/>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c r="A636" s="145"/>
      <c r="B636" s="289" t="s">
        <v>662</v>
      </c>
      <c r="C636" s="511" t="str">
        <f>HYPERLINK("\\deqhq1\Rule_Development\Currrent Plan","i")</f>
        <v>i</v>
      </c>
      <c r="D636" s="717"/>
      <c r="E636" s="717"/>
      <c r="I636" s="745"/>
      <c r="AF636" s="361">
        <f t="shared" ref="AF636:AF647" si="113">IF(S.Notice.Involved="Y",1,0)</f>
        <v>1</v>
      </c>
      <c r="AG636" s="59"/>
      <c r="AH636" s="59"/>
      <c r="AI636" s="59"/>
      <c r="AJ636" s="59"/>
      <c r="AK636" s="74"/>
      <c r="AL636" s="76"/>
    </row>
    <row r="637" spans="1:39" s="23" customFormat="1" ht="14.1" customHeight="1">
      <c r="A637" s="145" t="s">
        <v>230</v>
      </c>
      <c r="B637" s="221" t="str">
        <f>AK637</f>
        <v>Brian drafts EMAIL.NOTICE.TO.KEY.LEGISLATORS  - instruction in template:</v>
      </c>
      <c r="C637" s="511" t="str">
        <f>HYPERLINK("\\deqhq1\Rule_Resources\i\EMAIL.KeyLegislators.docx","i")</f>
        <v>i</v>
      </c>
      <c r="D637" s="283"/>
      <c r="E637" s="750"/>
      <c r="F637"/>
      <c r="H637" s="256">
        <f>AH637</f>
        <v>41982</v>
      </c>
      <c r="I637" s="745"/>
      <c r="J637"/>
      <c r="K637"/>
      <c r="L637"/>
      <c r="M637"/>
      <c r="N637"/>
      <c r="O637"/>
      <c r="P637"/>
      <c r="Q637"/>
      <c r="R637"/>
      <c r="S637"/>
      <c r="T637"/>
      <c r="U637"/>
      <c r="X637"/>
      <c r="AB637"/>
      <c r="AC637"/>
      <c r="AF637" s="361">
        <f t="shared" si="113"/>
        <v>1</v>
      </c>
      <c r="AG637" s="60">
        <f>H251</f>
        <v>41968</v>
      </c>
      <c r="AH637" s="60">
        <f>IF(AF637=0,,WORKDAY(S.Notice.OpenComment,-5,S.DDL_DEQClosed))</f>
        <v>41982</v>
      </c>
      <c r="AI637" s="59"/>
      <c r="AJ637" s="59"/>
      <c r="AK637" s="182" t="str">
        <f>S.Staff.Subject.Expert.FirstName&amp;" drafts EMAIL.NOTICE.TO.KEY.LEGISLATORS  - instruction in template:"</f>
        <v>Brian drafts EMAIL.NOTICE.TO.KEY.LEGISLATORS  - instruction in template:</v>
      </c>
      <c r="AL637" s="76"/>
    </row>
    <row r="638" spans="1:39" s="23" customFormat="1" ht="14.1" customHeight="1">
      <c r="A638" s="145"/>
      <c r="B638" s="269" t="str">
        <f>AK638</f>
        <v>* sends draft to MargaretO to:</v>
      </c>
      <c r="C638" s="542"/>
      <c r="D638" s="283"/>
      <c r="E638" s="750"/>
      <c r="F638"/>
      <c r="G638"/>
      <c r="H638"/>
      <c r="I638" s="745"/>
      <c r="J638"/>
      <c r="K638"/>
      <c r="L638"/>
      <c r="M638"/>
      <c r="N638"/>
      <c r="O638"/>
      <c r="P638"/>
      <c r="Q638"/>
      <c r="R638"/>
      <c r="S638"/>
      <c r="T638"/>
      <c r="U638"/>
      <c r="X638"/>
      <c r="AB638"/>
      <c r="AC638"/>
      <c r="AF638" s="361">
        <f t="shared" si="113"/>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113"/>
        <v>1</v>
      </c>
      <c r="AG639" s="58"/>
      <c r="AH639" s="58"/>
      <c r="AI639" s="59"/>
      <c r="AJ639" s="59"/>
      <c r="AK639" s="182" t="str">
        <f>S.Staff.LegislativeLiason&amp;":"</f>
        <v>MargaretO:</v>
      </c>
      <c r="AL639" s="76"/>
    </row>
    <row r="640" spans="1:39" s="23" customFormat="1" ht="14.1" customHeight="1">
      <c r="A640" s="145"/>
      <c r="B640" s="269" t="s">
        <v>667</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113"/>
        <v>1</v>
      </c>
      <c r="AG640" s="59"/>
      <c r="AH640" s="59"/>
      <c r="AI640" s="59"/>
      <c r="AJ640" s="59"/>
      <c r="AK640" s="159" t="s">
        <v>0</v>
      </c>
      <c r="AL640" s="76"/>
    </row>
    <row r="641" spans="1:39" s="23" customFormat="1" ht="14.1" customHeight="1">
      <c r="A641" s="145"/>
      <c r="B641" s="269" t="s">
        <v>668</v>
      </c>
      <c r="C641" s="542"/>
      <c r="D641" s="283"/>
      <c r="E641" s="750"/>
      <c r="I641" s="745"/>
      <c r="AF641" s="361">
        <f t="shared" si="113"/>
        <v>1</v>
      </c>
      <c r="AG641" s="59"/>
      <c r="AH641" s="59"/>
      <c r="AI641" s="59"/>
      <c r="AJ641" s="59"/>
      <c r="AK641" s="159" t="s">
        <v>0</v>
      </c>
      <c r="AL641" s="76"/>
    </row>
    <row r="642" spans="1:39" s="23" customFormat="1" ht="14.1" customHeight="1">
      <c r="A642" s="145"/>
      <c r="B642" s="269" t="str">
        <f>AK642</f>
        <v>* emails to recipients with Return Receipt (redirects receipt to Brian)</v>
      </c>
      <c r="C642" s="542"/>
      <c r="D642" s="283"/>
      <c r="E642" s="750"/>
      <c r="F642"/>
      <c r="H642" s="256">
        <f>AH642</f>
        <v>41989</v>
      </c>
      <c r="I642" s="745"/>
      <c r="J642"/>
      <c r="K642"/>
      <c r="L642"/>
      <c r="M642"/>
      <c r="N642"/>
      <c r="O642"/>
      <c r="P642"/>
      <c r="Q642"/>
      <c r="R642"/>
      <c r="S642"/>
      <c r="T642"/>
      <c r="U642"/>
      <c r="X642"/>
      <c r="AB642"/>
      <c r="AC642"/>
      <c r="AF642" s="361">
        <f t="shared" si="113"/>
        <v>1</v>
      </c>
      <c r="AG642" s="60" t="s">
        <v>230</v>
      </c>
      <c r="AH642" s="60">
        <f>IF(AF642=0,,S.Notice.OpenComment)</f>
        <v>41989</v>
      </c>
      <c r="AI642" s="59"/>
      <c r="AJ642" s="59"/>
      <c r="AK642" s="182" t="str">
        <f>"* emails to recipients with Return Receipt (redirects receipt to "&amp;S.Staff.Subject.Expert.FirstName&amp;")"</f>
        <v>* emails to recipients with Return Receipt (redirects receipt to Brian)</v>
      </c>
      <c r="AL642" s="76"/>
    </row>
    <row r="643" spans="1:39" s="23" customFormat="1" ht="14.1" customHeight="1">
      <c r="A643" s="145"/>
      <c r="B643" s="220" t="str">
        <f>AK643</f>
        <v>* copies Brian</v>
      </c>
      <c r="C643" s="545" t="s">
        <v>0</v>
      </c>
      <c r="D643" s="283"/>
      <c r="E643" s="750"/>
      <c r="F643"/>
      <c r="G643"/>
      <c r="H643"/>
      <c r="I643" s="745"/>
      <c r="J643"/>
      <c r="K643"/>
      <c r="L643"/>
      <c r="M643"/>
      <c r="N643"/>
      <c r="O643"/>
      <c r="P643"/>
      <c r="Q643"/>
      <c r="R643"/>
      <c r="S643"/>
      <c r="T643"/>
      <c r="U643"/>
      <c r="X643"/>
      <c r="AB643"/>
      <c r="AC643"/>
      <c r="AF643" s="361">
        <f t="shared" si="113"/>
        <v>1</v>
      </c>
      <c r="AG643" s="58"/>
      <c r="AH643" s="58"/>
      <c r="AI643" s="59"/>
      <c r="AJ643" s="59"/>
      <c r="AK643" s="182" t="str">
        <f>"* copies "&amp;S.Staff.Subject.Expert.FirstName</f>
        <v>* copies Brian</v>
      </c>
      <c r="AL643" s="76"/>
    </row>
    <row r="644" spans="1:39" s="23" customFormat="1" ht="14.1" customHeight="1">
      <c r="A644" s="145"/>
      <c r="B644" s="220" t="s">
        <v>663</v>
      </c>
      <c r="C644" s="258"/>
      <c r="D644" s="283"/>
      <c r="E644" s="750"/>
      <c r="F644" s="262"/>
      <c r="G644" s="258"/>
      <c r="H644" s="258"/>
      <c r="I644" s="745"/>
      <c r="J644"/>
      <c r="K644"/>
      <c r="L644"/>
      <c r="M644"/>
      <c r="N644"/>
      <c r="O644"/>
      <c r="P644"/>
      <c r="Q644"/>
      <c r="R644"/>
      <c r="S644"/>
      <c r="T644"/>
      <c r="U644"/>
      <c r="X644"/>
      <c r="AB644"/>
      <c r="AC644"/>
      <c r="AF644" s="361">
        <f t="shared" si="113"/>
        <v>1</v>
      </c>
      <c r="AG644" s="58"/>
      <c r="AH644" s="58"/>
      <c r="AI644" s="59"/>
      <c r="AJ644" s="59"/>
      <c r="AK644" s="346"/>
      <c r="AL644" s="76"/>
    </row>
    <row r="645" spans="1:39" s="23" customFormat="1" ht="14.1" customHeight="1">
      <c r="A645" s="145"/>
      <c r="B645" s="285" t="str">
        <f>AK645</f>
        <v>AndreaG &amp; Michele maintain Rukemaking Activities Web page</v>
      </c>
      <c r="C645" s="545" t="s">
        <v>0</v>
      </c>
      <c r="D645" s="325"/>
      <c r="E645" s="325"/>
      <c r="F645"/>
      <c r="G645" s="309">
        <f t="shared" ref="G645" si="114">AG645</f>
        <v>41989</v>
      </c>
      <c r="H645" s="263">
        <f t="shared" ref="H645" si="115">AH645</f>
        <v>42024</v>
      </c>
      <c r="I645" s="745"/>
      <c r="J645"/>
      <c r="K645"/>
      <c r="L645"/>
      <c r="M645"/>
      <c r="N645"/>
      <c r="O645"/>
      <c r="P645"/>
      <c r="Q645"/>
      <c r="R645"/>
      <c r="S645"/>
      <c r="T645"/>
      <c r="U645"/>
      <c r="X645"/>
      <c r="AB645"/>
      <c r="AC645"/>
      <c r="AF645" s="361">
        <f t="shared" si="113"/>
        <v>1</v>
      </c>
      <c r="AG645" s="60">
        <f>IF(AF645=0,,S.Notice.OpenComment)</f>
        <v>41989</v>
      </c>
      <c r="AH645" s="60">
        <f>IF(AF645=0,,S.Notice.BANNER.End)</f>
        <v>42024</v>
      </c>
      <c r="AI645" s="59"/>
      <c r="AJ645" s="59"/>
      <c r="AK645" s="182" t="str">
        <f>S.Staff.RG.Lead.FirstName&amp;" &amp; "&amp;S.Staff.WebMaster&amp;" maintain Rukemaking Activities Web page"</f>
        <v>AndreaG &amp; Michele maintain Rukemaking Activities Web page</v>
      </c>
      <c r="AL645" s="76"/>
    </row>
    <row r="646" spans="1:39" s="23" customFormat="1" ht="14.1" customHeight="1">
      <c r="A646" s="145"/>
      <c r="B646" s="208" t="str">
        <f>AK646</f>
        <v xml:space="preserve">Brian gathers andsaves all emails on </v>
      </c>
      <c r="C646" s="509" t="str">
        <f>HYPERLINK("\\deqhq1\Rule_Development\Currrent Plan","i")</f>
        <v>i</v>
      </c>
      <c r="D646" s="283"/>
      <c r="E646" s="750"/>
      <c r="F646"/>
      <c r="G646" s="256">
        <f>AG646</f>
        <v>41820</v>
      </c>
      <c r="H646" s="256">
        <f>AH646</f>
        <v>42024</v>
      </c>
      <c r="I646" s="745"/>
      <c r="J646"/>
      <c r="K646"/>
      <c r="L646"/>
      <c r="M646"/>
      <c r="N646"/>
      <c r="O646"/>
      <c r="P646"/>
      <c r="Q646"/>
      <c r="R646"/>
      <c r="S646"/>
      <c r="T646"/>
      <c r="U646"/>
      <c r="X646"/>
      <c r="AB646"/>
      <c r="AC646"/>
      <c r="AF646" s="361">
        <f t="shared" si="113"/>
        <v>1</v>
      </c>
      <c r="AG646" s="60">
        <f>IF(AF646=0,,S.Notice.BANNER.Begin)</f>
        <v>41820</v>
      </c>
      <c r="AH646" s="60">
        <f>IF(AF646=0,,S.Notice.BANNER.End)</f>
        <v>42024</v>
      </c>
      <c r="AI646" s="59"/>
      <c r="AJ646" s="59"/>
      <c r="AK646" s="182" t="str">
        <f>S.Staff.Subject.Expert.FirstName&amp;" gathers andsaves all emails on "</f>
        <v xml:space="preserve">Brian gathers andsaves all emails on </v>
      </c>
      <c r="AL646" s="76"/>
    </row>
    <row r="647" spans="1:39" s="23" customFormat="1" ht="14.1" customHeight="1">
      <c r="A647" s="145"/>
      <c r="B647" s="220" t="s">
        <v>664</v>
      </c>
      <c r="C647" s="258"/>
      <c r="D647" s="283"/>
      <c r="E647" s="750"/>
      <c r="F647" s="262"/>
      <c r="G647" s="258"/>
      <c r="H647" s="258"/>
      <c r="I647" s="745"/>
      <c r="AF647" s="361">
        <f t="shared" si="113"/>
        <v>1</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customHeight="1">
      <c r="A649" s="145"/>
      <c r="B649" s="998" t="str">
        <f>AK29</f>
        <v>Public Comment and Testimony</v>
      </c>
      <c r="C649" s="998"/>
      <c r="D649" s="998"/>
      <c r="E649" s="998"/>
      <c r="F649" s="998"/>
      <c r="G649" s="998"/>
      <c r="H649" s="998"/>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c r="A650" s="373"/>
      <c r="B650" s="455" t="s">
        <v>0</v>
      </c>
      <c r="C650" s="374" t="s">
        <v>0</v>
      </c>
      <c r="D650" s="374"/>
      <c r="E650" s="374"/>
      <c r="F650" s="382"/>
      <c r="G650" s="375" t="s">
        <v>57</v>
      </c>
      <c r="H650" s="375" t="s">
        <v>172</v>
      </c>
      <c r="I650" s="745"/>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customHeight="1" outlineLevel="1">
      <c r="A651" s="145"/>
      <c r="B651" s="815" t="s">
        <v>0</v>
      </c>
      <c r="C651" s="104"/>
      <c r="D651" s="174"/>
      <c r="E651" s="174"/>
      <c r="F651" s="125"/>
      <c r="G651" s="175">
        <f>AG651</f>
        <v>41820</v>
      </c>
      <c r="H651" s="201">
        <f>AH651</f>
        <v>42037</v>
      </c>
      <c r="I651" s="745"/>
      <c r="AF651" s="361" t="s">
        <v>59</v>
      </c>
      <c r="AG651" s="60">
        <f>IF(S.Notice.Involved="N",,S.Notice.BANNER.Begin)</f>
        <v>41820</v>
      </c>
      <c r="AH651" s="60">
        <f>IF(S.Notice.Involved="N",, S.EQC.PacketEndReview)</f>
        <v>42037</v>
      </c>
      <c r="AI651" s="59"/>
      <c r="AJ651" s="59"/>
      <c r="AK651" s="346"/>
      <c r="AL651" s="76"/>
      <c r="AM651"/>
    </row>
    <row r="652" spans="1:39" ht="6" customHeight="1" outlineLevel="1">
      <c r="A652" s="145"/>
      <c r="B652" s="106"/>
      <c r="C652" s="98"/>
      <c r="D652" s="691"/>
      <c r="E652" s="691"/>
      <c r="F652" s="99"/>
      <c r="G652" s="98"/>
      <c r="H652" s="98"/>
      <c r="I652" s="745"/>
      <c r="AF652" s="361" t="s">
        <v>16</v>
      </c>
      <c r="AG652" s="47"/>
      <c r="AH652" s="47"/>
      <c r="AI652" s="59"/>
      <c r="AJ652" s="59"/>
      <c r="AK652" s="44"/>
      <c r="AL652" s="76"/>
      <c r="AM652"/>
    </row>
    <row r="653" spans="1:39" s="23" customFormat="1" ht="14.1" customHeight="1" outlineLevel="1" thickBot="1">
      <c r="A653" s="145"/>
      <c r="B653" s="538" t="s">
        <v>307</v>
      </c>
      <c r="C653" s="512" t="str">
        <f>HYPERLINK("\\deqhq1\Rule_Resources\i\0-VersionHistory.pdf","i")</f>
        <v>i</v>
      </c>
      <c r="D653" s="692"/>
      <c r="E653" s="692"/>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c r="A654" s="145"/>
      <c r="B654" s="298" t="str">
        <f>AK654</f>
        <v>Brian verifies venues and equipment, gathers supplies</v>
      </c>
      <c r="C654" s="414" t="s">
        <v>49</v>
      </c>
      <c r="D654" s="357"/>
      <c r="E654" s="750"/>
      <c r="F654" s="23"/>
      <c r="G654" s="299">
        <f>AG654</f>
        <v>41988</v>
      </c>
      <c r="H654" s="299">
        <f>AH654</f>
        <v>42019</v>
      </c>
      <c r="I654" s="745"/>
      <c r="AF654" s="361">
        <f>IF(AND(S.Notice.Involved="Y",S.Hearing.1stInvolve="Y"),1,0)</f>
        <v>1</v>
      </c>
      <c r="AG654" s="60">
        <f>IF(AF654=0,,S.Hearing.BANNER.Begin)</f>
        <v>41988</v>
      </c>
      <c r="AH654" s="60">
        <f>S.Hearing.1stDate</f>
        <v>42019</v>
      </c>
      <c r="AI654" s="59"/>
      <c r="AJ654" s="59"/>
      <c r="AK654" s="67" t="str">
        <f>S.Staff.Support&amp;" verifies venues and equipment, gathers supplies"</f>
        <v>Brian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Brian:</v>
      </c>
      <c r="C656" s="258"/>
      <c r="D656" s="283"/>
      <c r="E656" s="750"/>
      <c r="G656" s="299">
        <f t="shared" ref="G656" si="116">AG656</f>
        <v>41988</v>
      </c>
      <c r="H656" s="299">
        <f t="shared" ref="H656" si="117">AH656</f>
        <v>41988</v>
      </c>
      <c r="I656" s="745"/>
      <c r="J656"/>
      <c r="K656"/>
      <c r="L656"/>
      <c r="M656"/>
      <c r="N656"/>
      <c r="O656"/>
      <c r="P656"/>
      <c r="Q656"/>
      <c r="R656"/>
      <c r="S656"/>
      <c r="T656"/>
      <c r="U656"/>
      <c r="X656"/>
      <c r="AB656"/>
      <c r="AC656"/>
      <c r="AF656" s="361">
        <f>IF(AND(S.Notice.Involved="Y",S.Notice.AD.Involved="Y"),1,0)</f>
        <v>1</v>
      </c>
      <c r="AG656" s="60">
        <f t="shared" ref="AG656:AG661" si="118">IF(AF656=0,,S.Hearing.BANNER.Begin)</f>
        <v>41988</v>
      </c>
      <c r="AH656" s="60">
        <f>G656</f>
        <v>41988</v>
      </c>
      <c r="AI656" s="59"/>
      <c r="AJ656" s="59"/>
      <c r="AK656" s="67" t="str">
        <f>S.Staff.Subject.Expert.FirstName&amp;":"</f>
        <v>Brian:</v>
      </c>
      <c r="AL656" s="76"/>
    </row>
    <row r="657" spans="1:39" s="23" customFormat="1" ht="14.1" hidden="1" customHeight="1" outlineLevel="2" thickBot="1">
      <c r="A657" s="145"/>
      <c r="B657" s="448" t="s">
        <v>222</v>
      </c>
      <c r="C657" s="545"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118"/>
        <v>0</v>
      </c>
      <c r="AH657" s="60">
        <f>G657</f>
        <v>0</v>
      </c>
      <c r="AI657" s="59"/>
      <c r="AJ657" s="59"/>
      <c r="AK657" s="381"/>
      <c r="AL657" s="76"/>
    </row>
    <row r="658" spans="1:39" s="23" customFormat="1" ht="14.1" hidden="1" customHeight="1" outlineLevel="2" thickBot="1">
      <c r="A658" s="145"/>
      <c r="B658" s="448" t="s">
        <v>267</v>
      </c>
      <c r="C658" s="414" t="s">
        <v>49</v>
      </c>
      <c r="D658" s="357"/>
      <c r="E658" s="750"/>
      <c r="G658"/>
      <c r="H658"/>
      <c r="I658" s="745"/>
      <c r="J658"/>
      <c r="K658"/>
      <c r="L658"/>
      <c r="M658"/>
      <c r="N658"/>
      <c r="O658"/>
      <c r="P658"/>
      <c r="Q658"/>
      <c r="R658"/>
      <c r="S658"/>
      <c r="T658"/>
      <c r="U658"/>
      <c r="X658"/>
      <c r="AB658"/>
      <c r="AC658"/>
      <c r="AF658" s="361">
        <f t="shared" ref="AF658:AF663" si="119">IF(AND(S.Notice.Involved="Y",S.Hearing.1stInvolve="Y",S.Notice.InformationMeeting="Y",S.Planning.MessageMap="Y"),1,0)</f>
        <v>0</v>
      </c>
      <c r="AG658" s="60">
        <f t="shared" si="118"/>
        <v>0</v>
      </c>
      <c r="AH658" s="60">
        <f t="shared" ref="AH658:AH661" si="120">G658</f>
        <v>0</v>
      </c>
      <c r="AI658" s="59"/>
      <c r="AJ658" s="59"/>
      <c r="AK658" s="381"/>
      <c r="AL658" s="76"/>
    </row>
    <row r="659" spans="1:39" s="459" customFormat="1" ht="14.1" hidden="1" customHeight="1" outlineLevel="2">
      <c r="A659" s="457"/>
      <c r="B659" s="448" t="s">
        <v>223</v>
      </c>
      <c r="C659" s="219" t="s">
        <v>0</v>
      </c>
      <c r="D659" s="458"/>
      <c r="E659" s="892"/>
      <c r="F659" s="23"/>
      <c r="G659"/>
      <c r="H659"/>
      <c r="I659" s="745"/>
      <c r="J659"/>
      <c r="K659"/>
      <c r="L659"/>
      <c r="M659"/>
      <c r="N659"/>
      <c r="O659"/>
      <c r="P659"/>
      <c r="Q659"/>
      <c r="R659"/>
      <c r="S659"/>
      <c r="T659"/>
      <c r="U659"/>
      <c r="V659" s="23"/>
      <c r="W659" s="23"/>
      <c r="X659"/>
      <c r="Y659" s="23"/>
      <c r="Z659" s="23"/>
      <c r="AA659" s="23"/>
      <c r="AB659"/>
      <c r="AC659"/>
      <c r="AD659" s="23"/>
      <c r="AE659" s="23"/>
      <c r="AF659" s="361">
        <f t="shared" si="119"/>
        <v>0</v>
      </c>
      <c r="AG659" s="60">
        <f t="shared" si="118"/>
        <v>0</v>
      </c>
      <c r="AH659" s="60">
        <f t="shared" si="120"/>
        <v>0</v>
      </c>
      <c r="AI659" s="461"/>
      <c r="AJ659" s="461"/>
      <c r="AK659" s="381"/>
      <c r="AL659" s="460"/>
    </row>
    <row r="660" spans="1:39" s="23" customFormat="1" ht="14.1" hidden="1" customHeight="1" outlineLevel="2">
      <c r="A660" s="145"/>
      <c r="B660" s="448" t="s">
        <v>224</v>
      </c>
      <c r="C660" s="545" t="s">
        <v>0</v>
      </c>
      <c r="D660" s="283"/>
      <c r="E660" s="750"/>
      <c r="G660"/>
      <c r="H660"/>
      <c r="I660" s="745"/>
      <c r="J660"/>
      <c r="K660"/>
      <c r="L660"/>
      <c r="M660"/>
      <c r="N660"/>
      <c r="O660"/>
      <c r="P660"/>
      <c r="Q660"/>
      <c r="R660"/>
      <c r="S660"/>
      <c r="T660"/>
      <c r="U660"/>
      <c r="X660"/>
      <c r="AB660"/>
      <c r="AC660"/>
      <c r="AF660" s="361">
        <f t="shared" si="119"/>
        <v>0</v>
      </c>
      <c r="AG660" s="60">
        <f t="shared" si="118"/>
        <v>0</v>
      </c>
      <c r="AH660" s="60">
        <f t="shared" si="120"/>
        <v>0</v>
      </c>
      <c r="AI660" s="59"/>
      <c r="AJ660" s="59"/>
      <c r="AK660" s="381"/>
      <c r="AL660" s="76"/>
    </row>
    <row r="661" spans="1:39" ht="14.1" hidden="1" customHeight="1" outlineLevel="2">
      <c r="A661" s="145"/>
      <c r="B661" s="448" t="s">
        <v>225</v>
      </c>
      <c r="C661" s="541" t="s">
        <v>0</v>
      </c>
      <c r="D661" s="283"/>
      <c r="E661" s="750"/>
      <c r="F661" s="23"/>
      <c r="G661"/>
      <c r="H661"/>
      <c r="I661" s="745"/>
      <c r="AF661" s="361">
        <f t="shared" si="119"/>
        <v>0</v>
      </c>
      <c r="AG661" s="60">
        <f t="shared" si="118"/>
        <v>0</v>
      </c>
      <c r="AH661" s="60">
        <f t="shared" si="120"/>
        <v>0</v>
      </c>
      <c r="AI661" s="59"/>
      <c r="AJ661" s="59"/>
      <c r="AK661" s="381"/>
      <c r="AL661" s="76"/>
      <c r="AM661"/>
    </row>
    <row r="662" spans="1:39" s="23" customFormat="1" ht="14.1" hidden="1" customHeight="1" outlineLevel="2">
      <c r="A662" s="145"/>
      <c r="B662" s="448" t="str">
        <f>AK662</f>
        <v>* initiates DavidC's review/approval, addresses suggestions</v>
      </c>
      <c r="C662" s="545" t="s">
        <v>0</v>
      </c>
      <c r="D662" s="283"/>
      <c r="E662" s="750"/>
      <c r="G662" s="299">
        <f t="shared" ref="G662" si="121">AG662</f>
        <v>41988</v>
      </c>
      <c r="H662" s="299">
        <f t="shared" ref="H662" si="122">AH662</f>
        <v>41988</v>
      </c>
      <c r="I662" s="745"/>
      <c r="J662"/>
      <c r="K662"/>
      <c r="L662"/>
      <c r="M662"/>
      <c r="N662"/>
      <c r="O662"/>
      <c r="P662"/>
      <c r="Q662"/>
      <c r="R662"/>
      <c r="S662"/>
      <c r="T662"/>
      <c r="U662"/>
      <c r="X662"/>
      <c r="AB662"/>
      <c r="AC662"/>
      <c r="AF662" s="361">
        <f t="shared" si="119"/>
        <v>0</v>
      </c>
      <c r="AG662" s="60">
        <f>H656</f>
        <v>41988</v>
      </c>
      <c r="AH662" s="60">
        <f>AG662</f>
        <v>41988</v>
      </c>
      <c r="AI662" s="202" t="s">
        <v>0</v>
      </c>
      <c r="AJ662" s="59"/>
      <c r="AK662" s="182" t="str">
        <f>"* initiates "&amp;S.Staff.Program.Mgr.FirstName&amp;"'s review/approval, addresses suggestions"</f>
        <v>* initiates DavidC's review/approval, addresses suggestions</v>
      </c>
      <c r="AL662" s="76"/>
    </row>
    <row r="663" spans="1:39" ht="14.1" hidden="1" customHeight="1" outlineLevel="2" thickBot="1">
      <c r="A663" s="145"/>
      <c r="B663" s="559" t="str">
        <f t="shared" ref="B663:B666" si="123">AK663</f>
        <v>1st loop DavidC reviews/approves optional presentation</v>
      </c>
      <c r="C663" s="542"/>
      <c r="D663" s="283"/>
      <c r="E663" s="750"/>
      <c r="F663" s="23"/>
      <c r="G663" s="299">
        <f t="shared" ref="G663:H666" si="124">AG663</f>
        <v>41988</v>
      </c>
      <c r="H663" s="299">
        <f t="shared" si="124"/>
        <v>41988</v>
      </c>
      <c r="I663" s="745"/>
      <c r="AF663" s="361">
        <f t="shared" si="119"/>
        <v>0</v>
      </c>
      <c r="AG663" s="60">
        <f>G656</f>
        <v>41988</v>
      </c>
      <c r="AH663" s="60">
        <f t="shared" ref="AH663:AH666" si="125">AG663</f>
        <v>41988</v>
      </c>
      <c r="AI663" s="59" t="s">
        <v>0</v>
      </c>
      <c r="AJ663" s="59"/>
      <c r="AK663" s="182" t="str">
        <f>"1st loop "&amp;S.Staff.Program.Mgr.FirstName&amp;" reviews/approves optional presentation"</f>
        <v>1st loop DavidC reviews/approves optional presentation</v>
      </c>
      <c r="AL663" s="76"/>
      <c r="AM663"/>
    </row>
    <row r="664" spans="1:39" ht="14.1" hidden="1" customHeight="1" outlineLevel="2" thickBot="1">
      <c r="A664" s="145"/>
      <c r="B664" s="560" t="str">
        <f t="shared" si="123"/>
        <v>2nd loop DavidC reviews/approves optional presentation</v>
      </c>
      <c r="C664" s="481" t="s">
        <v>206</v>
      </c>
      <c r="D664" s="283"/>
      <c r="E664" s="750"/>
      <c r="F664" s="23"/>
      <c r="G664" s="299">
        <f t="shared" si="124"/>
        <v>0</v>
      </c>
      <c r="H664" s="299">
        <f t="shared" si="124"/>
        <v>0</v>
      </c>
      <c r="I664" s="745"/>
      <c r="AF664" s="361">
        <f>IF(S.EQC.ApprovePresentationLoop2="N",,IF(AND(S.Notice.Involved="Y",S.Hearing.1stInvolve="Y",S.Notice.InformationMeeting="Y",S.Planning.MessageMap="Y"),1,0))</f>
        <v>0</v>
      </c>
      <c r="AG664" s="60">
        <f>IF(AF664=0,,MAX(AH657:AH661))</f>
        <v>0</v>
      </c>
      <c r="AH664" s="60">
        <f t="shared" si="125"/>
        <v>0</v>
      </c>
      <c r="AI664" s="59" t="s">
        <v>0</v>
      </c>
      <c r="AJ664" s="59"/>
      <c r="AK664" s="182" t="str">
        <f>"2nd loop "&amp;S.Staff.Program.Mgr.FirstName&amp;" reviews/approves optional presentation"</f>
        <v>2nd loop DavidC reviews/approves optional presentation</v>
      </c>
      <c r="AL664" s="76"/>
      <c r="AM664"/>
    </row>
    <row r="665" spans="1:39" ht="14.1" hidden="1" customHeight="1" outlineLevel="2" thickBot="1">
      <c r="A665" s="145"/>
      <c r="B665" s="561" t="str">
        <f t="shared" si="123"/>
        <v>3rd loop DavidC reviews/approves optional presentation</v>
      </c>
      <c r="C665" s="481" t="s">
        <v>206</v>
      </c>
      <c r="D665" s="283"/>
      <c r="E665" s="750"/>
      <c r="F665" s="23"/>
      <c r="G665" s="299">
        <f t="shared" si="124"/>
        <v>0</v>
      </c>
      <c r="H665" s="299">
        <f t="shared" si="124"/>
        <v>0</v>
      </c>
      <c r="I665" s="745"/>
      <c r="AF665" s="361">
        <f>IF(S.EQC.ApprovePresentationLoop3="N",,IF(AND(S.Notice.Involved="Y",S.Hearing.1stInvolve="Y",S.Notice.InformationMeeting="Y",S.Planning.MessageMap="Y"),1,0))</f>
        <v>0</v>
      </c>
      <c r="AG665" s="60">
        <f>IF(AF665=0,,MAX(AH657:AH661))</f>
        <v>0</v>
      </c>
      <c r="AH665" s="60">
        <f t="shared" si="125"/>
        <v>0</v>
      </c>
      <c r="AI665" s="59"/>
      <c r="AJ665" s="59"/>
      <c r="AK665" s="182" t="str">
        <f>"3rd loop "&amp;S.Staff.Program.Mgr.FirstName&amp;" reviews/approves optional presentation"</f>
        <v>3rd loop DavidC reviews/approves optional presentation</v>
      </c>
      <c r="AL665" s="76"/>
      <c r="AM665"/>
    </row>
    <row r="666" spans="1:39" ht="14.1" hidden="1" customHeight="1" outlineLevel="2" thickBot="1">
      <c r="A666" s="145"/>
      <c r="B666" s="562" t="str">
        <f t="shared" si="123"/>
        <v>4th loop DavidC reviews/approves optional presentation</v>
      </c>
      <c r="C666" s="481" t="s">
        <v>206</v>
      </c>
      <c r="D666" s="283"/>
      <c r="E666" s="750"/>
      <c r="F666" s="23"/>
      <c r="G666" s="299">
        <f t="shared" si="124"/>
        <v>0</v>
      </c>
      <c r="H666" s="299">
        <f t="shared" si="124"/>
        <v>0</v>
      </c>
      <c r="I666" s="745"/>
      <c r="AF666" s="361">
        <f>IF(S.EQC.ApprovePresentationLoop4="N",,IF(AND(S.Notice.Involved="Y",S.Hearing.1stInvolve="Y",S.Notice.InformationMeeting="Y",S.Planning.MessageMap="Y"),1,0))</f>
        <v>0</v>
      </c>
      <c r="AG666" s="60">
        <f>IF(AF666=0,,MAX(AH657:AH661))</f>
        <v>0</v>
      </c>
      <c r="AH666" s="60">
        <f t="shared" si="125"/>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collapsed="1">
      <c r="A667" s="145"/>
      <c r="B667" s="290" t="s">
        <v>711</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c r="A668" s="145"/>
      <c r="B668" s="425" t="s">
        <v>201</v>
      </c>
      <c r="C668" s="545" t="s">
        <v>0</v>
      </c>
      <c r="D668" s="283"/>
      <c r="E668" s="750"/>
      <c r="G668" s="299">
        <f t="shared" ref="G668:G669" si="126">AG668</f>
        <v>41988</v>
      </c>
      <c r="H668" s="299">
        <f>AH668</f>
        <v>42019</v>
      </c>
      <c r="I668" s="745"/>
      <c r="J668"/>
      <c r="K668"/>
      <c r="L668"/>
      <c r="M668"/>
      <c r="N668"/>
      <c r="O668"/>
      <c r="P668"/>
      <c r="Q668"/>
      <c r="R668"/>
      <c r="S668"/>
      <c r="T668"/>
      <c r="U668"/>
      <c r="X668"/>
      <c r="AB668"/>
      <c r="AC668"/>
      <c r="AF668" s="361">
        <f>IF(S.Notice.Involved="Y",1,0)</f>
        <v>1</v>
      </c>
      <c r="AG668" s="60">
        <f>IF(AF668=0,,S.Hearing.BANNER.Begin)</f>
        <v>41988</v>
      </c>
      <c r="AH668" s="60">
        <f>S.Hearing.1stDate</f>
        <v>42019</v>
      </c>
      <c r="AI668" s="59"/>
      <c r="AJ668" s="61"/>
      <c r="AK668" s="62"/>
      <c r="AL668" s="76"/>
    </row>
    <row r="669" spans="1:39" s="23" customFormat="1" ht="14.1" customHeight="1" outlineLevel="1" thickBot="1">
      <c r="A669" s="145"/>
      <c r="B669" s="425" t="s">
        <v>205</v>
      </c>
      <c r="C669" s="414" t="s">
        <v>49</v>
      </c>
      <c r="D669" s="283"/>
      <c r="E669" s="750"/>
      <c r="G669" s="299">
        <f t="shared" si="126"/>
        <v>41988</v>
      </c>
      <c r="H669" s="299">
        <f>AH669</f>
        <v>42019</v>
      </c>
      <c r="I669" s="745"/>
      <c r="J669"/>
      <c r="K669"/>
      <c r="L669"/>
      <c r="M669"/>
      <c r="N669"/>
      <c r="O669"/>
      <c r="P669"/>
      <c r="Q669"/>
      <c r="R669"/>
      <c r="S669"/>
      <c r="T669"/>
      <c r="U669"/>
      <c r="X669"/>
      <c r="AB669"/>
      <c r="AC669"/>
      <c r="AF669" s="361">
        <f>IF(S.Notice.Involved="Y",1,0)</f>
        <v>1</v>
      </c>
      <c r="AG669" s="60">
        <f>IF(AF669=0,,S.Hearing.BANNER.Begin)</f>
        <v>41988</v>
      </c>
      <c r="AH669" s="60">
        <f>S.Hearing.1stDate</f>
        <v>42019</v>
      </c>
      <c r="AI669" s="59"/>
      <c r="AJ669" s="61"/>
      <c r="AK669" s="62"/>
      <c r="AL669" s="76"/>
    </row>
    <row r="670" spans="1:39" s="23" customFormat="1" ht="14.1" customHeight="1" outlineLevel="1">
      <c r="A670" s="145"/>
      <c r="B670" s="425" t="str">
        <f>AK670</f>
        <v>* holds the following hearings with assigned team:</v>
      </c>
      <c r="C670" s="545" t="s">
        <v>0</v>
      </c>
      <c r="D670" s="705"/>
      <c r="E670" s="705"/>
      <c r="G670"/>
      <c r="H670"/>
      <c r="I670" s="745"/>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c r="A671" s="145"/>
      <c r="B671" s="275" t="str">
        <f>AK671</f>
        <v>1. Grants Pass hearing</v>
      </c>
      <c r="C671" s="545" t="s">
        <v>0</v>
      </c>
      <c r="D671" s="705"/>
      <c r="E671" s="705"/>
      <c r="F671"/>
      <c r="G671"/>
      <c r="H671" s="309">
        <f>AH671</f>
        <v>42019</v>
      </c>
      <c r="I671" s="745"/>
      <c r="AF671" s="361">
        <f>IF(AND(S.Notice.Involved="Y",S.Hearing.1stInvolve="Y",S.Hearing.2ndInvolve),1,0)</f>
        <v>1</v>
      </c>
      <c r="AG671" s="59"/>
      <c r="AH671" s="60">
        <f>S.Hearing.1stDate</f>
        <v>42019</v>
      </c>
      <c r="AI671" s="59"/>
      <c r="AJ671" s="59"/>
      <c r="AK671" s="67" t="str">
        <f>"1. "&amp;S.Hearing.1stCity&amp;" hearing"</f>
        <v>1. Grants Pass hearing</v>
      </c>
      <c r="AL671" s="76"/>
      <c r="AM671"/>
    </row>
    <row r="672" spans="1:39" s="23" customFormat="1" ht="14.1" customHeight="1" outlineLevel="1">
      <c r="A672" s="145"/>
      <c r="B672" s="477" t="s">
        <v>252</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customHeight="1" outlineLevel="2">
      <c r="A673" s="145"/>
      <c r="B673" s="275" t="str">
        <f t="shared" ref="B673:B685" si="127">AK673</f>
        <v>2.  hearing</v>
      </c>
      <c r="C673" s="545" t="s">
        <v>0</v>
      </c>
      <c r="D673" s="705"/>
      <c r="E673" s="705"/>
      <c r="F673"/>
      <c r="G673"/>
      <c r="H673" s="309">
        <f t="shared" ref="H673:H685" si="128">AH673</f>
        <v>0</v>
      </c>
      <c r="I673" s="745"/>
      <c r="AF673" s="361">
        <f>IF(AND(S.Notice.Involved="Y",S.Hearing.1stInvolve="Y",S.Hearing.2ndInvolve="Y"),1,0)</f>
        <v>0</v>
      </c>
      <c r="AG673" s="59"/>
      <c r="AH673" s="60">
        <f>IF(S.Hearing.2ndInvolve="N",,S.Hearing.2ndDate)</f>
        <v>0</v>
      </c>
      <c r="AI673" s="59"/>
      <c r="AJ673" s="59"/>
      <c r="AK673" s="67" t="str">
        <f>"2. "&amp;S.Hearing.2ndCity&amp;" hearing"</f>
        <v>2.  hearing</v>
      </c>
      <c r="AL673" s="76"/>
      <c r="AM673"/>
    </row>
    <row r="674" spans="1:39" s="23" customFormat="1" ht="14.1" customHeight="1" outlineLevel="2">
      <c r="A674" s="145"/>
      <c r="B674" s="477" t="s">
        <v>253</v>
      </c>
      <c r="C674" s="268"/>
      <c r="D674" s="705"/>
      <c r="E674" s="705"/>
      <c r="F674"/>
      <c r="G674"/>
      <c r="H674" s="258"/>
      <c r="I674" s="745"/>
      <c r="J674"/>
      <c r="K674"/>
      <c r="L674"/>
      <c r="M674"/>
      <c r="N674"/>
      <c r="O674"/>
      <c r="P674"/>
      <c r="Q674"/>
      <c r="R674"/>
      <c r="S674"/>
      <c r="T674"/>
      <c r="U674"/>
      <c r="X674"/>
      <c r="AB674"/>
      <c r="AC674"/>
      <c r="AF674" s="361">
        <f>IF(AND(S.Notice.Involved="Y",S.Hearing.1stInvolve="Y",S.Hearing.2ndInvolve="Y"),1,0)</f>
        <v>0</v>
      </c>
      <c r="AG674" s="59"/>
      <c r="AH674" s="58"/>
      <c r="AI674" s="58"/>
      <c r="AJ674" s="44"/>
      <c r="AK674" s="58" t="s">
        <v>0</v>
      </c>
      <c r="AL674" s="76"/>
    </row>
    <row r="675" spans="1:39" ht="14.1" customHeight="1" outlineLevel="2">
      <c r="A675" s="145"/>
      <c r="B675" s="275" t="str">
        <f t="shared" si="127"/>
        <v>3. Enter city name hearing</v>
      </c>
      <c r="C675" s="545" t="s">
        <v>0</v>
      </c>
      <c r="D675" s="705"/>
      <c r="E675" s="705"/>
      <c r="F675"/>
      <c r="G675"/>
      <c r="H675" s="309">
        <f t="shared" si="128"/>
        <v>0</v>
      </c>
      <c r="I675" s="745"/>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customHeight="1" outlineLevel="2">
      <c r="A676" s="145"/>
      <c r="B676" s="477" t="s">
        <v>254</v>
      </c>
      <c r="C676" s="268"/>
      <c r="D676" s="705"/>
      <c r="E676" s="705"/>
      <c r="F676"/>
      <c r="G676"/>
      <c r="H676" s="258"/>
      <c r="I676" s="745"/>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c r="A677" s="145"/>
      <c r="B677" s="275" t="str">
        <f t="shared" si="127"/>
        <v>4. Enter city name hearing</v>
      </c>
      <c r="C677" s="545" t="s">
        <v>0</v>
      </c>
      <c r="D677" s="705"/>
      <c r="E677" s="705"/>
      <c r="F677"/>
      <c r="G677"/>
      <c r="H677" s="309">
        <f t="shared" si="128"/>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5"/>
      <c r="E678" s="705"/>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27"/>
        <v>5. Enter city name hearing</v>
      </c>
      <c r="C679" s="545" t="s">
        <v>0</v>
      </c>
      <c r="D679" s="705"/>
      <c r="E679" s="705"/>
      <c r="F679"/>
      <c r="G679"/>
      <c r="H679" s="309">
        <f t="shared" si="128"/>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5"/>
      <c r="E680" s="705"/>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27"/>
        <v>6. Enter city name hearing</v>
      </c>
      <c r="C681" s="545" t="s">
        <v>0</v>
      </c>
      <c r="D681" s="705"/>
      <c r="E681" s="705"/>
      <c r="F681"/>
      <c r="G681"/>
      <c r="H681" s="309">
        <f t="shared" si="128"/>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5"/>
      <c r="E682" s="705"/>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27"/>
        <v>7. Enter city name hearing</v>
      </c>
      <c r="C683" s="545" t="s">
        <v>0</v>
      </c>
      <c r="D683" s="705"/>
      <c r="E683" s="705"/>
      <c r="F683"/>
      <c r="G683"/>
      <c r="H683" s="309">
        <f t="shared" si="128"/>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5"/>
      <c r="E684" s="705"/>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27"/>
        <v>8. Enter city name hearing</v>
      </c>
      <c r="C685" s="545" t="s">
        <v>0</v>
      </c>
      <c r="D685" s="705"/>
      <c r="E685" s="705"/>
      <c r="F685"/>
      <c r="G685"/>
      <c r="H685" s="309">
        <f t="shared" si="128"/>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c r="A687" s="145"/>
      <c r="B687" s="208" t="str">
        <f>AK687</f>
        <v>Brian, for comments not received through online form:</v>
      </c>
      <c r="C687" s="306"/>
      <c r="D687" s="283"/>
      <c r="E687" s="283"/>
      <c r="F687" s="255">
        <f t="shared" ref="F687" si="129">NETWORKDAYS(G687,H687,S.DDL_DEQClosed)</f>
        <v>12</v>
      </c>
      <c r="G687" s="299">
        <f t="shared" ref="G687" si="130">AG687</f>
        <v>42019</v>
      </c>
      <c r="H687" s="299">
        <f t="shared" ref="H687" si="131">AH687</f>
        <v>42037</v>
      </c>
      <c r="I687" s="745"/>
      <c r="J687"/>
      <c r="K687"/>
      <c r="L687"/>
      <c r="M687"/>
      <c r="N687"/>
      <c r="O687"/>
      <c r="P687"/>
      <c r="Q687"/>
      <c r="R687"/>
      <c r="S687"/>
      <c r="T687"/>
      <c r="U687"/>
      <c r="X687"/>
      <c r="AB687"/>
      <c r="AC687"/>
      <c r="AF687" s="361">
        <f>IF(S.Notice.Involved="Y",1,0)</f>
        <v>1</v>
      </c>
      <c r="AG687" s="60">
        <f>IF(AF687=0,,S.Notice.LastHearingDate)</f>
        <v>42019</v>
      </c>
      <c r="AH687" s="60">
        <f>S.Hearing.BANNER.End</f>
        <v>42037</v>
      </c>
      <c r="AI687" s="59"/>
      <c r="AJ687" s="59"/>
      <c r="AK687" s="67" t="str">
        <f>S.Staff.Support&amp;", for comments not received through online form:"</f>
        <v>Brian, for comments not received through online form:</v>
      </c>
      <c r="AL687" s="76"/>
    </row>
    <row r="688" spans="1:39" s="23" customFormat="1" ht="14.1" customHeight="1" outlineLevel="1">
      <c r="A688" s="145"/>
      <c r="B688" s="424" t="s">
        <v>226</v>
      </c>
      <c r="C688" s="545" t="s">
        <v>0</v>
      </c>
      <c r="D688" s="283"/>
      <c r="E688" s="750"/>
      <c r="F688"/>
      <c r="G688"/>
      <c r="H688"/>
      <c r="I688" s="745"/>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c r="A689" s="145"/>
      <c r="B689" s="269" t="s">
        <v>130</v>
      </c>
      <c r="C689" s="545" t="s">
        <v>0</v>
      </c>
      <c r="D689" s="283"/>
      <c r="E689" s="750"/>
      <c r="F689"/>
      <c r="G689"/>
      <c r="H689"/>
      <c r="I689" s="745"/>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c r="A690" s="145"/>
      <c r="B690" s="425" t="s">
        <v>227</v>
      </c>
      <c r="C690" s="545" t="s">
        <v>0</v>
      </c>
      <c r="D690" s="283"/>
      <c r="E690" s="750"/>
      <c r="F690"/>
      <c r="G690"/>
      <c r="H690"/>
      <c r="I690" s="745"/>
      <c r="AF690" s="361">
        <f>IF(S.Notice.Involved="Y",1,0)</f>
        <v>1</v>
      </c>
      <c r="AG690" s="59"/>
      <c r="AH690" s="59"/>
      <c r="AI690" s="59"/>
      <c r="AJ690" s="61"/>
      <c r="AK690" s="159"/>
      <c r="AL690" s="76"/>
      <c r="AM690"/>
    </row>
    <row r="691" spans="1:39" ht="14.1" customHeight="1" outlineLevel="1">
      <c r="A691" s="145"/>
      <c r="B691" s="872" t="s">
        <v>0</v>
      </c>
      <c r="C691" s="872"/>
      <c r="D691" s="990" t="s">
        <v>712</v>
      </c>
      <c r="E691" s="990"/>
      <c r="F691" s="990"/>
      <c r="G691" s="991"/>
      <c r="H691" s="388">
        <f>AH691</f>
        <v>42024</v>
      </c>
      <c r="I691" s="745"/>
      <c r="AF691" s="361">
        <f>IF(S.Notice.Involved="Y",1,0)</f>
        <v>1</v>
      </c>
      <c r="AG691" s="59"/>
      <c r="AH691" s="60">
        <f>S.Notice.CloseComment</f>
        <v>42024</v>
      </c>
      <c r="AI691" s="59"/>
      <c r="AJ691" s="61"/>
      <c r="AK691" s="44"/>
      <c r="AL691" s="76"/>
      <c r="AM691"/>
    </row>
    <row r="692" spans="1:39" s="23" customFormat="1" ht="14.1" customHeight="1" outlineLevel="1">
      <c r="A692" s="145"/>
      <c r="B692" s="290" t="str">
        <f>AK692</f>
        <v>Brian:</v>
      </c>
      <c r="C692" s="258"/>
      <c r="D692" s="283"/>
      <c r="E692"/>
      <c r="F692" s="255">
        <f>NETWORKDAYS(G692,H692,S.DDL_DEQClosed)</f>
        <v>3</v>
      </c>
      <c r="G692" s="299">
        <f>AG692</f>
        <v>42019</v>
      </c>
      <c r="H692" s="299">
        <f>AH692</f>
        <v>42024</v>
      </c>
      <c r="I692" s="745"/>
      <c r="J692"/>
      <c r="K692"/>
      <c r="L692"/>
      <c r="M692"/>
      <c r="N692"/>
      <c r="O692"/>
      <c r="P692"/>
      <c r="Q692"/>
      <c r="R692"/>
      <c r="S692"/>
      <c r="T692"/>
      <c r="U692"/>
      <c r="X692"/>
      <c r="AB692"/>
      <c r="AC692"/>
      <c r="AF692" s="361">
        <f>IF(S.Notice.Involved="Y",1,0)</f>
        <v>1</v>
      </c>
      <c r="AG692" s="60">
        <f>IF(AF692=0,,S.Notice.LastHearingDate)</f>
        <v>42019</v>
      </c>
      <c r="AH692" s="60">
        <f>S.Notice.CloseComment</f>
        <v>42024</v>
      </c>
      <c r="AI692" s="59"/>
      <c r="AJ692" s="59"/>
      <c r="AK692" s="67" t="str">
        <f>S.Staff.Subject.Expert.FirstName&amp;":"</f>
        <v>Brian:</v>
      </c>
      <c r="AL692" s="76"/>
    </row>
    <row r="693" spans="1:39" ht="14.1" customHeight="1" outlineLevel="1">
      <c r="A693" s="145"/>
      <c r="B693" s="269" t="s">
        <v>177</v>
      </c>
      <c r="C693" s="545" t="s">
        <v>0</v>
      </c>
      <c r="D693" s="283"/>
      <c r="E693" s="750"/>
      <c r="F693"/>
      <c r="G693"/>
      <c r="H693"/>
      <c r="I693" s="745"/>
      <c r="AF693" s="361">
        <f>IF(AND(S.Notice.Involved="Y",S.Hearing.1stInvolve="Y"),1,0)</f>
        <v>1</v>
      </c>
      <c r="AG693" s="58"/>
      <c r="AH693" s="58"/>
      <c r="AI693" s="59"/>
      <c r="AJ693" s="61"/>
      <c r="AK693" s="44"/>
      <c r="AL693" s="76"/>
      <c r="AM693"/>
    </row>
    <row r="694" spans="1:39" s="23" customFormat="1" ht="14.1" customHeight="1" outlineLevel="1">
      <c r="A694" s="145"/>
      <c r="B694" s="269" t="s">
        <v>178</v>
      </c>
      <c r="C694" s="306"/>
      <c r="D694" s="718"/>
      <c r="E694" s="718"/>
      <c r="F694"/>
      <c r="G694"/>
      <c r="H694"/>
      <c r="I694" s="745"/>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c r="A695" s="145"/>
      <c r="B695" s="426" t="s">
        <v>174</v>
      </c>
      <c r="C695" s="545" t="s">
        <v>0</v>
      </c>
      <c r="D695" s="283"/>
      <c r="E695" s="750"/>
      <c r="F695"/>
      <c r="G695"/>
      <c r="H695"/>
      <c r="I695" s="745"/>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c r="A696" s="145"/>
      <c r="B696" s="427" t="s">
        <v>175</v>
      </c>
      <c r="C696" s="545" t="s">
        <v>0</v>
      </c>
      <c r="D696" s="283"/>
      <c r="E696" s="750"/>
      <c r="F696"/>
      <c r="G696"/>
      <c r="H696"/>
      <c r="I696" s="745"/>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c r="A697" s="145"/>
      <c r="B697" s="428" t="s">
        <v>176</v>
      </c>
      <c r="C697" s="545" t="s">
        <v>0</v>
      </c>
      <c r="D697" s="283"/>
      <c r="E697" s="750"/>
      <c r="F697"/>
      <c r="G697"/>
      <c r="H697"/>
      <c r="I697" s="745"/>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c r="A698" s="145"/>
      <c r="B698" s="203" t="s">
        <v>268</v>
      </c>
      <c r="C698" s="545" t="s">
        <v>0</v>
      </c>
      <c r="D698" s="283"/>
      <c r="E698" s="750"/>
      <c r="F698"/>
      <c r="G698"/>
      <c r="H698"/>
      <c r="I698" s="745"/>
      <c r="AF698" s="361">
        <f>IF(S.Notice.Involved="Y",1,0)</f>
        <v>1</v>
      </c>
      <c r="AG698" s="58"/>
      <c r="AH698" s="58"/>
      <c r="AI698" s="59"/>
      <c r="AJ698" s="44"/>
      <c r="AK698" s="44"/>
      <c r="AL698" s="76"/>
      <c r="AM698"/>
    </row>
    <row r="699" spans="1:39" s="23" customFormat="1" ht="14.1" customHeight="1" outlineLevel="1">
      <c r="A699" s="145"/>
      <c r="B699" s="873" t="s">
        <v>781</v>
      </c>
      <c r="C699" s="542"/>
      <c r="D699" s="301"/>
      <c r="E699" s="301"/>
      <c r="F699" s="262"/>
      <c r="G699" s="300"/>
      <c r="H699" s="300"/>
      <c r="I699" s="745"/>
      <c r="J699"/>
      <c r="K699"/>
      <c r="L699"/>
      <c r="M699"/>
      <c r="N699"/>
      <c r="O699"/>
      <c r="P699"/>
      <c r="Q699"/>
      <c r="R699"/>
      <c r="S699"/>
      <c r="T699"/>
      <c r="U699"/>
      <c r="X699"/>
      <c r="AB699"/>
      <c r="AC699"/>
      <c r="AF699" s="361" t="s">
        <v>230</v>
      </c>
      <c r="AG699" s="58"/>
      <c r="AH699" s="58"/>
      <c r="AI699" s="59"/>
      <c r="AJ699" s="59"/>
      <c r="AK699" s="44"/>
      <c r="AL699" s="76"/>
    </row>
    <row r="700" spans="1:39" s="23" customFormat="1" ht="14.1" customHeight="1" outlineLevel="1">
      <c r="A700" s="145"/>
      <c r="B700" s="529" t="str">
        <f>AK700</f>
        <v>Brian asks Maggie for Rule Publication work</v>
      </c>
      <c r="C700" s="979" t="s">
        <v>49</v>
      </c>
      <c r="D700" s="283"/>
      <c r="E700" s="891"/>
      <c r="F700" s="874" t="s">
        <v>0</v>
      </c>
      <c r="G700" s="875"/>
      <c r="H700" s="299">
        <f t="shared" ref="H700" si="132">AH700</f>
        <v>42025</v>
      </c>
      <c r="I700" s="745"/>
      <c r="J700"/>
      <c r="K700"/>
      <c r="L700"/>
      <c r="M700"/>
      <c r="N700"/>
      <c r="O700"/>
      <c r="P700"/>
      <c r="Q700"/>
      <c r="R700"/>
      <c r="S700"/>
      <c r="T700"/>
      <c r="U700"/>
      <c r="X700"/>
      <c r="AB700"/>
      <c r="AC700"/>
      <c r="AF700" s="361">
        <f t="shared" ref="AF700:AF708" si="133">IF(S.Notice.Involved="Y",1,0)</f>
        <v>1</v>
      </c>
      <c r="AG700" s="58"/>
      <c r="AH700" s="60">
        <f>WORKDAY(H692,1,S.DDL_DEQClosed)</f>
        <v>42025</v>
      </c>
      <c r="AI700" s="59"/>
      <c r="AJ700" s="59"/>
      <c r="AK700" s="67" t="str">
        <f>S.Staff.Subject.Expert.FirstName&amp;" asks "&amp;S.Staff.AgencyRulesCoordinator&amp;" for Rule Publication work"</f>
        <v>Brian asks Maggie for Rule Publication work</v>
      </c>
      <c r="AL700" s="76"/>
    </row>
    <row r="701" spans="1:39" s="23" customFormat="1" ht="14.1" customHeight="1" outlineLevel="1">
      <c r="A701" s="145" t="s">
        <v>0</v>
      </c>
      <c r="B701" s="529" t="str">
        <f>AK701</f>
        <v>Maggie coordinates Rule Publication work:</v>
      </c>
      <c r="C701" s="321"/>
      <c r="D701" s="283"/>
      <c r="E701" s="750"/>
      <c r="F701"/>
      <c r="G701" s="489">
        <f t="shared" ref="G701" si="134">AG701</f>
        <v>42025</v>
      </c>
      <c r="H701" s="489">
        <f t="shared" ref="H701" si="135">AH701</f>
        <v>42025</v>
      </c>
      <c r="I701" s="745"/>
      <c r="J701"/>
      <c r="K701"/>
      <c r="L701"/>
      <c r="M701"/>
      <c r="N701"/>
      <c r="O701"/>
      <c r="P701"/>
      <c r="Q701"/>
      <c r="R701"/>
      <c r="S701"/>
      <c r="T701"/>
      <c r="U701"/>
      <c r="X701"/>
      <c r="AB701"/>
      <c r="AC701"/>
      <c r="AF701" s="361">
        <f t="shared" si="133"/>
        <v>1</v>
      </c>
      <c r="AG701" s="60">
        <f>IF(AF701=0,,H700)</f>
        <v>42025</v>
      </c>
      <c r="AH701" s="60">
        <f>G701</f>
        <v>42025</v>
      </c>
      <c r="AI701" s="59"/>
      <c r="AJ701" s="59"/>
      <c r="AK701" s="67" t="str">
        <f>S.Staff.AgencyRulesCoordinator&amp;" coordinates Rule Publication work:"</f>
        <v>Maggie coordinates Rule Publication work:</v>
      </c>
      <c r="AL701" s="76"/>
    </row>
    <row r="702" spans="1:39" s="23" customFormat="1" ht="14.1" customHeight="1" outlineLevel="1">
      <c r="A702" s="145"/>
      <c r="B702" s="298" t="s">
        <v>270</v>
      </c>
      <c r="C702" s="545" t="s">
        <v>0</v>
      </c>
      <c r="D702" s="705"/>
      <c r="E702" s="705"/>
      <c r="F702"/>
      <c r="I702" s="745"/>
      <c r="J702"/>
      <c r="K702"/>
      <c r="L702"/>
      <c r="M702"/>
      <c r="N702"/>
      <c r="O702"/>
      <c r="P702"/>
      <c r="Q702"/>
      <c r="R702"/>
      <c r="S702"/>
      <c r="T702"/>
      <c r="U702"/>
      <c r="X702"/>
      <c r="AB702"/>
      <c r="AC702"/>
      <c r="AF702" s="361">
        <f t="shared" si="133"/>
        <v>1</v>
      </c>
      <c r="AG702" s="59"/>
      <c r="AH702" s="59"/>
      <c r="AI702" s="59"/>
      <c r="AJ702" s="59"/>
      <c r="AK702" s="74"/>
      <c r="AL702" s="76"/>
    </row>
    <row r="703" spans="1:39" s="23" customFormat="1" ht="14.1" customHeight="1" outlineLevel="1">
      <c r="A703" s="145"/>
      <c r="B703" s="530" t="s">
        <v>269</v>
      </c>
      <c r="C703" s="545" t="s">
        <v>0</v>
      </c>
      <c r="D703" s="705"/>
      <c r="E703" s="705"/>
      <c r="F703"/>
      <c r="I703" s="745"/>
      <c r="J703"/>
      <c r="K703"/>
      <c r="L703"/>
      <c r="M703"/>
      <c r="N703"/>
      <c r="O703"/>
      <c r="P703"/>
      <c r="Q703"/>
      <c r="R703"/>
      <c r="S703"/>
      <c r="T703"/>
      <c r="U703"/>
      <c r="X703"/>
      <c r="AB703"/>
      <c r="AC703"/>
      <c r="AF703" s="361">
        <f t="shared" si="133"/>
        <v>1</v>
      </c>
      <c r="AG703" s="59"/>
      <c r="AH703" s="59"/>
      <c r="AI703" s="59"/>
      <c r="AJ703" s="59"/>
      <c r="AK703" s="74"/>
      <c r="AL703" s="76"/>
    </row>
    <row r="704" spans="1:39" s="23" customFormat="1" ht="14.1" customHeight="1" outlineLevel="1">
      <c r="A704" s="145" t="s">
        <v>0</v>
      </c>
      <c r="B704" s="531" t="str">
        <f>AK704</f>
        <v>* contacts Brian with questions, clarifications and suggestions</v>
      </c>
      <c r="C704" s="545" t="s">
        <v>0</v>
      </c>
      <c r="D704" s="705"/>
      <c r="E704" s="705"/>
      <c r="F704"/>
      <c r="I704" s="745"/>
      <c r="J704"/>
      <c r="K704"/>
      <c r="L704"/>
      <c r="M704"/>
      <c r="N704"/>
      <c r="O704"/>
      <c r="P704"/>
      <c r="Q704"/>
      <c r="R704"/>
      <c r="S704"/>
      <c r="T704"/>
      <c r="U704"/>
      <c r="X704"/>
      <c r="AB704"/>
      <c r="AC704"/>
      <c r="AF704" s="361">
        <f t="shared" si="133"/>
        <v>1</v>
      </c>
      <c r="AG704" s="59"/>
      <c r="AH704" s="59"/>
      <c r="AI704" s="59"/>
      <c r="AJ704" s="59"/>
      <c r="AK704" s="182" t="str">
        <f>"* contacts "&amp;S.Staff.Subject.Expert.FirstName&amp;" with questions, clarifications and suggestions"</f>
        <v>* contacts Brian with questions, clarifications and suggestions</v>
      </c>
      <c r="AL704" s="76"/>
    </row>
    <row r="705" spans="1:39" s="23" customFormat="1" ht="14.1" customHeight="1" outlineLevel="1">
      <c r="A705" s="145" t="s">
        <v>0</v>
      </c>
      <c r="B705" s="531" t="str">
        <f>AK705</f>
        <v>* notifies Brian when complete</v>
      </c>
      <c r="C705" s="545" t="s">
        <v>0</v>
      </c>
      <c r="D705" s="705"/>
      <c r="E705" s="705"/>
      <c r="F705"/>
      <c r="I705" s="745"/>
      <c r="J705"/>
      <c r="K705"/>
      <c r="L705"/>
      <c r="M705"/>
      <c r="N705"/>
      <c r="O705"/>
      <c r="P705"/>
      <c r="Q705"/>
      <c r="R705"/>
      <c r="S705"/>
      <c r="T705"/>
      <c r="U705"/>
      <c r="X705"/>
      <c r="AB705"/>
      <c r="AC705"/>
      <c r="AF705" s="361">
        <f t="shared" si="133"/>
        <v>1</v>
      </c>
      <c r="AG705" s="59"/>
      <c r="AH705" s="59"/>
      <c r="AI705" s="59"/>
      <c r="AJ705" s="59"/>
      <c r="AK705" s="182" t="str">
        <f>"* notifies "&amp;S.Staff.Subject.Expert.FirstName&amp;" when complete"</f>
        <v>* notifies Brian when complete</v>
      </c>
      <c r="AL705" s="76"/>
    </row>
    <row r="706" spans="1:39" s="23" customFormat="1" ht="14.1" customHeight="1" outlineLevel="1">
      <c r="A706" s="145"/>
      <c r="B706" s="267" t="str">
        <f>AK706</f>
        <v>Brian:</v>
      </c>
      <c r="C706" s="268"/>
      <c r="D706" s="268"/>
      <c r="E706" s="268"/>
      <c r="F706"/>
      <c r="G706" s="258"/>
      <c r="H706" s="258"/>
      <c r="I706" s="745"/>
      <c r="J706"/>
      <c r="K706"/>
      <c r="L706"/>
      <c r="M706"/>
      <c r="N706"/>
      <c r="O706"/>
      <c r="P706"/>
      <c r="Q706"/>
      <c r="R706"/>
      <c r="S706"/>
      <c r="T706"/>
      <c r="U706"/>
      <c r="X706"/>
      <c r="AB706"/>
      <c r="AC706"/>
      <c r="AF706" s="361">
        <f t="shared" si="133"/>
        <v>1</v>
      </c>
      <c r="AG706" s="58"/>
      <c r="AH706" s="58"/>
      <c r="AI706" s="58"/>
      <c r="AJ706" s="44"/>
      <c r="AK706" s="182" t="str">
        <f>S.Staff.Subject.Expert.FirstName&amp;":"</f>
        <v>Brian:</v>
      </c>
      <c r="AL706" s="76"/>
    </row>
    <row r="707" spans="1:39" s="23" customFormat="1" ht="14.1" customHeight="1" outlineLevel="1">
      <c r="A707" s="145"/>
      <c r="B707" s="269" t="str">
        <f>AK707</f>
        <v>* shares comments/responses to comments with DavidC &amp; Uri</v>
      </c>
      <c r="C707" s="268"/>
      <c r="D707" s="283"/>
      <c r="E707" s="750"/>
      <c r="F707"/>
      <c r="G707" s="258"/>
      <c r="H707" s="299">
        <f t="shared" ref="H707:H711" si="136">AH707</f>
        <v>42025</v>
      </c>
      <c r="I707" s="745"/>
      <c r="J707"/>
      <c r="K707"/>
      <c r="L707"/>
      <c r="M707"/>
      <c r="N707"/>
      <c r="O707"/>
      <c r="P707"/>
      <c r="Q707"/>
      <c r="R707"/>
      <c r="S707"/>
      <c r="T707"/>
      <c r="U707"/>
      <c r="X707"/>
      <c r="AB707"/>
      <c r="AC707"/>
      <c r="AF707" s="361">
        <f t="shared" si="133"/>
        <v>1</v>
      </c>
      <c r="AG707" s="58"/>
      <c r="AH707" s="60">
        <f>H701</f>
        <v>42025</v>
      </c>
      <c r="AI707" s="58"/>
      <c r="AJ707" s="44"/>
      <c r="AK707" s="182" t="str">
        <f>"* shares comments/responses to comments with "&amp;S.Staff.Program.Mgr.FirstName&amp;" &amp; "&amp;S.Staff.Assistant.DA.ShortName</f>
        <v>* shares comments/responses to comments with DavidC &amp; Uri</v>
      </c>
      <c r="AL707" s="76"/>
    </row>
    <row r="708" spans="1:39" ht="14.1" customHeight="1" outlineLevel="1" thickBot="1">
      <c r="A708" s="145"/>
      <c r="B708" s="488" t="s">
        <v>271</v>
      </c>
      <c r="C708" s="542"/>
      <c r="D708" s="283"/>
      <c r="E708" s="750"/>
      <c r="F708"/>
      <c r="G708" s="299">
        <f t="shared" ref="G708:G711" si="137">AG708</f>
        <v>42025</v>
      </c>
      <c r="H708" s="299">
        <f t="shared" si="136"/>
        <v>42025</v>
      </c>
      <c r="I708" s="745"/>
      <c r="AF708" s="361">
        <f t="shared" si="133"/>
        <v>1</v>
      </c>
      <c r="AG708" s="60">
        <f>IF(AF708=0,,H707)</f>
        <v>42025</v>
      </c>
      <c r="AH708" s="60">
        <f t="shared" ref="AH708:AH711" si="138">G708</f>
        <v>42025</v>
      </c>
      <c r="AI708" s="59"/>
      <c r="AJ708" s="44"/>
      <c r="AK708" s="44"/>
      <c r="AL708" s="76"/>
      <c r="AM708"/>
    </row>
    <row r="709" spans="1:39" ht="14.1" customHeight="1" outlineLevel="1" thickBot="1">
      <c r="A709" s="145"/>
      <c r="B709" s="485" t="s">
        <v>272</v>
      </c>
      <c r="C709" s="481" t="s">
        <v>206</v>
      </c>
      <c r="D709" s="283"/>
      <c r="E709" s="750"/>
      <c r="F709"/>
      <c r="G709" s="299">
        <f t="shared" si="137"/>
        <v>0</v>
      </c>
      <c r="H709" s="299">
        <f t="shared" si="136"/>
        <v>0</v>
      </c>
      <c r="I709" s="745"/>
      <c r="AF709" s="361">
        <f>IF(AND(S.Comment.ApproveResponseLoop2="Y",S.Notice.Involved="Y"),1,)</f>
        <v>0</v>
      </c>
      <c r="AG709" s="60">
        <f>IF(AF709=0,,H708)</f>
        <v>0</v>
      </c>
      <c r="AH709" s="60">
        <f t="shared" si="138"/>
        <v>0</v>
      </c>
      <c r="AI709" s="59"/>
      <c r="AJ709" s="44"/>
      <c r="AK709" s="44"/>
      <c r="AL709" s="76"/>
      <c r="AM709"/>
    </row>
    <row r="710" spans="1:39" ht="14.1" customHeight="1" outlineLevel="1" thickBot="1">
      <c r="A710" s="145"/>
      <c r="B710" s="486" t="s">
        <v>273</v>
      </c>
      <c r="C710" s="481" t="s">
        <v>206</v>
      </c>
      <c r="D710" s="283"/>
      <c r="E710" s="750"/>
      <c r="F710"/>
      <c r="G710" s="299">
        <f t="shared" si="137"/>
        <v>0</v>
      </c>
      <c r="H710" s="299">
        <f t="shared" si="136"/>
        <v>0</v>
      </c>
      <c r="I710" s="745"/>
      <c r="AF710" s="361">
        <f>IF(AND(S.Comment.ApproveResponseLoop3="Y",S.Notice.Involved="Y"),1,)</f>
        <v>0</v>
      </c>
      <c r="AG710" s="60">
        <f>IF(AF710=0,,H709)</f>
        <v>0</v>
      </c>
      <c r="AH710" s="60">
        <f t="shared" si="138"/>
        <v>0</v>
      </c>
      <c r="AI710" s="59"/>
      <c r="AJ710" s="44"/>
      <c r="AK710" s="44"/>
      <c r="AL710" s="76"/>
      <c r="AM710"/>
    </row>
    <row r="711" spans="1:39" ht="14.1" customHeight="1" outlineLevel="1" thickBot="1">
      <c r="A711" s="145"/>
      <c r="B711" s="487" t="s">
        <v>274</v>
      </c>
      <c r="C711" s="481" t="s">
        <v>206</v>
      </c>
      <c r="D711" s="283"/>
      <c r="E711" s="750"/>
      <c r="F711"/>
      <c r="G711" s="299">
        <f t="shared" si="137"/>
        <v>0</v>
      </c>
      <c r="H711" s="299">
        <f t="shared" si="136"/>
        <v>0</v>
      </c>
      <c r="I711" s="745"/>
      <c r="AF711" s="361">
        <f>IF(AND(S.Comment.ApproveResponseLoop4="Y",S.Notice.Involved="Y"),1,)</f>
        <v>0</v>
      </c>
      <c r="AG711" s="60">
        <f>IF(AF711=0,,H710)</f>
        <v>0</v>
      </c>
      <c r="AH711" s="60">
        <f t="shared" si="138"/>
        <v>0</v>
      </c>
      <c r="AI711" s="59"/>
      <c r="AJ711" s="44"/>
      <c r="AK711" s="44"/>
      <c r="AL711" s="76"/>
      <c r="AM711"/>
    </row>
    <row r="712" spans="1:39" s="23" customFormat="1" ht="14.1" customHeight="1" outlineLevel="1">
      <c r="A712" s="145"/>
      <c r="B712" s="290" t="str">
        <f>AK712</f>
        <v>Brian:</v>
      </c>
      <c r="C712" s="258"/>
      <c r="D712" s="325"/>
      <c r="E712" s="325"/>
      <c r="F712"/>
      <c r="G712" s="258"/>
      <c r="H712" s="476"/>
      <c r="I712" s="745"/>
      <c r="J712"/>
      <c r="K712"/>
      <c r="L712"/>
      <c r="M712"/>
      <c r="N712"/>
      <c r="O712"/>
      <c r="P712"/>
      <c r="Q712"/>
      <c r="R712"/>
      <c r="S712"/>
      <c r="T712"/>
      <c r="U712"/>
      <c r="X712"/>
      <c r="AB712"/>
      <c r="AC712"/>
      <c r="AF712" s="361">
        <f>IF(S.Notice.Involved="Y",1,0)</f>
        <v>1</v>
      </c>
      <c r="AG712" s="58"/>
      <c r="AH712" s="58"/>
      <c r="AI712" s="59"/>
      <c r="AJ712" s="59"/>
      <c r="AK712" s="67" t="str">
        <f>S.Staff.Subject.Expert.FirstName&amp;":"</f>
        <v>Brian:</v>
      </c>
      <c r="AL712" s="76"/>
    </row>
    <row r="713" spans="1:39" s="172" customFormat="1" ht="14.1" customHeight="1" outlineLevel="1">
      <c r="A713" s="389"/>
      <c r="B713" s="269" t="s">
        <v>275</v>
      </c>
      <c r="C713" s="509" t="str">
        <f>HYPERLINK("\\deqhq1\Rule_Development\Currrent Plan","i")</f>
        <v>i</v>
      </c>
      <c r="D713" s="292"/>
      <c r="E713" s="750"/>
      <c r="F713"/>
      <c r="G713" s="258"/>
      <c r="H713" s="436">
        <f>AH713</f>
        <v>42025</v>
      </c>
      <c r="I713" s="745"/>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42025</v>
      </c>
      <c r="AI713" s="391"/>
      <c r="AJ713" s="391"/>
      <c r="AK713" s="58" t="s">
        <v>0</v>
      </c>
      <c r="AL713" s="76"/>
    </row>
    <row r="714" spans="1:39" s="23" customFormat="1" ht="14.1" customHeight="1" outlineLevel="1">
      <c r="A714" s="145"/>
      <c r="B714" s="269" t="s">
        <v>235</v>
      </c>
      <c r="C714" s="268"/>
      <c r="D714" s="278"/>
      <c r="E714" s="278"/>
      <c r="F714" s="262"/>
      <c r="G714" s="258"/>
      <c r="H714" s="258"/>
      <c r="I714" s="745"/>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 r="A715" s="145"/>
      <c r="B715" s="81"/>
      <c r="C715" s="82"/>
      <c r="D715" s="692"/>
      <c r="E715" s="692"/>
      <c r="F715" s="83"/>
      <c r="G715" s="82"/>
      <c r="H715" s="82"/>
      <c r="I715" s="745"/>
      <c r="AF715" s="361" t="s">
        <v>20</v>
      </c>
      <c r="AG715" s="47"/>
      <c r="AH715" s="47"/>
      <c r="AI715" s="59"/>
      <c r="AJ715" s="44"/>
      <c r="AK715" s="44"/>
      <c r="AL715" s="76"/>
      <c r="AM715"/>
    </row>
    <row r="716" spans="1:39" s="23" customFormat="1" ht="20.25" customHeight="1">
      <c r="A716" s="145"/>
      <c r="B716" s="515" t="s">
        <v>171</v>
      </c>
      <c r="C716" s="532"/>
      <c r="D716" s="689"/>
      <c r="E716" s="867"/>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c r="A717" s="373"/>
      <c r="B717" s="455" t="s">
        <v>0</v>
      </c>
      <c r="C717" s="374" t="s">
        <v>0</v>
      </c>
      <c r="D717" s="374"/>
      <c r="E717" s="374"/>
      <c r="F717" s="382"/>
      <c r="G717" s="375" t="s">
        <v>57</v>
      </c>
      <c r="H717" s="375" t="s">
        <v>172</v>
      </c>
      <c r="I717" s="745"/>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hidden="1" customHeight="1" outlineLevel="2">
      <c r="A718" s="145"/>
      <c r="B718" s="113" t="s">
        <v>0</v>
      </c>
      <c r="C718" s="115"/>
      <c r="D718" s="114"/>
      <c r="E718" s="114"/>
      <c r="F718" s="125"/>
      <c r="G718" s="175">
        <f>AG718</f>
        <v>41988</v>
      </c>
      <c r="H718" s="126">
        <f>AH718</f>
        <v>42037</v>
      </c>
      <c r="I718" s="745"/>
      <c r="AF718" s="361" t="s">
        <v>59</v>
      </c>
      <c r="AG718" s="60">
        <f>S.EQC.BANNER.Begin</f>
        <v>41988</v>
      </c>
      <c r="AH718" s="60">
        <f>S.EQC.BANNER.End</f>
        <v>42037</v>
      </c>
      <c r="AI718" s="59"/>
      <c r="AJ718" s="44"/>
      <c r="AK718" s="44"/>
      <c r="AL718" s="76"/>
      <c r="AM718"/>
    </row>
    <row r="719" spans="1:39" ht="6" hidden="1" customHeight="1" outlineLevel="2">
      <c r="A719" s="145"/>
      <c r="B719" s="106"/>
      <c r="C719" s="98"/>
      <c r="D719" s="691"/>
      <c r="E719" s="691"/>
      <c r="F719" s="99"/>
      <c r="G719" s="98"/>
      <c r="H719" s="98"/>
      <c r="I719" s="745"/>
      <c r="AF719" s="361" t="s">
        <v>16</v>
      </c>
      <c r="AG719" s="47"/>
      <c r="AH719" s="47"/>
      <c r="AI719" s="59"/>
      <c r="AJ719" s="44"/>
      <c r="AK719" s="44"/>
      <c r="AL719" s="76"/>
      <c r="AM719"/>
    </row>
    <row r="720" spans="1:39" s="23" customFormat="1" ht="14.1" hidden="1" customHeight="1" outlineLevel="2">
      <c r="A720" s="145"/>
      <c r="B720" s="538" t="s">
        <v>307</v>
      </c>
      <c r="C720" s="512" t="str">
        <f>HYPERLINK("\\deqhq1\Rule_Resources\i\0-VersionHistory.pdf","i")</f>
        <v>i</v>
      </c>
      <c r="D720" s="692"/>
      <c r="E720" s="692"/>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c r="A721" s="145" t="s">
        <v>0</v>
      </c>
      <c r="B721" s="285" t="str">
        <f>AK721</f>
        <v>Brian:</v>
      </c>
      <c r="C721" s="545" t="s">
        <v>0</v>
      </c>
      <c r="D721" s="719"/>
      <c r="E721" s="701"/>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Brian:</v>
      </c>
      <c r="AL721" s="76"/>
    </row>
    <row r="722" spans="1:39" s="23" customFormat="1" ht="14.1" hidden="1" customHeight="1" outlineLevel="2">
      <c r="A722" s="145" t="s">
        <v>0</v>
      </c>
      <c r="B722" s="289" t="str">
        <f>AK722</f>
        <v>* drafts content of Director's Report to EQC</v>
      </c>
      <c r="C722" s="550" t="s">
        <v>0</v>
      </c>
      <c r="D722" s="551"/>
      <c r="E722" s="551"/>
      <c r="F722"/>
      <c r="G722" s="291">
        <f t="shared" ref="G722:G723" si="139">AG722</f>
        <v>41988</v>
      </c>
      <c r="H722" s="291">
        <f t="shared" ref="H722:H723" si="140">AH722</f>
        <v>42037</v>
      </c>
      <c r="I722" s="745"/>
      <c r="J722"/>
      <c r="K722"/>
      <c r="L722"/>
      <c r="M722"/>
      <c r="N722"/>
      <c r="O722"/>
      <c r="P722"/>
      <c r="Q722"/>
      <c r="R722"/>
      <c r="S722"/>
      <c r="T722"/>
      <c r="U722"/>
      <c r="X722"/>
      <c r="AB722"/>
      <c r="AC722"/>
      <c r="AF722" s="361">
        <f>IF(S.EQC.DirReport="Y",1,0)</f>
        <v>1</v>
      </c>
      <c r="AG722" s="60">
        <f>IF(AF722=0,,S.EQC.BANNER.Begin)</f>
        <v>41988</v>
      </c>
      <c r="AH722" s="60">
        <f>IF(AF722=0,,S.EQC.SubmitStaffRpt)</f>
        <v>42037</v>
      </c>
      <c r="AI722" s="59"/>
      <c r="AJ722" s="44"/>
      <c r="AK722" s="67" t="str">
        <f>IF(S.EQC.DirReport="N","* no Director's Report","* drafts content of Director's Report to EQC")</f>
        <v>* drafts content of Director's Report to EQC</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1"/>
      <c r="E723" s="551"/>
      <c r="F723"/>
      <c r="G723" s="291">
        <f t="shared" si="139"/>
        <v>0</v>
      </c>
      <c r="H723" s="291">
        <f t="shared" si="140"/>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leads EQC material review</v>
      </c>
      <c r="C724" s="550" t="s">
        <v>0</v>
      </c>
      <c r="D724" s="551"/>
      <c r="E724" s="551"/>
      <c r="F724"/>
      <c r="G724" s="291">
        <f t="shared" ref="G724" si="141">AG724</f>
        <v>41988</v>
      </c>
      <c r="H724" s="291">
        <f t="shared" ref="H724" si="142">AH724</f>
        <v>42037</v>
      </c>
      <c r="I724" s="745"/>
      <c r="J724"/>
      <c r="K724"/>
      <c r="L724"/>
      <c r="M724"/>
      <c r="N724"/>
      <c r="O724"/>
      <c r="P724"/>
      <c r="Q724"/>
      <c r="R724"/>
      <c r="S724"/>
      <c r="T724"/>
      <c r="U724"/>
      <c r="X724"/>
      <c r="AB724"/>
      <c r="AC724"/>
      <c r="AF724" s="361">
        <f>IF(OR(S.EQC.DirReport="Y",S.EQC.FacHearing="Y"),1,0)</f>
        <v>1</v>
      </c>
      <c r="AG724" s="60">
        <f>IF(AF724=0,,S.EQC.BANNER.Begin)</f>
        <v>41988</v>
      </c>
      <c r="AH724" s="60">
        <f>IF(AF724=0,,S.EQC.SubmitStaffRpt)</f>
        <v>42037</v>
      </c>
      <c r="AI724" s="59"/>
      <c r="AJ724" s="44"/>
      <c r="AK724" s="67" t="str">
        <f>IF(OR(S.EQC.DirReport="Y",S.EQC.InfoItem="Y"),"* leads EQC material review","* blank row")</f>
        <v>* leads EQC material review</v>
      </c>
      <c r="AL724" s="76"/>
    </row>
    <row r="725" spans="1:39" ht="14.1" hidden="1" customHeight="1" outlineLevel="2">
      <c r="A725" s="145"/>
      <c r="B725" s="285" t="str">
        <f>AK725</f>
        <v>Brian develops STAFF.RPT.Permanent preloaded in folder 6 by:</v>
      </c>
      <c r="C725" s="550" t="s">
        <v>0</v>
      </c>
      <c r="D725" s="551"/>
      <c r="E725" s="551"/>
      <c r="F725"/>
      <c r="G725" s="291">
        <f t="shared" ref="G725:H725" si="143">AG725</f>
        <v>41988</v>
      </c>
      <c r="H725" s="291">
        <f t="shared" si="143"/>
        <v>42037</v>
      </c>
      <c r="I725" s="745"/>
      <c r="AF725" s="361">
        <v>1</v>
      </c>
      <c r="AG725" s="60">
        <f>S.EQC.BANNER.Begin</f>
        <v>41988</v>
      </c>
      <c r="AH725" s="60">
        <f>S.EQC.SubmitStaffRpt</f>
        <v>42037</v>
      </c>
      <c r="AI725" s="59"/>
      <c r="AJ725" s="44"/>
      <c r="AK725" s="67" t="str">
        <f>IF(S.General.RuleType="P",S.Staff.Subject.Expert.FirstName&amp;" develops STAFF.RPT.Permanent preloaded in folder 6 by:",S.Staff.Subject.Expert.FirstName&amp;" develops STAFF.RPT.Temporary (preloaded in folder 6 by:")</f>
        <v>Brian develops STAFF.RPT.Permanent preloaded in folder 6 by:</v>
      </c>
      <c r="AL725" s="76"/>
      <c r="AM725"/>
    </row>
    <row r="726" spans="1:39" s="23" customFormat="1" ht="14.1" hidden="1" customHeight="1" outlineLevel="2">
      <c r="A726" s="145"/>
      <c r="B726" s="302" t="s">
        <v>131</v>
      </c>
      <c r="C726" s="550" t="s">
        <v>0</v>
      </c>
      <c r="D726" s="551"/>
      <c r="E726" s="551"/>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c r="A727" s="145"/>
      <c r="B727" s="302" t="str">
        <f>AK727</f>
        <v>* integrating NOTICE into STAFF REPORT.Permanent by</v>
      </c>
      <c r="C727" s="550" t="s">
        <v>0</v>
      </c>
      <c r="D727" s="551"/>
      <c r="E727" s="551"/>
      <c r="F727"/>
      <c r="G727"/>
      <c r="H727"/>
      <c r="I727" s="745"/>
      <c r="J727"/>
      <c r="K727"/>
      <c r="L727"/>
      <c r="M727"/>
      <c r="N727"/>
      <c r="O727"/>
      <c r="P727"/>
      <c r="Q727"/>
      <c r="R727"/>
      <c r="S727"/>
      <c r="T727"/>
      <c r="U727"/>
      <c r="X727"/>
      <c r="AB727"/>
      <c r="AC727"/>
      <c r="AF727" s="361">
        <f t="shared" ref="AF727:AF735" si="144">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c r="A728" s="145"/>
      <c r="B728" s="503" t="s">
        <v>330</v>
      </c>
      <c r="C728" s="534"/>
      <c r="D728" s="534"/>
      <c r="E728" s="534"/>
      <c r="F728"/>
      <c r="G728" s="534"/>
      <c r="H728" s="534"/>
      <c r="I728" s="745"/>
      <c r="AF728" s="361">
        <f t="shared" si="144"/>
        <v>1</v>
      </c>
      <c r="AG728" s="80"/>
      <c r="AH728" s="80"/>
      <c r="AI728" s="59"/>
      <c r="AJ728" s="44"/>
      <c r="AK728" s="44"/>
      <c r="AL728" s="76"/>
      <c r="AM728"/>
    </row>
    <row r="729" spans="1:39" ht="14.1" hidden="1" customHeight="1" outlineLevel="2">
      <c r="A729" s="145"/>
      <c r="B729" s="504" t="s">
        <v>276</v>
      </c>
      <c r="C729" s="534"/>
      <c r="D729" s="534"/>
      <c r="E729" s="534"/>
      <c r="F729"/>
      <c r="G729" s="534"/>
      <c r="H729" s="534"/>
      <c r="I729" s="745"/>
      <c r="AF729" s="361">
        <f t="shared" si="144"/>
        <v>1</v>
      </c>
      <c r="AG729" s="80"/>
      <c r="AH729" s="80"/>
      <c r="AI729" s="59"/>
      <c r="AJ729" s="44"/>
      <c r="AK729" s="44"/>
      <c r="AL729" s="76"/>
      <c r="AM729"/>
    </row>
    <row r="730" spans="1:39" ht="14.1" hidden="1" customHeight="1" outlineLevel="2">
      <c r="A730" s="145"/>
      <c r="B730" s="504" t="s">
        <v>277</v>
      </c>
      <c r="C730" s="534"/>
      <c r="D730" s="534"/>
      <c r="E730" s="534"/>
      <c r="F730"/>
      <c r="G730" s="534"/>
      <c r="H730" s="534"/>
      <c r="I730" s="745"/>
      <c r="AF730" s="361">
        <f t="shared" si="144"/>
        <v>1</v>
      </c>
      <c r="AG730" s="80"/>
      <c r="AH730" s="80"/>
      <c r="AI730" s="59"/>
      <c r="AJ730" s="44"/>
      <c r="AK730" s="44"/>
      <c r="AL730" s="76"/>
      <c r="AM730"/>
    </row>
    <row r="731" spans="1:39" ht="14.1" hidden="1" customHeight="1" outlineLevel="2">
      <c r="A731" s="145"/>
      <c r="B731" s="504" t="s">
        <v>278</v>
      </c>
      <c r="C731" s="534"/>
      <c r="D731" s="534"/>
      <c r="E731" s="534"/>
      <c r="F731"/>
      <c r="G731" s="534"/>
      <c r="H731" s="534"/>
      <c r="I731" s="745"/>
      <c r="AF731" s="361">
        <f t="shared" si="144"/>
        <v>1</v>
      </c>
      <c r="AG731" s="80"/>
      <c r="AH731" s="80"/>
      <c r="AI731" s="59"/>
      <c r="AJ731" s="44"/>
      <c r="AK731" s="44"/>
      <c r="AL731" s="76"/>
      <c r="AM731"/>
    </row>
    <row r="732" spans="1:39" ht="14.1" hidden="1" customHeight="1" outlineLevel="2">
      <c r="A732" s="145"/>
      <c r="B732" s="504" t="s">
        <v>203</v>
      </c>
      <c r="C732" s="534"/>
      <c r="D732" s="534"/>
      <c r="E732" s="534"/>
      <c r="F732"/>
      <c r="G732" s="534"/>
      <c r="H732" s="534"/>
      <c r="I732" s="745"/>
      <c r="AF732" s="361">
        <f t="shared" si="144"/>
        <v>1</v>
      </c>
      <c r="AG732" s="80"/>
      <c r="AH732" s="80"/>
      <c r="AI732" s="59"/>
      <c r="AJ732" s="44"/>
      <c r="AK732" s="44"/>
      <c r="AL732" s="76"/>
      <c r="AM732"/>
    </row>
    <row r="733" spans="1:39" ht="14.1" hidden="1" customHeight="1" outlineLevel="2">
      <c r="A733" s="145"/>
      <c r="B733" s="474" t="s">
        <v>204</v>
      </c>
      <c r="C733" s="534"/>
      <c r="D733" s="534"/>
      <c r="E733" s="534"/>
      <c r="F733"/>
      <c r="G733" s="534"/>
      <c r="H733" s="534"/>
      <c r="I733" s="745"/>
      <c r="AF733" s="361">
        <f t="shared" si="144"/>
        <v>1</v>
      </c>
      <c r="AG733" s="80"/>
      <c r="AH733" s="80"/>
      <c r="AI733" s="59"/>
      <c r="AJ733" s="44"/>
      <c r="AK733" s="44"/>
      <c r="AL733" s="76"/>
      <c r="AM733"/>
    </row>
    <row r="734" spans="1:39" s="23" customFormat="1" ht="14.1" hidden="1" customHeight="1" outlineLevel="2">
      <c r="A734" s="145"/>
      <c r="B734" s="505" t="s">
        <v>279</v>
      </c>
      <c r="C734" s="534"/>
      <c r="D734" s="534"/>
      <c r="E734" s="534"/>
      <c r="F734"/>
      <c r="G734" s="534"/>
      <c r="H734" s="534"/>
      <c r="I734" s="745"/>
      <c r="J734"/>
      <c r="K734"/>
      <c r="L734"/>
      <c r="M734"/>
      <c r="N734"/>
      <c r="O734"/>
      <c r="P734"/>
      <c r="Q734"/>
      <c r="R734"/>
      <c r="S734"/>
      <c r="T734"/>
      <c r="U734"/>
      <c r="X734"/>
      <c r="AB734"/>
      <c r="AC734"/>
      <c r="AF734" s="361">
        <f t="shared" si="144"/>
        <v>1</v>
      </c>
      <c r="AG734" s="80"/>
      <c r="AH734" s="80"/>
      <c r="AI734" s="59"/>
      <c r="AJ734" s="44"/>
      <c r="AK734" s="44"/>
      <c r="AL734" s="76"/>
    </row>
    <row r="735" spans="1:39" s="23" customFormat="1" ht="14.1" hidden="1" customHeight="1" outlineLevel="2">
      <c r="A735" s="145"/>
      <c r="B735" s="505" t="s">
        <v>279</v>
      </c>
      <c r="C735" s="534"/>
      <c r="D735" s="534"/>
      <c r="E735" s="534"/>
      <c r="F735"/>
      <c r="G735" s="490"/>
      <c r="H735" s="490"/>
      <c r="I735" s="745"/>
      <c r="J735"/>
      <c r="K735"/>
      <c r="L735"/>
      <c r="M735"/>
      <c r="N735"/>
      <c r="O735"/>
      <c r="P735"/>
      <c r="Q735"/>
      <c r="R735"/>
      <c r="S735"/>
      <c r="T735"/>
      <c r="U735"/>
      <c r="X735"/>
      <c r="AB735"/>
      <c r="AC735"/>
      <c r="AF735" s="361">
        <f t="shared" si="144"/>
        <v>1</v>
      </c>
      <c r="AG735" s="80"/>
      <c r="AH735" s="80"/>
      <c r="AI735" s="59"/>
      <c r="AJ735" s="44"/>
      <c r="AK735" s="44"/>
      <c r="AL735" s="76"/>
    </row>
    <row r="736" spans="1:39" s="23" customFormat="1" ht="14.1" hidden="1" customHeight="1" outlineLevel="2">
      <c r="A736" s="145"/>
      <c r="B736" s="289" t="s">
        <v>292</v>
      </c>
      <c r="C736" s="510" t="str">
        <f>HYPERLINK("http://arcweb.sos.state.or.us/pages/rules/oars_300/oar_340/340_tofc.html","i")</f>
        <v>i</v>
      </c>
      <c r="D736" s="552"/>
      <c r="E736" s="552"/>
      <c r="F736"/>
      <c r="G736" s="291">
        <f t="shared" ref="G736" si="145">AG736</f>
        <v>41988</v>
      </c>
      <c r="H736" s="291">
        <f t="shared" ref="H736" si="146">AH736</f>
        <v>42037</v>
      </c>
      <c r="I736" s="745"/>
      <c r="J736"/>
      <c r="K736"/>
      <c r="L736"/>
      <c r="M736"/>
      <c r="N736"/>
      <c r="O736"/>
      <c r="P736"/>
      <c r="Q736"/>
      <c r="R736"/>
      <c r="S736"/>
      <c r="T736"/>
      <c r="U736"/>
      <c r="X736"/>
      <c r="AB736"/>
      <c r="AC736"/>
      <c r="AF736" s="361">
        <v>1</v>
      </c>
      <c r="AG736" s="60">
        <f>S.EQC.BANNER.Begin</f>
        <v>41988</v>
      </c>
      <c r="AH736" s="60">
        <f>S.EQC.SubmitStaffRpt</f>
        <v>42037</v>
      </c>
      <c r="AI736" s="59"/>
      <c r="AJ736" s="44"/>
      <c r="AK736" s="44"/>
      <c r="AL736" s="76"/>
    </row>
    <row r="737" spans="1:39" s="23" customFormat="1" ht="14.1" hidden="1" customHeight="1" outlineLevel="2">
      <c r="A737" s="145"/>
      <c r="B737" s="502" t="s">
        <v>291</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c r="A738" s="145"/>
      <c r="B738" s="302" t="str">
        <f>AK738</f>
        <v>* coordinates work on STAFF.RPT.Permanent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c r="A739" s="145"/>
      <c r="B739" s="463" t="s">
        <v>714</v>
      </c>
      <c r="C739" s="545" t="s">
        <v>0</v>
      </c>
      <c r="D739" s="705"/>
      <c r="E739" s="705"/>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c r="A740" s="145"/>
      <c r="B740" s="491" t="s">
        <v>713</v>
      </c>
      <c r="C740" s="545" t="s">
        <v>0</v>
      </c>
      <c r="D740" s="308" t="s">
        <v>0</v>
      </c>
      <c r="E740" s="308"/>
      <c r="G740"/>
      <c r="H740"/>
      <c r="I740" s="745"/>
      <c r="AF740" s="361">
        <v>1</v>
      </c>
      <c r="AG740" s="59"/>
      <c r="AH740" s="59"/>
      <c r="AI740" s="59"/>
      <c r="AJ740" s="44"/>
      <c r="AK740" s="346"/>
      <c r="AL740" s="76"/>
    </row>
    <row r="741" spans="1:39" ht="14.1" hidden="1" customHeight="1" outlineLevel="2">
      <c r="A741" s="145"/>
      <c r="B741" s="491" t="s">
        <v>715</v>
      </c>
      <c r="C741" s="545" t="s">
        <v>0</v>
      </c>
      <c r="D741" s="308" t="s">
        <v>0</v>
      </c>
      <c r="E741" s="308"/>
      <c r="F741"/>
      <c r="G741"/>
      <c r="H741"/>
      <c r="I741" s="745"/>
      <c r="AF741" s="361">
        <v>1</v>
      </c>
      <c r="AG741" s="59"/>
      <c r="AH741" s="59"/>
      <c r="AI741" s="59"/>
      <c r="AJ741" s="44"/>
      <c r="AK741" s="346"/>
      <c r="AL741" s="76"/>
      <c r="AM741"/>
    </row>
    <row r="742" spans="1:39" s="23" customFormat="1" ht="14.1" hidden="1" customHeight="1" outlineLevel="2">
      <c r="A742" s="145" t="s">
        <v>0</v>
      </c>
      <c r="B742" s="491" t="s">
        <v>716</v>
      </c>
      <c r="C742" s="545"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c r="A743" s="145" t="s">
        <v>0</v>
      </c>
      <c r="B743" s="909" t="s">
        <v>730</v>
      </c>
      <c r="C743" s="545" t="s">
        <v>0</v>
      </c>
      <c r="D743" s="308" t="s">
        <v>0</v>
      </c>
      <c r="E743" s="308"/>
      <c r="G743"/>
      <c r="H743"/>
      <c r="I743" s="745"/>
      <c r="AF743" s="361">
        <v>1</v>
      </c>
      <c r="AG743" s="59"/>
      <c r="AH743" s="59"/>
      <c r="AI743" s="59"/>
      <c r="AJ743" s="44"/>
      <c r="AK743" s="346"/>
      <c r="AL743" s="76"/>
    </row>
    <row r="744" spans="1:39" s="23" customFormat="1" ht="14.1" hidden="1" customHeight="1" outlineLevel="2">
      <c r="A744" s="145" t="s">
        <v>0</v>
      </c>
      <c r="B744" s="491" t="s">
        <v>717</v>
      </c>
      <c r="C744" s="545"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c r="A745" s="145" t="s">
        <v>0</v>
      </c>
      <c r="B745" s="423" t="s">
        <v>718</v>
      </c>
      <c r="C745" s="545"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c r="A746" s="145" t="s">
        <v>0</v>
      </c>
      <c r="B746" s="423" t="s">
        <v>719</v>
      </c>
      <c r="C746" s="545"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c r="A747" s="145"/>
      <c r="B747" s="514" t="s">
        <v>293</v>
      </c>
      <c r="C747" s="545" t="s">
        <v>0</v>
      </c>
      <c r="D747" s="705"/>
      <c r="E747" s="705"/>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c r="A748" s="145" t="s">
        <v>0</v>
      </c>
      <c r="B748" s="423" t="s">
        <v>190</v>
      </c>
      <c r="C748" s="545"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c r="A749" s="145"/>
      <c r="B749" s="302" t="s">
        <v>191</v>
      </c>
      <c r="C749" s="306"/>
      <c r="D749" s="307"/>
      <c r="E749" s="307"/>
      <c r="F749"/>
      <c r="G749" s="291">
        <f>AG749</f>
        <v>41988</v>
      </c>
      <c r="H749" s="291">
        <f>AH749</f>
        <v>42037</v>
      </c>
      <c r="I749" s="745"/>
      <c r="J749"/>
      <c r="K749"/>
      <c r="L749"/>
      <c r="M749"/>
      <c r="N749"/>
      <c r="O749"/>
      <c r="P749"/>
      <c r="Q749"/>
      <c r="R749"/>
      <c r="S749"/>
      <c r="T749"/>
      <c r="U749"/>
      <c r="X749"/>
      <c r="AB749"/>
      <c r="AC749"/>
      <c r="AF749" s="361">
        <v>1</v>
      </c>
      <c r="AG749" s="60">
        <f>S.EQC.BANNER.Begin</f>
        <v>41988</v>
      </c>
      <c r="AH749" s="60">
        <f>S.EQC.SubmitStaffRpt</f>
        <v>42037</v>
      </c>
      <c r="AI749" s="59"/>
      <c r="AJ749" s="159"/>
      <c r="AK749" s="346"/>
      <c r="AL749" s="76"/>
    </row>
    <row r="750" spans="1:39" ht="14.1" hidden="1" customHeight="1" outlineLevel="2">
      <c r="A750" s="145"/>
      <c r="B750" s="204" t="str">
        <f>AK750</f>
        <v>- STAFF.RPT.Permanent</v>
      </c>
      <c r="C750" s="545" t="s">
        <v>0</v>
      </c>
      <c r="D750" s="720"/>
      <c r="E750" s="720"/>
      <c r="F750"/>
      <c r="I750" s="745"/>
      <c r="AF750" s="361">
        <v>1</v>
      </c>
      <c r="AG750" s="59"/>
      <c r="AH750" s="59"/>
      <c r="AI750" s="59"/>
      <c r="AJ750" s="159"/>
      <c r="AK750" s="67" t="str">
        <f>IF(S.General.RuleType="P","- STAFF.RPT.Permanent","- STAFF.RPT.Temporary")</f>
        <v>- STAFF.RPT.Permanent</v>
      </c>
      <c r="AL750" s="76"/>
      <c r="AM750"/>
    </row>
    <row r="751" spans="1:39" s="23" customFormat="1" ht="14.1" hidden="1" customHeight="1" outlineLevel="2">
      <c r="A751" s="145"/>
      <c r="B751" s="427" t="s">
        <v>192</v>
      </c>
      <c r="C751" s="545" t="s">
        <v>0</v>
      </c>
      <c r="D751" s="720"/>
      <c r="E751" s="720"/>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c r="A752" s="145"/>
      <c r="B752" s="463" t="s">
        <v>193</v>
      </c>
      <c r="C752" s="545" t="s">
        <v>0</v>
      </c>
      <c r="D752" s="720"/>
      <c r="E752" s="720"/>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c r="A753" s="145"/>
      <c r="B753" s="302" t="str">
        <f>AK753</f>
        <v>* notifies AndreaG that Staff Report is ready for Rule Publication work</v>
      </c>
      <c r="C753" s="545" t="s">
        <v>0</v>
      </c>
      <c r="D753" s="705"/>
      <c r="E753" s="705"/>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AndreaG that Staff Report is ready for Rule Publication work</v>
      </c>
      <c r="AL753" s="76"/>
    </row>
    <row r="754" spans="1:39" s="23" customFormat="1" ht="24.75" hidden="1" customHeight="1" outlineLevel="1" collapsed="1" thickTop="1">
      <c r="A754" s="145"/>
      <c r="B754" s="779" t="str">
        <f>AK754</f>
        <v>AndreaG leads initial Rule Publication work that includes:</v>
      </c>
      <c r="C754" s="268"/>
      <c r="D754" s="40"/>
      <c r="E754" s="40"/>
      <c r="G754" s="992" t="s">
        <v>611</v>
      </c>
      <c r="H754" s="993"/>
      <c r="I754" s="745"/>
      <c r="AF754" s="361">
        <v>1</v>
      </c>
      <c r="AG754" s="59"/>
      <c r="AH754" s="59"/>
      <c r="AI754" s="58"/>
      <c r="AJ754" s="44"/>
      <c r="AK754" s="810" t="str">
        <f>S.Staff.RG.Lead.FirstName&amp;" leads initial Rule Publication work that includes:"</f>
        <v>AndreaG leads initial Rule Publication work that includes:</v>
      </c>
      <c r="AL754" s="76"/>
    </row>
    <row r="755" spans="1:39" s="23" customFormat="1" ht="14.1" hidden="1" customHeight="1" outlineLevel="1">
      <c r="A755" s="145" t="s">
        <v>0</v>
      </c>
      <c r="B755" s="269" t="s">
        <v>720</v>
      </c>
      <c r="C755" s="268"/>
      <c r="D755" s="714"/>
      <c r="E755" s="886"/>
      <c r="G755" s="980">
        <f>AG755</f>
        <v>41943</v>
      </c>
      <c r="H755" s="981">
        <f>AH755</f>
        <v>41955</v>
      </c>
      <c r="I755" s="745"/>
      <c r="AF755" s="361">
        <v>1</v>
      </c>
      <c r="AG755" s="566">
        <f>S.Notice.Submit.ToRG</f>
        <v>41943</v>
      </c>
      <c r="AH755" s="566">
        <f>WORKDAY(G755,7,S.DDL_DEQClosed)</f>
        <v>41955</v>
      </c>
      <c r="AI755" s="58"/>
      <c r="AJ755" s="44"/>
      <c r="AK755" s="44"/>
      <c r="AL755" s="76"/>
    </row>
    <row r="756" spans="1:39" s="23" customFormat="1" ht="14.1" hidden="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c r="A757" s="145"/>
      <c r="B757" s="814" t="s">
        <v>669</v>
      </c>
      <c r="C757" s="545" t="s">
        <v>0</v>
      </c>
      <c r="D757" s="705"/>
      <c r="E757" s="705"/>
      <c r="I757" s="745"/>
      <c r="AF757" s="361">
        <v>1</v>
      </c>
      <c r="AG757" s="59"/>
      <c r="AH757" s="59"/>
      <c r="AI757" s="59"/>
      <c r="AJ757" s="59"/>
      <c r="AK757" s="44"/>
      <c r="AL757" s="76"/>
    </row>
    <row r="758" spans="1:39" s="23" customFormat="1" ht="14.1" hidden="1" customHeight="1" outlineLevel="1">
      <c r="A758" s="145"/>
      <c r="B758" s="320" t="s">
        <v>649</v>
      </c>
      <c r="C758" s="282"/>
      <c r="G758" s="40"/>
      <c r="H758" s="40"/>
      <c r="I758" s="745"/>
      <c r="AF758" s="361">
        <v>1</v>
      </c>
      <c r="AG758" s="59"/>
      <c r="AH758" s="59"/>
      <c r="AI758" s="59"/>
      <c r="AJ758" s="59"/>
      <c r="AK758" s="44"/>
      <c r="AL758" s="76"/>
    </row>
    <row r="759" spans="1:39" s="23" customFormat="1" ht="14.1" hidden="1" customHeight="1" outlineLevel="1">
      <c r="A759" s="145" t="s">
        <v>0</v>
      </c>
      <c r="B759" s="289" t="str">
        <f t="shared" ref="B759" si="147">AK759</f>
        <v>* contacts Brian with questions or modifications and when work is complete</v>
      </c>
      <c r="C759" s="545" t="s">
        <v>0</v>
      </c>
      <c r="D759" s="705"/>
      <c r="E759" s="705"/>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Brian with questions or modifications and when work is complete</v>
      </c>
      <c r="AL759" s="76"/>
    </row>
    <row r="760" spans="1:39" s="23" customFormat="1" ht="14.1" hidden="1" customHeight="1" outlineLevel="1">
      <c r="A760" s="145"/>
      <c r="B760" s="284" t="str">
        <f>AK760</f>
        <v>AndreaG lets Brian know when work is complete</v>
      </c>
      <c r="C760" s="282"/>
      <c r="I760" s="745"/>
      <c r="AF760" s="361">
        <v>1</v>
      </c>
      <c r="AG760" s="59"/>
      <c r="AH760" s="566">
        <f>WORKDAY(H755,1,S.DDL_DEQClosed)</f>
        <v>41956</v>
      </c>
      <c r="AI760" s="59"/>
      <c r="AJ760" s="59"/>
      <c r="AK760" s="776" t="str">
        <f>S.Staff.RG.Lead.FirstName&amp;" lets "&amp;S.Staff.Subject.Expert.FirstName&amp;" know when work is complete"</f>
        <v>AndreaG lets Brian know when work is complete</v>
      </c>
      <c r="AL760" s="76"/>
    </row>
    <row r="761" spans="1:39" s="631" customFormat="1" ht="14.1" hidden="1" customHeight="1" outlineLevel="1">
      <c r="A761" s="600"/>
      <c r="B761" s="773" t="str">
        <f t="shared" ref="B761" si="148">AK761</f>
        <v>Brian prepares EQC Staff Report and initiates reviews</v>
      </c>
      <c r="C761" s="268" t="s">
        <v>0</v>
      </c>
      <c r="D761" s="774"/>
      <c r="E761" s="889"/>
      <c r="F761" s="23"/>
      <c r="G761" s="256">
        <f t="shared" ref="G761" si="149">AG761</f>
        <v>41988</v>
      </c>
      <c r="H761" s="256">
        <f t="shared" ref="H761" si="150">AH761</f>
        <v>42037</v>
      </c>
      <c r="I761" s="930"/>
      <c r="AF761" s="361">
        <v>1</v>
      </c>
      <c r="AG761" s="775">
        <f>S.EQC.BANNER.Begin</f>
        <v>41988</v>
      </c>
      <c r="AH761" s="775">
        <f>S.EQC.SubmitStaffRpt</f>
        <v>42037</v>
      </c>
      <c r="AI761" s="59"/>
      <c r="AJ761" s="59"/>
      <c r="AK761" s="776" t="str">
        <f>S.Staff.Subject.Expert.FirstName&amp;" prepares EQC Staff Report and initiates reviews"</f>
        <v>Brian prepares EQC Staff Report and initiates reviews</v>
      </c>
      <c r="AL761" s="76"/>
    </row>
    <row r="762" spans="1:39" s="23" customFormat="1" ht="14.1" hidden="1" customHeight="1" outlineLevel="2">
      <c r="A762" s="145"/>
      <c r="B762" s="464" t="str">
        <f>AK762</f>
        <v>- PaulG, if needed</v>
      </c>
      <c r="C762" s="545" t="s">
        <v>0</v>
      </c>
      <c r="D762" s="720"/>
      <c r="E762" s="720"/>
      <c r="F762"/>
      <c r="G762" s="291">
        <f t="shared" ref="G762" si="151">AG762</f>
        <v>41988</v>
      </c>
      <c r="H762" s="291">
        <f t="shared" ref="H762" si="152">AH762</f>
        <v>42037</v>
      </c>
      <c r="I762" s="745"/>
      <c r="J762"/>
      <c r="K762"/>
      <c r="L762"/>
      <c r="M762"/>
      <c r="N762"/>
      <c r="O762"/>
      <c r="P762"/>
      <c r="Q762"/>
      <c r="R762"/>
      <c r="S762"/>
      <c r="T762"/>
      <c r="U762"/>
      <c r="X762"/>
      <c r="AB762"/>
      <c r="AC762"/>
      <c r="AF762" s="361">
        <v>1</v>
      </c>
      <c r="AG762" s="60">
        <f>S.EQC.BANNER.Begin</f>
        <v>41988</v>
      </c>
      <c r="AH762" s="60">
        <f>S.EQC.SubmitStaffRpt</f>
        <v>42037</v>
      </c>
      <c r="AI762" s="59"/>
      <c r="AJ762" s="159"/>
      <c r="AK762" s="67" t="str">
        <f>"- "&amp; S.Staff.AAG&amp;", if needed"</f>
        <v>- PaulG, if needed</v>
      </c>
      <c r="AL762" s="76"/>
    </row>
    <row r="763" spans="1:39" s="23" customFormat="1" ht="14.1" hidden="1" customHeight="1" outlineLevel="2">
      <c r="A763" s="145"/>
      <c r="B763" s="466" t="s">
        <v>241</v>
      </c>
      <c r="C763" s="545" t="s">
        <v>0</v>
      </c>
      <c r="D763" s="715"/>
      <c r="E763" s="715"/>
      <c r="F763"/>
      <c r="G763" s="291">
        <f t="shared" ref="G763" si="153">AG763</f>
        <v>41988</v>
      </c>
      <c r="H763" s="291">
        <f t="shared" ref="H763" si="154">AH763</f>
        <v>42037</v>
      </c>
      <c r="I763" s="745"/>
      <c r="J763"/>
      <c r="K763"/>
      <c r="L763"/>
      <c r="M763"/>
      <c r="N763"/>
      <c r="O763"/>
      <c r="P763"/>
      <c r="Q763"/>
      <c r="R763"/>
      <c r="S763"/>
      <c r="T763"/>
      <c r="U763"/>
      <c r="X763"/>
      <c r="AB763"/>
      <c r="AC763"/>
      <c r="AF763" s="361">
        <v>1</v>
      </c>
      <c r="AG763" s="60">
        <f>S.EQC.BANNER.Begin</f>
        <v>41988</v>
      </c>
      <c r="AH763" s="60">
        <f>S.EQC.SubmitStaffRpt</f>
        <v>42037</v>
      </c>
      <c r="AI763" s="59"/>
      <c r="AJ763" s="159"/>
      <c r="AK763" s="44"/>
      <c r="AL763" s="76"/>
    </row>
    <row r="764" spans="1:39" s="23" customFormat="1" ht="14.1" hidden="1" customHeight="1" outlineLevel="2">
      <c r="A764" s="145"/>
      <c r="B764" s="466" t="s">
        <v>241</v>
      </c>
      <c r="C764" s="545" t="s">
        <v>0</v>
      </c>
      <c r="D764" s="715"/>
      <c r="E764" s="715"/>
      <c r="F764"/>
      <c r="G764" s="291">
        <f t="shared" ref="G764" si="155">AG764</f>
        <v>41988</v>
      </c>
      <c r="H764" s="291">
        <f t="shared" ref="H764" si="156">AH764</f>
        <v>42037</v>
      </c>
      <c r="I764" s="745"/>
      <c r="J764"/>
      <c r="K764"/>
      <c r="L764"/>
      <c r="M764"/>
      <c r="N764"/>
      <c r="O764"/>
      <c r="P764"/>
      <c r="Q764"/>
      <c r="R764"/>
      <c r="S764"/>
      <c r="T764"/>
      <c r="U764"/>
      <c r="X764"/>
      <c r="AB764"/>
      <c r="AC764"/>
      <c r="AF764" s="361">
        <v>1</v>
      </c>
      <c r="AG764" s="60">
        <f>S.EQC.BANNER.Begin</f>
        <v>41988</v>
      </c>
      <c r="AH764" s="60">
        <f>S.EQC.SubmitStaffRpt</f>
        <v>42037</v>
      </c>
      <c r="AI764" s="59"/>
      <c r="AJ764" s="159"/>
      <c r="AK764" s="44"/>
      <c r="AL764" s="76"/>
    </row>
    <row r="765" spans="1:39" s="23" customFormat="1" ht="14.1" hidden="1" customHeight="1" outlineLevel="2" thickBot="1">
      <c r="A765" s="145"/>
      <c r="B765" s="466" t="s">
        <v>240</v>
      </c>
      <c r="C765" s="545" t="s">
        <v>0</v>
      </c>
      <c r="D765" s="715"/>
      <c r="E765" s="715"/>
      <c r="F765"/>
      <c r="G765" s="291">
        <f t="shared" ref="G765" si="157">AG765</f>
        <v>41988</v>
      </c>
      <c r="H765" s="291">
        <f t="shared" ref="H765" si="158">AH765</f>
        <v>42037</v>
      </c>
      <c r="I765" s="745"/>
      <c r="J765"/>
      <c r="K765"/>
      <c r="L765"/>
      <c r="M765"/>
      <c r="N765"/>
      <c r="O765"/>
      <c r="P765"/>
      <c r="Q765"/>
      <c r="R765"/>
      <c r="S765"/>
      <c r="T765"/>
      <c r="U765"/>
      <c r="X765"/>
      <c r="AB765"/>
      <c r="AC765"/>
      <c r="AF765" s="361">
        <v>1</v>
      </c>
      <c r="AG765" s="60">
        <f>S.EQC.BANNER.Begin</f>
        <v>41988</v>
      </c>
      <c r="AH765" s="60">
        <f>S.EQC.SubmitStaffRpt</f>
        <v>42037</v>
      </c>
      <c r="AI765" s="59"/>
      <c r="AJ765" s="159"/>
      <c r="AK765" s="44"/>
      <c r="AL765" s="76"/>
    </row>
    <row r="766" spans="1:39" ht="14.1" hidden="1" customHeight="1" outlineLevel="3" thickBot="1">
      <c r="A766" s="145"/>
      <c r="B766" s="465" t="s">
        <v>243</v>
      </c>
      <c r="C766" s="481" t="s">
        <v>16</v>
      </c>
      <c r="D766" s="283"/>
      <c r="E766" s="283"/>
      <c r="F766"/>
      <c r="G766" s="291">
        <f t="shared" ref="G766:H779" si="159">AG766</f>
        <v>42037</v>
      </c>
      <c r="H766" s="291">
        <f t="shared" si="159"/>
        <v>42037</v>
      </c>
      <c r="I766" s="745"/>
      <c r="AF766" s="361">
        <f>IF(S.EQC.ApprovePacketLoop1="Y",1,0)</f>
        <v>1</v>
      </c>
      <c r="AG766" s="60">
        <f>IF(AF766=0,,H749)</f>
        <v>42037</v>
      </c>
      <c r="AH766" s="60">
        <f t="shared" ref="AH766:AH777" si="160">IF(AF766=0,,S.EQC.PacketBeginReview)</f>
        <v>42037</v>
      </c>
      <c r="AI766" s="59"/>
      <c r="AJ766" s="44"/>
      <c r="AK766" s="44"/>
      <c r="AL766" s="76"/>
      <c r="AM766"/>
    </row>
    <row r="767" spans="1:39" s="23" customFormat="1" ht="14.1" hidden="1" customHeight="1" outlineLevel="3">
      <c r="A767" s="145"/>
      <c r="B767" s="467" t="s">
        <v>242</v>
      </c>
      <c r="C767" s="545" t="s">
        <v>0</v>
      </c>
      <c r="D767" s="715"/>
      <c r="E767" s="715"/>
      <c r="F767"/>
      <c r="G767" s="291">
        <f t="shared" si="159"/>
        <v>42037</v>
      </c>
      <c r="H767" s="291">
        <f t="shared" si="159"/>
        <v>42037</v>
      </c>
      <c r="I767" s="745"/>
      <c r="J767"/>
      <c r="K767"/>
      <c r="L767"/>
      <c r="M767"/>
      <c r="N767"/>
      <c r="O767"/>
      <c r="P767"/>
      <c r="Q767"/>
      <c r="R767"/>
      <c r="S767"/>
      <c r="T767"/>
      <c r="U767"/>
      <c r="X767"/>
      <c r="AB767"/>
      <c r="AC767"/>
      <c r="AF767" s="361">
        <f>IF(S.EQC.ApprovePacketLoop1="Y",1,0)</f>
        <v>1</v>
      </c>
      <c r="AG767" s="60">
        <f>IF(AF767=0,,S.EQC.PacketBeginReview)</f>
        <v>42037</v>
      </c>
      <c r="AH767" s="60">
        <f t="shared" si="160"/>
        <v>42037</v>
      </c>
      <c r="AI767" s="59"/>
      <c r="AJ767" s="159"/>
      <c r="AK767" s="44"/>
      <c r="AL767" s="76"/>
    </row>
    <row r="768" spans="1:39" s="23" customFormat="1" ht="14.1" hidden="1" customHeight="1" outlineLevel="3">
      <c r="A768" s="145"/>
      <c r="B768" s="467" t="s">
        <v>242</v>
      </c>
      <c r="C768" s="545" t="s">
        <v>0</v>
      </c>
      <c r="D768" s="715"/>
      <c r="E768" s="715"/>
      <c r="F768"/>
      <c r="G768" s="291">
        <f t="shared" ref="G768" si="161">AG768</f>
        <v>42037</v>
      </c>
      <c r="H768" s="291">
        <f t="shared" ref="H768" si="162">AH768</f>
        <v>42037</v>
      </c>
      <c r="I768" s="745"/>
      <c r="J768"/>
      <c r="K768"/>
      <c r="L768"/>
      <c r="M768"/>
      <c r="N768"/>
      <c r="O768"/>
      <c r="P768"/>
      <c r="Q768"/>
      <c r="R768"/>
      <c r="S768"/>
      <c r="T768"/>
      <c r="U768"/>
      <c r="X768"/>
      <c r="AB768"/>
      <c r="AC768"/>
      <c r="AF768" s="361">
        <f>IF(S.EQC.ApprovePacketLoop1="Y",1,0)</f>
        <v>1</v>
      </c>
      <c r="AG768" s="60">
        <f>IF(AF768=0,,S.EQC.PacketBeginReview)</f>
        <v>42037</v>
      </c>
      <c r="AH768" s="60">
        <f t="shared" si="160"/>
        <v>42037</v>
      </c>
      <c r="AI768" s="59"/>
      <c r="AJ768" s="159"/>
      <c r="AK768" s="44"/>
      <c r="AL768" s="76"/>
    </row>
    <row r="769" spans="1:39" s="23" customFormat="1" ht="14.1" hidden="1" customHeight="1" outlineLevel="3" thickBot="1">
      <c r="A769" s="145"/>
      <c r="B769" s="467" t="s">
        <v>242</v>
      </c>
      <c r="C769" s="545" t="s">
        <v>0</v>
      </c>
      <c r="D769" s="715"/>
      <c r="E769" s="715"/>
      <c r="F769"/>
      <c r="G769" s="291">
        <f t="shared" ref="G769" si="163">AG769</f>
        <v>42037</v>
      </c>
      <c r="H769" s="291">
        <f t="shared" ref="H769" si="164">AH769</f>
        <v>42037</v>
      </c>
      <c r="I769" s="745"/>
      <c r="J769"/>
      <c r="K769"/>
      <c r="L769"/>
      <c r="M769"/>
      <c r="N769"/>
      <c r="O769"/>
      <c r="P769"/>
      <c r="Q769"/>
      <c r="R769"/>
      <c r="S769"/>
      <c r="T769"/>
      <c r="U769"/>
      <c r="X769"/>
      <c r="AB769"/>
      <c r="AC769"/>
      <c r="AF769" s="361">
        <f>IF(S.EQC.ApprovePacketLoop1="Y",1,0)</f>
        <v>1</v>
      </c>
      <c r="AG769" s="60">
        <f>IF(AF769=0,,S.EQC.PacketBeginReview)</f>
        <v>42037</v>
      </c>
      <c r="AH769" s="60">
        <f t="shared" si="160"/>
        <v>42037</v>
      </c>
      <c r="AI769" s="59"/>
      <c r="AJ769" s="159"/>
      <c r="AK769" s="44"/>
      <c r="AL769" s="76"/>
    </row>
    <row r="770" spans="1:39" ht="14.1" hidden="1" customHeight="1" outlineLevel="3" thickBot="1">
      <c r="A770" s="145"/>
      <c r="B770" s="468" t="s">
        <v>244</v>
      </c>
      <c r="C770" s="481" t="s">
        <v>16</v>
      </c>
      <c r="D770" s="283"/>
      <c r="E770" s="283"/>
      <c r="F770"/>
      <c r="G770" s="291">
        <f t="shared" si="159"/>
        <v>42037</v>
      </c>
      <c r="H770" s="291">
        <f t="shared" si="159"/>
        <v>42037</v>
      </c>
      <c r="I770" s="745"/>
      <c r="AF770" s="361">
        <f>IF(S.EQC.ApprovePacketLoop2="Y",1,0)</f>
        <v>1</v>
      </c>
      <c r="AG770" s="60">
        <f>IF(AF770=0,,H766)</f>
        <v>42037</v>
      </c>
      <c r="AH770" s="60">
        <f t="shared" si="160"/>
        <v>42037</v>
      </c>
      <c r="AI770" s="59"/>
      <c r="AJ770" s="44"/>
      <c r="AK770" s="44"/>
      <c r="AL770" s="76"/>
      <c r="AM770"/>
    </row>
    <row r="771" spans="1:39" s="23" customFormat="1" ht="14.1" hidden="1" customHeight="1" outlineLevel="3">
      <c r="A771" s="145"/>
      <c r="B771" s="469" t="s">
        <v>242</v>
      </c>
      <c r="C771" s="545" t="s">
        <v>0</v>
      </c>
      <c r="D771" s="715"/>
      <c r="E771" s="715"/>
      <c r="F771"/>
      <c r="G771" s="291">
        <f t="shared" ref="G771:G773" si="165">AG771</f>
        <v>42037</v>
      </c>
      <c r="H771" s="291">
        <f t="shared" ref="H771:H773" si="166">AH771</f>
        <v>42037</v>
      </c>
      <c r="I771" s="745"/>
      <c r="J771"/>
      <c r="K771"/>
      <c r="L771"/>
      <c r="M771"/>
      <c r="N771"/>
      <c r="O771"/>
      <c r="P771"/>
      <c r="Q771"/>
      <c r="R771"/>
      <c r="S771"/>
      <c r="T771"/>
      <c r="U771"/>
      <c r="X771"/>
      <c r="AB771"/>
      <c r="AC771"/>
      <c r="AF771" s="361">
        <f>IF(S.EQC.ApprovePacketLoop2="Y",1,0)</f>
        <v>1</v>
      </c>
      <c r="AG771" s="60">
        <f>IF(AF771=0,,G770)</f>
        <v>42037</v>
      </c>
      <c r="AH771" s="60">
        <f t="shared" si="160"/>
        <v>42037</v>
      </c>
      <c r="AI771" s="59"/>
      <c r="AJ771" s="159"/>
      <c r="AK771" s="44"/>
      <c r="AL771" s="76"/>
    </row>
    <row r="772" spans="1:39" s="23" customFormat="1" ht="14.1" hidden="1" customHeight="1" outlineLevel="3">
      <c r="A772" s="145"/>
      <c r="B772" s="469" t="s">
        <v>242</v>
      </c>
      <c r="C772" s="545" t="s">
        <v>0</v>
      </c>
      <c r="D772" s="715"/>
      <c r="E772" s="715"/>
      <c r="F772"/>
      <c r="G772" s="291">
        <f t="shared" si="165"/>
        <v>42037</v>
      </c>
      <c r="H772" s="291">
        <f t="shared" si="166"/>
        <v>42037</v>
      </c>
      <c r="I772" s="745"/>
      <c r="J772"/>
      <c r="K772"/>
      <c r="L772"/>
      <c r="M772"/>
      <c r="N772"/>
      <c r="O772"/>
      <c r="P772"/>
      <c r="Q772"/>
      <c r="R772"/>
      <c r="S772"/>
      <c r="T772"/>
      <c r="U772"/>
      <c r="X772"/>
      <c r="AB772"/>
      <c r="AC772"/>
      <c r="AF772" s="361">
        <f>IF(S.EQC.ApprovePacketLoop2="Y",1,0)</f>
        <v>1</v>
      </c>
      <c r="AG772" s="60">
        <f>IF(AF772=0,,G770)</f>
        <v>42037</v>
      </c>
      <c r="AH772" s="60">
        <f t="shared" si="160"/>
        <v>42037</v>
      </c>
      <c r="AI772" s="59"/>
      <c r="AJ772" s="159"/>
      <c r="AK772" s="44"/>
      <c r="AL772" s="76"/>
    </row>
    <row r="773" spans="1:39" s="23" customFormat="1" ht="14.1" hidden="1" customHeight="1" outlineLevel="3" thickBot="1">
      <c r="A773" s="145"/>
      <c r="B773" s="469" t="s">
        <v>242</v>
      </c>
      <c r="C773" s="545" t="s">
        <v>0</v>
      </c>
      <c r="D773" s="715"/>
      <c r="E773" s="715"/>
      <c r="F773"/>
      <c r="G773" s="291">
        <f t="shared" si="165"/>
        <v>42037</v>
      </c>
      <c r="H773" s="291">
        <f t="shared" si="166"/>
        <v>42037</v>
      </c>
      <c r="I773" s="745"/>
      <c r="J773"/>
      <c r="K773"/>
      <c r="L773"/>
      <c r="M773"/>
      <c r="N773"/>
      <c r="O773"/>
      <c r="P773"/>
      <c r="Q773"/>
      <c r="R773"/>
      <c r="S773"/>
      <c r="T773"/>
      <c r="U773"/>
      <c r="X773"/>
      <c r="AB773"/>
      <c r="AC773"/>
      <c r="AF773" s="361">
        <f>IF(S.EQC.ApprovePacketLoop2="Y",1,0)</f>
        <v>1</v>
      </c>
      <c r="AG773" s="60">
        <f>IF(AF773=0,,G770)</f>
        <v>42037</v>
      </c>
      <c r="AH773" s="60">
        <f t="shared" si="160"/>
        <v>42037</v>
      </c>
      <c r="AI773" s="59"/>
      <c r="AJ773" s="159"/>
      <c r="AK773" s="44"/>
      <c r="AL773" s="76"/>
    </row>
    <row r="774" spans="1:39" ht="14.1" hidden="1" customHeight="1" outlineLevel="3" thickBot="1">
      <c r="A774" s="145"/>
      <c r="B774" s="470" t="s">
        <v>245</v>
      </c>
      <c r="C774" s="481" t="s">
        <v>16</v>
      </c>
      <c r="D774" s="283"/>
      <c r="E774" s="283"/>
      <c r="F774"/>
      <c r="G774" s="291">
        <f t="shared" si="159"/>
        <v>42037</v>
      </c>
      <c r="H774" s="291">
        <f t="shared" si="159"/>
        <v>42037</v>
      </c>
      <c r="I774" s="745"/>
      <c r="AF774" s="361">
        <f>IF(S.EQC.ApprovePacketLoop3="Y",1,0)</f>
        <v>1</v>
      </c>
      <c r="AG774" s="60">
        <f>IF(AF774=0,,H770)</f>
        <v>42037</v>
      </c>
      <c r="AH774" s="60">
        <f t="shared" si="160"/>
        <v>42037</v>
      </c>
      <c r="AI774" s="59"/>
      <c r="AJ774" s="44"/>
      <c r="AK774" s="44"/>
      <c r="AL774" s="76"/>
      <c r="AM774"/>
    </row>
    <row r="775" spans="1:39" s="23" customFormat="1" ht="14.1" hidden="1" customHeight="1" outlineLevel="3">
      <c r="A775" s="145"/>
      <c r="B775" s="471" t="s">
        <v>242</v>
      </c>
      <c r="C775" s="545" t="s">
        <v>0</v>
      </c>
      <c r="D775" s="715"/>
      <c r="E775" s="715"/>
      <c r="F775"/>
      <c r="G775" s="291">
        <f t="shared" si="159"/>
        <v>42037</v>
      </c>
      <c r="H775" s="291">
        <f t="shared" si="159"/>
        <v>42037</v>
      </c>
      <c r="I775" s="745"/>
      <c r="J775"/>
      <c r="K775"/>
      <c r="L775"/>
      <c r="M775"/>
      <c r="N775"/>
      <c r="O775"/>
      <c r="P775"/>
      <c r="Q775"/>
      <c r="R775"/>
      <c r="S775"/>
      <c r="T775"/>
      <c r="U775"/>
      <c r="X775"/>
      <c r="AB775"/>
      <c r="AC775"/>
      <c r="AF775" s="361">
        <f>IF(S.EQC.ApprovePacketLoop3="Y",1,0)</f>
        <v>1</v>
      </c>
      <c r="AG775" s="60">
        <f>IF(AF775=0,,G774)</f>
        <v>42037</v>
      </c>
      <c r="AH775" s="60">
        <f t="shared" si="160"/>
        <v>42037</v>
      </c>
      <c r="AI775" s="59"/>
      <c r="AJ775" s="159"/>
      <c r="AK775" s="44"/>
      <c r="AL775" s="76"/>
    </row>
    <row r="776" spans="1:39" s="23" customFormat="1" ht="14.1" hidden="1" customHeight="1" outlineLevel="3">
      <c r="A776" s="145"/>
      <c r="B776" s="471" t="s">
        <v>242</v>
      </c>
      <c r="C776" s="545" t="s">
        <v>0</v>
      </c>
      <c r="D776" s="715"/>
      <c r="E776" s="715"/>
      <c r="F776"/>
      <c r="G776" s="291">
        <f t="shared" si="159"/>
        <v>42037</v>
      </c>
      <c r="H776" s="291">
        <f t="shared" si="159"/>
        <v>42037</v>
      </c>
      <c r="I776" s="745"/>
      <c r="J776"/>
      <c r="K776"/>
      <c r="L776"/>
      <c r="M776"/>
      <c r="N776"/>
      <c r="O776"/>
      <c r="P776"/>
      <c r="Q776"/>
      <c r="R776"/>
      <c r="S776"/>
      <c r="T776"/>
      <c r="U776"/>
      <c r="X776"/>
      <c r="AB776"/>
      <c r="AC776"/>
      <c r="AF776" s="361">
        <f>IF(S.EQC.ApprovePacketLoop3="Y",1,0)</f>
        <v>1</v>
      </c>
      <c r="AG776" s="60">
        <f>IF(AF776=0,,G774)</f>
        <v>42037</v>
      </c>
      <c r="AH776" s="60">
        <f t="shared" si="160"/>
        <v>42037</v>
      </c>
      <c r="AI776" s="59"/>
      <c r="AJ776" s="159"/>
      <c r="AK776" s="44"/>
      <c r="AL776" s="76"/>
    </row>
    <row r="777" spans="1:39" s="23" customFormat="1" ht="14.1" hidden="1" customHeight="1" outlineLevel="3">
      <c r="A777" s="145"/>
      <c r="B777" s="471" t="s">
        <v>242</v>
      </c>
      <c r="C777" s="545" t="s">
        <v>0</v>
      </c>
      <c r="D777" s="715"/>
      <c r="E777" s="715"/>
      <c r="F777"/>
      <c r="G777" s="291">
        <f t="shared" si="159"/>
        <v>42037</v>
      </c>
      <c r="H777" s="291">
        <f t="shared" si="159"/>
        <v>42037</v>
      </c>
      <c r="I777" s="745"/>
      <c r="J777"/>
      <c r="K777"/>
      <c r="L777"/>
      <c r="M777"/>
      <c r="N777"/>
      <c r="O777"/>
      <c r="P777"/>
      <c r="Q777"/>
      <c r="R777"/>
      <c r="S777"/>
      <c r="T777"/>
      <c r="U777"/>
      <c r="X777"/>
      <c r="AB777"/>
      <c r="AC777"/>
      <c r="AF777" s="361">
        <f>IF(S.EQC.ApprovePacketLoop3="Y",1,0)</f>
        <v>1</v>
      </c>
      <c r="AG777" s="60">
        <f>IF(AF777=0,,G774)</f>
        <v>42037</v>
      </c>
      <c r="AH777" s="60">
        <f t="shared" si="160"/>
        <v>42037</v>
      </c>
      <c r="AI777" s="59"/>
      <c r="AJ777" s="159"/>
      <c r="AK777" s="44"/>
      <c r="AL777" s="76"/>
    </row>
    <row r="778" spans="1:39" s="23" customFormat="1" ht="14.1" hidden="1" customHeight="1" outlineLevel="2" thickBot="1">
      <c r="A778" s="145" t="s">
        <v>0</v>
      </c>
      <c r="B778" s="285" t="str">
        <f>AK778</f>
        <v>Brian:</v>
      </c>
      <c r="C778" s="545" t="s">
        <v>0</v>
      </c>
      <c r="D778" s="719"/>
      <c r="E778" s="701"/>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Brian:</v>
      </c>
      <c r="AL778" s="76"/>
    </row>
    <row r="779" spans="1:39" s="23" customFormat="1" ht="14.1" hidden="1" customHeight="1" outlineLevel="2" thickBot="1">
      <c r="A779" s="145"/>
      <c r="B779" s="472" t="str">
        <f>AK779</f>
        <v>* discusses need for 1|1 commissioners briefings with DavidC &amp; Uri</v>
      </c>
      <c r="C779" s="481" t="s">
        <v>206</v>
      </c>
      <c r="D779" s="720"/>
      <c r="E779" s="720"/>
      <c r="F779"/>
      <c r="G779" s="291">
        <f t="shared" si="159"/>
        <v>0</v>
      </c>
      <c r="H779" s="291">
        <f t="shared" si="159"/>
        <v>0</v>
      </c>
      <c r="I779" s="745"/>
      <c r="J779"/>
      <c r="K779"/>
      <c r="L779"/>
      <c r="M779"/>
      <c r="N779"/>
      <c r="O779"/>
      <c r="P779"/>
      <c r="Q779"/>
      <c r="R779"/>
      <c r="S779"/>
      <c r="T779"/>
      <c r="U779"/>
      <c r="X779"/>
      <c r="AB779"/>
      <c r="AC779"/>
      <c r="AF779" s="361">
        <f t="shared" ref="AF779:AF784" si="167">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Uri</v>
      </c>
      <c r="AL779" s="76"/>
    </row>
    <row r="780" spans="1:39" s="23" customFormat="1" ht="14.1" hidden="1" customHeight="1" outlineLevel="2">
      <c r="A780" s="145"/>
      <c r="B780" s="896" t="s">
        <v>721</v>
      </c>
      <c r="C780" s="989" t="s">
        <v>349</v>
      </c>
      <c r="D780" s="989"/>
      <c r="E780" s="989"/>
      <c r="F780" s="989"/>
      <c r="G780" s="989"/>
      <c r="H780" s="989"/>
      <c r="I780" s="931"/>
      <c r="J780" s="895"/>
      <c r="K780" s="895"/>
      <c r="L780" s="895"/>
      <c r="M780" s="895"/>
      <c r="N780" s="895"/>
      <c r="O780" s="895"/>
      <c r="P780" s="895"/>
      <c r="Q780" s="895"/>
      <c r="R780" s="895"/>
      <c r="S780" s="895"/>
      <c r="T780" s="895"/>
      <c r="U780" s="895"/>
      <c r="V780" s="895"/>
      <c r="W780" s="895"/>
      <c r="X780" s="895"/>
      <c r="Y780" s="895"/>
      <c r="Z780" s="895"/>
      <c r="AA780" s="895"/>
      <c r="AB780" s="895"/>
      <c r="AC780" s="895"/>
      <c r="AD780" s="895"/>
      <c r="AF780" s="361">
        <f t="shared" si="167"/>
        <v>0</v>
      </c>
      <c r="AG780" s="80"/>
      <c r="AH780" s="80"/>
      <c r="AI780" s="59"/>
      <c r="AJ780" s="44"/>
      <c r="AK780" s="44"/>
      <c r="AL780" s="76"/>
    </row>
    <row r="781" spans="1:39" s="23" customFormat="1" ht="14.1" hidden="1" customHeight="1" outlineLevel="2">
      <c r="A781" s="145"/>
      <c r="B781" s="896" t="s">
        <v>721</v>
      </c>
      <c r="C781" s="989" t="s">
        <v>296</v>
      </c>
      <c r="D781" s="989"/>
      <c r="E781" s="989"/>
      <c r="F781" s="989"/>
      <c r="G781" s="989"/>
      <c r="H781" s="989"/>
      <c r="I781" s="931"/>
      <c r="J781" s="895"/>
      <c r="K781" s="895"/>
      <c r="L781" s="895"/>
      <c r="M781" s="895"/>
      <c r="N781" s="895"/>
      <c r="O781" s="895"/>
      <c r="P781" s="895"/>
      <c r="Q781" s="895"/>
      <c r="R781" s="895"/>
      <c r="S781" s="895"/>
      <c r="T781" s="895"/>
      <c r="U781" s="895"/>
      <c r="V781" s="895"/>
      <c r="W781" s="895"/>
      <c r="X781" s="895"/>
      <c r="Y781" s="895"/>
      <c r="Z781" s="895"/>
      <c r="AA781" s="895"/>
      <c r="AB781" s="895"/>
      <c r="AC781" s="895"/>
      <c r="AD781" s="895"/>
      <c r="AF781" s="361">
        <f t="shared" si="167"/>
        <v>0</v>
      </c>
      <c r="AG781" s="80"/>
      <c r="AH781" s="80"/>
      <c r="AI781" s="59"/>
      <c r="AJ781" s="44"/>
      <c r="AK781" s="44"/>
      <c r="AL781" s="76"/>
    </row>
    <row r="782" spans="1:39" s="23" customFormat="1" ht="14.1" hidden="1" customHeight="1" outlineLevel="2">
      <c r="A782" s="145"/>
      <c r="B782" s="896" t="s">
        <v>721</v>
      </c>
      <c r="C782" s="989" t="s">
        <v>297</v>
      </c>
      <c r="D782" s="989"/>
      <c r="E782" s="989"/>
      <c r="F782" s="989"/>
      <c r="G782" s="989"/>
      <c r="H782" s="989"/>
      <c r="I782" s="989"/>
      <c r="J782" s="989"/>
      <c r="K782" s="989"/>
      <c r="L782" s="989"/>
      <c r="M782" s="989"/>
      <c r="N782" s="989"/>
      <c r="O782" s="989"/>
      <c r="P782" s="989"/>
      <c r="Q782" s="989"/>
      <c r="R782" s="989"/>
      <c r="S782" s="989"/>
      <c r="T782" s="989"/>
      <c r="U782" s="989"/>
      <c r="V782" s="989"/>
      <c r="W782" s="989"/>
      <c r="X782" s="989"/>
      <c r="Y782" s="989"/>
      <c r="Z782" s="989"/>
      <c r="AA782" s="989"/>
      <c r="AB782" s="989"/>
      <c r="AC782" s="989"/>
      <c r="AD782" s="989"/>
      <c r="AF782" s="361">
        <f t="shared" si="167"/>
        <v>0</v>
      </c>
      <c r="AG782" s="80"/>
      <c r="AH782" s="80"/>
      <c r="AI782" s="59"/>
      <c r="AJ782" s="44"/>
      <c r="AK782" s="44"/>
      <c r="AL782" s="76"/>
    </row>
    <row r="783" spans="1:39" s="23" customFormat="1" ht="14.1" hidden="1" customHeight="1" outlineLevel="2">
      <c r="A783" s="145"/>
      <c r="B783" s="896" t="s">
        <v>721</v>
      </c>
      <c r="C783" s="989" t="s">
        <v>298</v>
      </c>
      <c r="D783" s="989"/>
      <c r="E783" s="989"/>
      <c r="F783" s="989"/>
      <c r="G783" s="989"/>
      <c r="H783" s="989"/>
      <c r="I783" s="989"/>
      <c r="J783" s="989"/>
      <c r="K783" s="989"/>
      <c r="L783" s="989"/>
      <c r="M783" s="989"/>
      <c r="N783" s="989"/>
      <c r="O783" s="989"/>
      <c r="P783" s="989"/>
      <c r="Q783" s="989"/>
      <c r="R783" s="989"/>
      <c r="S783" s="989"/>
      <c r="T783" s="989"/>
      <c r="U783" s="989"/>
      <c r="V783" s="989"/>
      <c r="W783" s="989"/>
      <c r="X783" s="989"/>
      <c r="Y783" s="989"/>
      <c r="Z783" s="989"/>
      <c r="AA783" s="989"/>
      <c r="AB783" s="989"/>
      <c r="AC783" s="989"/>
      <c r="AD783" s="989"/>
      <c r="AF783" s="361">
        <f t="shared" si="167"/>
        <v>0</v>
      </c>
      <c r="AG783" s="80"/>
      <c r="AH783" s="80"/>
      <c r="AI783" s="59"/>
      <c r="AJ783" s="44"/>
      <c r="AK783" s="44"/>
      <c r="AL783" s="76"/>
    </row>
    <row r="784" spans="1:39" s="23" customFormat="1" ht="14.1" hidden="1" customHeight="1" outlineLevel="2">
      <c r="A784" s="145"/>
      <c r="B784" s="896" t="s">
        <v>721</v>
      </c>
      <c r="C784" s="989" t="s">
        <v>299</v>
      </c>
      <c r="D784" s="989"/>
      <c r="E784" s="989"/>
      <c r="F784" s="989"/>
      <c r="G784" s="989"/>
      <c r="H784" s="989"/>
      <c r="I784" s="989"/>
      <c r="J784" s="989"/>
      <c r="K784" s="989"/>
      <c r="L784" s="989"/>
      <c r="M784" s="989"/>
      <c r="N784" s="989"/>
      <c r="O784" s="989"/>
      <c r="P784" s="989"/>
      <c r="Q784" s="989"/>
      <c r="R784" s="989"/>
      <c r="S784" s="989"/>
      <c r="T784" s="989"/>
      <c r="U784" s="989"/>
      <c r="V784" s="989"/>
      <c r="W784" s="989"/>
      <c r="X784" s="989"/>
      <c r="Y784" s="989"/>
      <c r="Z784" s="989"/>
      <c r="AA784" s="989"/>
      <c r="AB784" s="989"/>
      <c r="AC784" s="989"/>
      <c r="AD784" s="989"/>
      <c r="AF784" s="361">
        <f t="shared" si="167"/>
        <v>0</v>
      </c>
      <c r="AG784" s="80"/>
      <c r="AH784" s="80"/>
      <c r="AI784" s="59"/>
      <c r="AJ784" s="44"/>
      <c r="AK784" s="44"/>
      <c r="AL784" s="76"/>
    </row>
    <row r="785" spans="1:39" ht="14.1" hidden="1" customHeight="1" outlineLevel="2">
      <c r="A785" s="145"/>
      <c r="B785" s="203" t="s">
        <v>722</v>
      </c>
      <c r="C785" s="542"/>
      <c r="D785" s="705"/>
      <c r="E785" s="705"/>
      <c r="F785"/>
      <c r="G785"/>
      <c r="H785"/>
      <c r="I785" s="745"/>
      <c r="AF785" s="361">
        <v>1</v>
      </c>
      <c r="AG785" s="76"/>
      <c r="AH785" s="76"/>
      <c r="AI785" s="59"/>
      <c r="AJ785" s="44"/>
      <c r="AK785" s="44"/>
      <c r="AL785" s="76"/>
      <c r="AM785"/>
    </row>
    <row r="786" spans="1:39" s="23" customFormat="1" ht="14.1" hidden="1" customHeight="1" outlineLevel="2">
      <c r="A786" s="145"/>
      <c r="B786" s="473" t="str">
        <f>AK786</f>
        <v>- DavidC for lead manager approval</v>
      </c>
      <c r="C786" s="545" t="s">
        <v>0</v>
      </c>
      <c r="D786" s="720"/>
      <c r="E786" s="720"/>
      <c r="F786"/>
      <c r="G786" s="291">
        <f t="shared" ref="G786:G787" si="168">AG786</f>
        <v>41988</v>
      </c>
      <c r="H786" s="291">
        <f t="shared" ref="H786:H787" si="169">AH786</f>
        <v>42037</v>
      </c>
      <c r="I786" s="745"/>
      <c r="J786"/>
      <c r="K786"/>
      <c r="L786"/>
      <c r="M786"/>
      <c r="N786"/>
      <c r="O786"/>
      <c r="P786"/>
      <c r="Q786"/>
      <c r="R786"/>
      <c r="S786"/>
      <c r="T786"/>
      <c r="U786"/>
      <c r="X786"/>
      <c r="AB786"/>
      <c r="AC786"/>
      <c r="AF786" s="361">
        <v>1</v>
      </c>
      <c r="AG786" s="60">
        <f>S.EQC.BANNER.Begin</f>
        <v>41988</v>
      </c>
      <c r="AH786" s="60">
        <f>S.EQC.SubmitStaffRpt</f>
        <v>42037</v>
      </c>
      <c r="AI786" s="59"/>
      <c r="AJ786" s="159"/>
      <c r="AK786" s="67" t="str">
        <f>"- "&amp;S.Staff.Program.Mgr.FirstName&amp;" for lead manager approval"</f>
        <v>- DavidC for lead manager approval</v>
      </c>
      <c r="AL786" s="76"/>
    </row>
    <row r="787" spans="1:39" s="23" customFormat="1" ht="14.1" hidden="1" customHeight="1" outlineLevel="2">
      <c r="A787" s="145"/>
      <c r="B787" s="473" t="str">
        <f>AK787</f>
        <v>- Uri for division administrator approval</v>
      </c>
      <c r="C787" s="545" t="s">
        <v>0</v>
      </c>
      <c r="D787" s="720"/>
      <c r="E787" s="720"/>
      <c r="F787"/>
      <c r="G787" s="291">
        <f t="shared" si="168"/>
        <v>41988</v>
      </c>
      <c r="H787" s="291">
        <f t="shared" si="169"/>
        <v>42037</v>
      </c>
      <c r="I787" s="745"/>
      <c r="J787"/>
      <c r="K787"/>
      <c r="L787"/>
      <c r="M787"/>
      <c r="N787"/>
      <c r="O787"/>
      <c r="P787"/>
      <c r="Q787"/>
      <c r="R787"/>
      <c r="S787"/>
      <c r="T787"/>
      <c r="U787"/>
      <c r="X787"/>
      <c r="AB787"/>
      <c r="AC787"/>
      <c r="AF787" s="361">
        <v>1</v>
      </c>
      <c r="AG787" s="60">
        <f>S.EQC.BANNER.Begin</f>
        <v>41988</v>
      </c>
      <c r="AH787" s="60">
        <f>S.EQC.SubmitStaffRpt</f>
        <v>42037</v>
      </c>
      <c r="AI787" s="59"/>
      <c r="AJ787" s="159"/>
      <c r="AK787" s="67" t="str">
        <f>"- "&amp;S.Staff.Assistant.DA.ShortName&amp; " for division administrator approval"</f>
        <v>- Uri for division administrator approval</v>
      </c>
      <c r="AL787" s="76"/>
    </row>
    <row r="788" spans="1:39" s="23" customFormat="1" ht="14.1" hidden="1" customHeight="1" outlineLevel="2">
      <c r="A788" s="145" t="s">
        <v>0</v>
      </c>
      <c r="B788" s="289" t="s">
        <v>723</v>
      </c>
      <c r="C788" s="321"/>
      <c r="D788" s="308"/>
      <c r="E788" s="308"/>
      <c r="F788"/>
      <c r="G788" s="437">
        <f t="shared" ref="G788" si="170">AG788</f>
        <v>41988</v>
      </c>
      <c r="H788" s="437">
        <f t="shared" ref="H788" si="171">AH788</f>
        <v>42077</v>
      </c>
      <c r="I788" s="745"/>
      <c r="J788"/>
      <c r="K788"/>
      <c r="L788"/>
      <c r="M788"/>
      <c r="N788"/>
      <c r="O788"/>
      <c r="P788"/>
      <c r="Q788"/>
      <c r="R788"/>
      <c r="S788"/>
      <c r="T788"/>
      <c r="U788"/>
      <c r="X788"/>
      <c r="AB788"/>
      <c r="AC788"/>
      <c r="AF788" s="361">
        <v>1</v>
      </c>
      <c r="AG788" s="60">
        <f>S.EQC.BANNER.Begin</f>
        <v>41988</v>
      </c>
      <c r="AH788" s="60">
        <f>S.EQC.Meeting-1</f>
        <v>42077</v>
      </c>
      <c r="AI788" s="59"/>
      <c r="AJ788" s="59"/>
      <c r="AK788" s="74"/>
      <c r="AL788" s="76"/>
    </row>
    <row r="789" spans="1:39" s="23" customFormat="1" ht="14.1" hidden="1" customHeight="1" outlineLevel="2">
      <c r="A789" s="145"/>
      <c r="B789" s="474" t="s">
        <v>724</v>
      </c>
      <c r="C789" s="545" t="s">
        <v>0</v>
      </c>
      <c r="D789" s="308"/>
      <c r="E789" s="465"/>
      <c r="I789" s="745"/>
      <c r="AF789" s="361">
        <v>1</v>
      </c>
      <c r="AG789" s="59"/>
      <c r="AH789" s="59"/>
      <c r="AI789" s="59"/>
      <c r="AJ789" s="44"/>
      <c r="AK789" s="44"/>
      <c r="AL789" s="76"/>
    </row>
    <row r="790" spans="1:39" s="23" customFormat="1" ht="14.1" hidden="1" customHeight="1" outlineLevel="2">
      <c r="A790" s="145"/>
      <c r="B790" s="474" t="s">
        <v>246</v>
      </c>
      <c r="C790" s="545"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c r="A791" s="145"/>
      <c r="B791" s="474" t="s">
        <v>247</v>
      </c>
      <c r="C791" s="545"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hidden="1" customHeight="1" outlineLevel="2">
      <c r="A792" s="145"/>
      <c r="B792" s="474" t="s">
        <v>248</v>
      </c>
      <c r="C792" s="545" t="s">
        <v>0</v>
      </c>
      <c r="D792" s="308"/>
      <c r="E792" s="465"/>
      <c r="F792"/>
      <c r="G792"/>
      <c r="H792"/>
      <c r="I792" s="745"/>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c r="A793" s="145"/>
      <c r="B793" s="474" t="s">
        <v>249</v>
      </c>
      <c r="C793" s="545"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c r="A794" s="145"/>
      <c r="B794" s="304" t="s">
        <v>237</v>
      </c>
      <c r="C794" s="545" t="s">
        <v>0</v>
      </c>
      <c r="D794" s="308"/>
      <c r="E794" s="308"/>
      <c r="F794"/>
      <c r="G794" s="437">
        <f t="shared" ref="G794:H794" si="172">AG794</f>
        <v>42037</v>
      </c>
      <c r="H794" s="437">
        <f t="shared" si="172"/>
        <v>42077</v>
      </c>
      <c r="I794" s="745"/>
      <c r="AF794" s="361">
        <v>1</v>
      </c>
      <c r="AG794" s="60">
        <f>H787</f>
        <v>42037</v>
      </c>
      <c r="AH794" s="60">
        <f>S.EQC.Meeting-1</f>
        <v>42077</v>
      </c>
      <c r="AI794" s="59"/>
      <c r="AJ794" s="44"/>
      <c r="AK794" s="44"/>
      <c r="AL794" s="76"/>
      <c r="AM794"/>
    </row>
    <row r="795" spans="1:39" ht="14.1" hidden="1" customHeight="1" outlineLevel="2">
      <c r="A795" s="145"/>
      <c r="B795" s="203" t="s">
        <v>239</v>
      </c>
      <c r="C795" s="282" t="s">
        <v>0</v>
      </c>
      <c r="D795" s="308"/>
      <c r="E795" s="308"/>
      <c r="F795"/>
      <c r="G795" s="437">
        <f t="shared" ref="G795:G796" si="173">AG795</f>
        <v>42077</v>
      </c>
      <c r="H795" s="437">
        <f t="shared" ref="H795:H796" si="174">AH795</f>
        <v>42077</v>
      </c>
      <c r="I795" s="745"/>
      <c r="AF795" s="361">
        <v>1</v>
      </c>
      <c r="AG795" s="60">
        <f>H788</f>
        <v>42077</v>
      </c>
      <c r="AH795" s="60">
        <f>S.EQC.Meeting-1</f>
        <v>42077</v>
      </c>
      <c r="AI795" s="59"/>
      <c r="AJ795" s="44"/>
      <c r="AK795" s="44" t="s">
        <v>0</v>
      </c>
      <c r="AL795" s="76"/>
      <c r="AM795"/>
    </row>
    <row r="796" spans="1:39" ht="14.1" hidden="1" customHeight="1" outlineLevel="2">
      <c r="A796" s="145"/>
      <c r="B796" s="456" t="s">
        <v>238</v>
      </c>
      <c r="C796" s="268" t="s">
        <v>0</v>
      </c>
      <c r="D796" s="308"/>
      <c r="E796" s="308"/>
      <c r="F796"/>
      <c r="G796" s="437">
        <f t="shared" si="173"/>
        <v>42077</v>
      </c>
      <c r="H796" s="437">
        <f t="shared" si="174"/>
        <v>42077</v>
      </c>
      <c r="I796" s="745"/>
      <c r="AF796" s="361">
        <v>1</v>
      </c>
      <c r="AG796" s="60">
        <f>G795</f>
        <v>42077</v>
      </c>
      <c r="AH796" s="60">
        <f>S.EQC.Meeting-1</f>
        <v>42077</v>
      </c>
      <c r="AI796" s="59"/>
      <c r="AJ796" s="43"/>
      <c r="AK796" s="43"/>
      <c r="AL796" s="76"/>
      <c r="AM796"/>
    </row>
    <row r="797" spans="1:39" ht="14.1" hidden="1" customHeight="1" outlineLevel="2">
      <c r="A797" s="145"/>
      <c r="B797" s="305" t="s">
        <v>194</v>
      </c>
      <c r="C797" s="324"/>
      <c r="D797" s="305"/>
      <c r="E797" s="305"/>
      <c r="F797"/>
      <c r="G797" s="438">
        <f>AG797</f>
        <v>0</v>
      </c>
      <c r="H797" s="439">
        <f>AH797</f>
        <v>42078</v>
      </c>
      <c r="I797" s="745"/>
      <c r="AF797" s="361">
        <v>1</v>
      </c>
      <c r="AG797" s="59"/>
      <c r="AH797" s="60">
        <f>S.EQC.Meeting</f>
        <v>42078</v>
      </c>
      <c r="AI797" s="59"/>
      <c r="AJ797" s="44"/>
      <c r="AK797" s="44"/>
      <c r="AL797" s="76"/>
      <c r="AM797"/>
    </row>
    <row r="798" spans="1:39" s="23" customFormat="1" ht="14.1" hidden="1" customHeight="1" outlineLevel="2">
      <c r="A798" s="145"/>
      <c r="B798" s="208" t="str">
        <f>AK798</f>
        <v>Brian collects emails about EQC preparations for Rule Record and saves as:</v>
      </c>
      <c r="C798" s="509" t="str">
        <f>HYPERLINK("\\deqhq1\Rule_Development\Currrent Plan","i")</f>
        <v>i</v>
      </c>
      <c r="D798" s="292"/>
      <c r="E798" s="750"/>
      <c r="F798"/>
      <c r="G798" s="525">
        <f>AG798</f>
        <v>42078</v>
      </c>
      <c r="H798" s="525">
        <f>AH798</f>
        <v>42078</v>
      </c>
      <c r="I798" s="745"/>
      <c r="J798"/>
      <c r="K798"/>
      <c r="L798"/>
      <c r="M798"/>
      <c r="N798"/>
      <c r="O798"/>
      <c r="P798"/>
      <c r="Q798"/>
      <c r="R798"/>
      <c r="S798"/>
      <c r="T798"/>
      <c r="U798"/>
      <c r="X798"/>
      <c r="AB798"/>
      <c r="AC798"/>
      <c r="AF798" s="361">
        <v>1</v>
      </c>
      <c r="AG798" s="60">
        <f>S.EQC.Meeting</f>
        <v>42078</v>
      </c>
      <c r="AH798" s="60">
        <f>G798</f>
        <v>42078</v>
      </c>
      <c r="AI798" s="59"/>
      <c r="AJ798" s="59"/>
      <c r="AK798" s="78" t="str">
        <f>S.Staff.Subject.Expert.FirstName&amp;" collects emails about EQC preparations for Rule Record and saves as:"</f>
        <v>Brian collects emails about EQC preparations for Rule Record and saves as:</v>
      </c>
      <c r="AL798" s="76"/>
    </row>
    <row r="799" spans="1:39" s="23" customFormat="1" ht="14.1" hidden="1" customHeight="1" outlineLevel="2">
      <c r="A799" s="145"/>
      <c r="B799" s="277" t="s">
        <v>136</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hidden="1" customHeight="1" outlineLevel="1">
      <c r="A801" s="145"/>
      <c r="B801" s="997" t="s">
        <v>200</v>
      </c>
      <c r="C801" s="997"/>
      <c r="D801" s="997"/>
      <c r="E801" s="997"/>
      <c r="F801" s="997"/>
      <c r="G801" s="997"/>
      <c r="H801" s="997"/>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c r="A802" s="373"/>
      <c r="B802" s="455" t="s">
        <v>0</v>
      </c>
      <c r="C802" s="374" t="s">
        <v>0</v>
      </c>
      <c r="D802" s="374"/>
      <c r="E802" s="374"/>
      <c r="F802" s="382"/>
      <c r="G802" s="375" t="s">
        <v>57</v>
      </c>
      <c r="H802" s="375" t="s">
        <v>172</v>
      </c>
      <c r="I802" s="745"/>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hidden="1" customHeight="1" outlineLevel="2">
      <c r="A803" s="145"/>
      <c r="B803" s="113"/>
      <c r="C803" s="129" t="s">
        <v>0</v>
      </c>
      <c r="D803" s="114"/>
      <c r="E803" s="114"/>
      <c r="F803" s="125"/>
      <c r="G803" s="175">
        <f>AG803</f>
        <v>42078</v>
      </c>
      <c r="H803" s="201">
        <f>AH803</f>
        <v>42170</v>
      </c>
      <c r="I803" s="745"/>
      <c r="AF803" s="361" t="s">
        <v>59</v>
      </c>
      <c r="AG803" s="60">
        <f>S.PostEQC.BANNER.Begin</f>
        <v>42078</v>
      </c>
      <c r="AH803" s="60">
        <f>S.PostEQC.BANNER.End</f>
        <v>42170</v>
      </c>
      <c r="AI803" s="59"/>
      <c r="AJ803" s="44"/>
      <c r="AK803" s="44"/>
      <c r="AL803" s="76"/>
      <c r="AM803"/>
    </row>
    <row r="804" spans="1:39" ht="6" hidden="1" customHeight="1" outlineLevel="2">
      <c r="A804" s="145"/>
      <c r="B804" s="106"/>
      <c r="C804" s="98"/>
      <c r="D804" s="691"/>
      <c r="E804" s="691"/>
      <c r="F804" s="99"/>
      <c r="G804" s="98"/>
      <c r="H804" s="98"/>
      <c r="I804" s="745"/>
      <c r="AF804" s="361" t="s">
        <v>16</v>
      </c>
      <c r="AG804" s="47"/>
      <c r="AH804" s="47"/>
      <c r="AI804" s="59"/>
      <c r="AJ804" s="44"/>
      <c r="AK804" s="44"/>
      <c r="AL804" s="76"/>
      <c r="AM804"/>
    </row>
    <row r="805" spans="1:39" s="23" customFormat="1" ht="14.1" hidden="1" customHeight="1" outlineLevel="2">
      <c r="A805" s="145"/>
      <c r="B805" s="538" t="s">
        <v>307</v>
      </c>
      <c r="C805" s="512" t="str">
        <f>HYPERLINK("\\deqhq1\Rule_Resources\i\0-VersionHistory.pdf","i")</f>
        <v>i</v>
      </c>
      <c r="D805" s="692"/>
      <c r="E805" s="692"/>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c r="A806" s="145"/>
      <c r="B806" s="534" t="s">
        <v>295</v>
      </c>
      <c r="C806" s="534"/>
      <c r="D806" s="534"/>
      <c r="E806" s="534"/>
      <c r="F806" s="534"/>
      <c r="G806" s="534"/>
      <c r="H806" s="534"/>
      <c r="I806" s="745"/>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c r="A807" s="145" t="s">
        <v>0</v>
      </c>
      <c r="B807" s="303" t="str">
        <f>AK807</f>
        <v>Brian:</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Brian:</v>
      </c>
      <c r="AL807" s="76"/>
    </row>
    <row r="808" spans="1:39" ht="14.1" hidden="1" customHeight="1" outlineLevel="2">
      <c r="A808" s="145"/>
      <c r="B808" s="220" t="s">
        <v>195</v>
      </c>
      <c r="C808" s="545" t="s">
        <v>0</v>
      </c>
      <c r="D808" s="553"/>
      <c r="E808" s="893"/>
      <c r="F808"/>
      <c r="G808"/>
      <c r="H808" s="256">
        <f t="shared" ref="H808" si="175">AH808</f>
        <v>42078</v>
      </c>
      <c r="I808" s="745"/>
      <c r="AF808" s="361">
        <v>1</v>
      </c>
      <c r="AG808" s="80"/>
      <c r="AH808" s="60">
        <f t="shared" ref="AH808" si="176">S.PostEQC.BANNER.Begin</f>
        <v>42078</v>
      </c>
      <c r="AI808" s="59"/>
      <c r="AJ808" s="44"/>
      <c r="AK808" s="217"/>
      <c r="AL808" s="76"/>
      <c r="AM808"/>
    </row>
    <row r="809" spans="1:39" s="23" customFormat="1" ht="14.1" hidden="1" customHeight="1" outlineLevel="2">
      <c r="A809" s="145"/>
      <c r="B809" s="429" t="s">
        <v>196</v>
      </c>
      <c r="C809" s="545" t="s">
        <v>0</v>
      </c>
      <c r="D809" s="553"/>
      <c r="E809" s="893"/>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c r="A810" s="145"/>
      <c r="B810" s="429" t="s">
        <v>320</v>
      </c>
      <c r="C810" s="545" t="s">
        <v>0</v>
      </c>
      <c r="D810" s="553"/>
      <c r="E810" s="893"/>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c r="A811" s="145"/>
      <c r="B811" s="429" t="s">
        <v>321</v>
      </c>
      <c r="C811" s="545" t="s">
        <v>0</v>
      </c>
      <c r="D811" s="553"/>
      <c r="E811" s="893"/>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c r="A812" s="145"/>
      <c r="B812" s="429" t="s">
        <v>305</v>
      </c>
      <c r="C812" s="545" t="s">
        <v>0</v>
      </c>
      <c r="D812" s="553"/>
      <c r="E812" s="893"/>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c r="A813" s="145"/>
      <c r="B813" s="429" t="s">
        <v>305</v>
      </c>
      <c r="C813" s="545" t="s">
        <v>0</v>
      </c>
      <c r="D813" s="553"/>
      <c r="E813" s="893"/>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c r="A814" s="145"/>
      <c r="B814" s="220" t="str">
        <f t="shared" ref="B814" si="177">AK814</f>
        <v>* emails Maggie to affirm EQC action and document readiness</v>
      </c>
      <c r="C814" s="545" t="s">
        <v>0</v>
      </c>
      <c r="D814" s="553"/>
      <c r="E814" s="893"/>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207</v>
      </c>
      <c r="C815" s="539" t="s">
        <v>16</v>
      </c>
      <c r="D815" s="312"/>
      <c r="E815" s="750"/>
      <c r="F815"/>
      <c r="G815"/>
      <c r="H815" s="256">
        <f t="shared" ref="H815:H819" si="178">AH815</f>
        <v>42078</v>
      </c>
      <c r="I815" s="745"/>
      <c r="AF815" s="361">
        <f>IF(S.PostEQC.NotifyStakeholders="N",,1)</f>
        <v>1</v>
      </c>
      <c r="AG815" s="80"/>
      <c r="AH815" s="60">
        <f>IF(AF815=0,,S.PostEQC.BANNER.Begin)</f>
        <v>42078</v>
      </c>
      <c r="AI815" s="59"/>
      <c r="AJ815" s="59"/>
      <c r="AK815" s="45" t="s">
        <v>0</v>
      </c>
      <c r="AL815" s="76"/>
      <c r="AM815"/>
    </row>
    <row r="816" spans="1:39" s="23" customFormat="1" ht="14.1" hidden="1" customHeight="1" outlineLevel="2">
      <c r="A816" s="145"/>
      <c r="B816" s="269" t="str">
        <f>AK816</f>
        <v>* coordinates EPA.SIP.SUBMITAL with AndreaG</v>
      </c>
      <c r="C816" s="545" t="s">
        <v>0</v>
      </c>
      <c r="D816" s="283"/>
      <c r="E816" s="750"/>
      <c r="F816"/>
      <c r="G816"/>
      <c r="H816" s="256">
        <f t="shared" ref="H816" si="179">AH816</f>
        <v>42078</v>
      </c>
      <c r="I816" s="745"/>
      <c r="J816"/>
      <c r="K816"/>
      <c r="L816"/>
      <c r="M816"/>
      <c r="N816"/>
      <c r="O816"/>
      <c r="P816"/>
      <c r="Q816"/>
      <c r="R816"/>
      <c r="S816"/>
      <c r="T816"/>
      <c r="U816"/>
      <c r="X816"/>
      <c r="AB816"/>
      <c r="AC816"/>
      <c r="AF816" s="362">
        <f>IF(S.SIP.Involved="Y",1,0)</f>
        <v>1</v>
      </c>
      <c r="AG816" s="80"/>
      <c r="AH816" s="60">
        <f>S.PostEQC.BANNER.Begin</f>
        <v>42078</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DavidC</v>
      </c>
      <c r="C817" s="507" t="str">
        <f>HYPERLINK("\\deqhq1\Rule_Resources\i\AC.THANK.YOU.docx","i")</f>
        <v>i</v>
      </c>
      <c r="D817" s="721"/>
      <c r="E817" s="894"/>
      <c r="F817"/>
      <c r="G817"/>
      <c r="H817" s="256">
        <f t="shared" si="178"/>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hidden="1" customHeight="1" outlineLevel="2">
      <c r="A818" s="145"/>
      <c r="B818" s="220" t="str">
        <f>AK818</f>
        <v>* coordinates AC.SURVEY with DavidC</v>
      </c>
      <c r="C818" s="506" t="str">
        <f>HYPERLINK("\\deqhq1\Rule_Resources\i\AC.SURVEY.docx","i")</f>
        <v>i</v>
      </c>
      <c r="D818" s="283"/>
      <c r="E818" s="750"/>
      <c r="F818"/>
      <c r="G818"/>
      <c r="H818" s="256">
        <f t="shared" si="178"/>
        <v>0</v>
      </c>
      <c r="I818" s="745"/>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hidden="1" customHeight="1" outlineLevel="2">
      <c r="A819" s="145"/>
      <c r="B819" s="220" t="s">
        <v>251</v>
      </c>
      <c r="C819" s="545" t="s">
        <v>0</v>
      </c>
      <c r="D819" s="283"/>
      <c r="E819" s="750"/>
      <c r="F819"/>
      <c r="G819"/>
      <c r="H819" s="256">
        <f t="shared" si="178"/>
        <v>42078</v>
      </c>
      <c r="I819" s="745"/>
      <c r="AF819" s="361">
        <v>1</v>
      </c>
      <c r="AG819" s="80"/>
      <c r="AH819" s="60">
        <f>S.PostEQC.BANNER.Begin</f>
        <v>42078</v>
      </c>
      <c r="AI819" s="59"/>
      <c r="AJ819" s="59"/>
      <c r="AK819" s="44" t="s">
        <v>0</v>
      </c>
      <c r="AL819" s="76"/>
      <c r="AM819"/>
    </row>
    <row r="820" spans="1:39" s="23" customFormat="1" ht="14.1" hidden="1" customHeight="1" outlineLevel="2">
      <c r="A820" s="145"/>
      <c r="B820" s="303" t="str">
        <f>AK820</f>
        <v>AndreaG:</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hidden="1" customHeight="1" outlineLevel="2">
      <c r="A821" s="145"/>
      <c r="B821" s="269" t="str">
        <f>AK821</f>
        <v>* no DAS involvement</v>
      </c>
      <c r="C821" s="546"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ref="B822" si="180">AK822</f>
        <v>* no DAS involvement</v>
      </c>
      <c r="C822" s="546" t="s">
        <v>0</v>
      </c>
      <c r="D822" s="283"/>
      <c r="E822" s="750"/>
      <c r="F822"/>
      <c r="G822"/>
      <c r="H822" s="256">
        <f t="shared" ref="H822" si="181">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ref="B823" si="182">AK823</f>
        <v>* no DAS involvement</v>
      </c>
      <c r="C823" s="546" t="s">
        <v>0</v>
      </c>
      <c r="D823" s="283"/>
      <c r="E823" s="750"/>
      <c r="F823"/>
      <c r="G823"/>
      <c r="H823" s="256">
        <f t="shared" ref="H823" si="183">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ref="B824" si="184">AK824</f>
        <v>* no DAS involvement</v>
      </c>
      <c r="C824" s="546" t="s">
        <v>0</v>
      </c>
      <c r="D824" s="283"/>
      <c r="E824" s="750"/>
      <c r="F824"/>
      <c r="G824"/>
      <c r="H824" s="256">
        <f t="shared" ref="H824" si="185">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AK825</f>
        <v>Maggie:</v>
      </c>
      <c r="C825" s="300"/>
      <c r="D825" s="704"/>
      <c r="E825" s="704"/>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c r="A826" s="145"/>
      <c r="B826" s="219" t="s">
        <v>138</v>
      </c>
      <c r="C826" s="512" t="str">
        <f>HYPERLINK("http://arcweb.sos.state.or.us/pages/rules/resources/fileonline.html","i")</f>
        <v>i</v>
      </c>
      <c r="D826" s="357"/>
      <c r="E826" s="750"/>
      <c r="F826"/>
      <c r="G826"/>
      <c r="H826" s="256">
        <f t="shared" ref="H826:H833" si="186">AH826</f>
        <v>42080</v>
      </c>
      <c r="I826" s="745"/>
      <c r="AF826" s="361">
        <v>1</v>
      </c>
      <c r="AG826" s="47"/>
      <c r="AH826" s="60">
        <f>S.PostEQC.FileRuleWithSOS</f>
        <v>42080</v>
      </c>
      <c r="AI826" s="59"/>
      <c r="AJ826" s="61"/>
      <c r="AK826" s="44"/>
      <c r="AL826" s="76"/>
      <c r="AM826"/>
    </row>
    <row r="827" spans="1:39" s="23" customFormat="1" ht="14.1" hidden="1" customHeight="1" outlineLevel="2">
      <c r="A827" s="145"/>
      <c r="B827" s="310" t="s">
        <v>47</v>
      </c>
      <c r="C827" s="324"/>
      <c r="D827" s="357"/>
      <c r="E827" s="750"/>
      <c r="F827"/>
      <c r="G827"/>
      <c r="H827" s="256">
        <f t="shared" si="186"/>
        <v>42080</v>
      </c>
      <c r="I827" s="745"/>
      <c r="J827"/>
      <c r="K827"/>
      <c r="L827"/>
      <c r="M827"/>
      <c r="N827"/>
      <c r="O827"/>
      <c r="P827"/>
      <c r="Q827"/>
      <c r="R827"/>
      <c r="S827"/>
      <c r="T827"/>
      <c r="U827"/>
      <c r="X827"/>
      <c r="AB827"/>
      <c r="AC827"/>
      <c r="AF827" s="361">
        <v>1</v>
      </c>
      <c r="AG827" s="71"/>
      <c r="AH827" s="60">
        <f>S.PostEQC.RuleEffective</f>
        <v>42080</v>
      </c>
      <c r="AI827" s="59"/>
      <c r="AJ827" s="59"/>
      <c r="AK827" s="44"/>
      <c r="AL827" s="76"/>
    </row>
    <row r="828" spans="1:39" s="23" customFormat="1" ht="14.1" hidden="1" customHeight="1" outlineLevel="2">
      <c r="A828" s="145"/>
      <c r="B828" s="219" t="s">
        <v>308</v>
      </c>
      <c r="C828" s="512" t="str">
        <f>HYPERLINK("http://www.lc.state.or.us/arrs.htm","i")</f>
        <v>i</v>
      </c>
      <c r="D828" s="721"/>
      <c r="E828" s="894"/>
      <c r="F828"/>
      <c r="G828"/>
      <c r="H828" s="259">
        <f t="shared" si="186"/>
        <v>42080</v>
      </c>
      <c r="I828" s="745"/>
      <c r="J828"/>
      <c r="K828"/>
      <c r="L828"/>
      <c r="M828"/>
      <c r="N828"/>
      <c r="O828"/>
      <c r="P828"/>
      <c r="Q828"/>
      <c r="R828"/>
      <c r="S828"/>
      <c r="T828"/>
      <c r="U828"/>
      <c r="X828"/>
      <c r="AB828"/>
      <c r="AC828"/>
      <c r="AF828" s="361">
        <v>1</v>
      </c>
      <c r="AG828" s="71"/>
      <c r="AH828" s="60">
        <f>S.PostEQC.FileRuleWithSOS</f>
        <v>42080</v>
      </c>
      <c r="AI828" s="59"/>
      <c r="AJ828" s="61"/>
      <c r="AK828" s="44"/>
      <c r="AL828" s="76"/>
    </row>
    <row r="829" spans="1:39" s="23" customFormat="1" ht="14.1" hidden="1" customHeight="1" outlineLevel="2">
      <c r="A829" s="145"/>
      <c r="B829" s="429" t="s">
        <v>318</v>
      </c>
      <c r="C829" s="306"/>
      <c r="D829" s="722"/>
      <c r="E829" s="722"/>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c r="A830" s="145"/>
      <c r="B830" s="429" t="s">
        <v>319</v>
      </c>
      <c r="C830" s="306"/>
      <c r="D830" s="722"/>
      <c r="E830" s="722"/>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c r="A831" s="145"/>
      <c r="B831" s="429" t="s">
        <v>197</v>
      </c>
      <c r="C831" s="306"/>
      <c r="D831" s="722"/>
      <c r="E831" s="722"/>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c r="A832" s="145"/>
      <c r="B832" s="367" t="s">
        <v>198</v>
      </c>
      <c r="C832" s="306"/>
      <c r="D832" s="722"/>
      <c r="E832" s="722"/>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c r="A833" s="145"/>
      <c r="B833" s="220" t="s">
        <v>323</v>
      </c>
      <c r="C833" s="358" t="str">
        <f>HYPERLINK("http://oarnoticefilings.sos.state.or.us","i")</f>
        <v>i</v>
      </c>
      <c r="D833" s="723"/>
      <c r="E833" s="894"/>
      <c r="F833"/>
      <c r="G833"/>
      <c r="H833" s="256">
        <f t="shared" si="186"/>
        <v>42080</v>
      </c>
      <c r="I833" s="745"/>
      <c r="J833"/>
      <c r="K833"/>
      <c r="L833"/>
      <c r="M833"/>
      <c r="N833"/>
      <c r="O833"/>
      <c r="P833"/>
      <c r="Q833"/>
      <c r="R833"/>
      <c r="S833"/>
      <c r="T833"/>
      <c r="U833"/>
      <c r="X833"/>
      <c r="AB833"/>
      <c r="AC833"/>
      <c r="AF833" s="361">
        <v>1</v>
      </c>
      <c r="AG833" s="71"/>
      <c r="AH833" s="60">
        <f>S.PostEQC.FileRuleWithSOS</f>
        <v>42080</v>
      </c>
      <c r="AI833" s="59"/>
      <c r="AJ833" s="61"/>
      <c r="AK833" s="44"/>
      <c r="AL833" s="76"/>
    </row>
    <row r="834" spans="1:39" s="23" customFormat="1" ht="14.1" hidden="1" customHeight="1" outlineLevel="2">
      <c r="A834" s="145"/>
      <c r="B834" s="554" t="s">
        <v>322</v>
      </c>
      <c r="C834" s="306"/>
      <c r="D834" s="722"/>
      <c r="E834" s="722"/>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c r="A835" s="145"/>
      <c r="B835" s="206" t="s">
        <v>317</v>
      </c>
      <c r="C835" s="306"/>
      <c r="D835" s="722"/>
      <c r="E835" s="722"/>
      <c r="F835" s="262"/>
      <c r="G835" s="306"/>
      <c r="H835" s="306"/>
      <c r="I835" s="745"/>
      <c r="AF835" s="361">
        <v>1</v>
      </c>
      <c r="AG835" s="71"/>
      <c r="AH835" s="71"/>
      <c r="AI835" s="59"/>
      <c r="AJ835" s="61"/>
      <c r="AK835" s="41"/>
      <c r="AL835" s="76"/>
      <c r="AM835"/>
    </row>
    <row r="836" spans="1:39" s="23" customFormat="1" ht="14.1" hidden="1" customHeight="1" outlineLevel="2">
      <c r="A836" s="145"/>
      <c r="B836" s="207" t="str">
        <f>AK836</f>
        <v>reserved for temporary rules</v>
      </c>
      <c r="C836" s="306"/>
      <c r="D836" s="722"/>
      <c r="E836" s="722"/>
      <c r="F836" s="262"/>
      <c r="G836" s="306"/>
      <c r="H836" s="306"/>
      <c r="I836" s="745"/>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c r="A837" s="145"/>
      <c r="B837" s="206" t="s">
        <v>310</v>
      </c>
      <c r="C837" s="306"/>
      <c r="D837" s="722"/>
      <c r="E837" s="722"/>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c r="A838" s="145"/>
      <c r="B838" s="207" t="s">
        <v>311</v>
      </c>
      <c r="C838" s="306"/>
      <c r="D838" s="722"/>
      <c r="E838" s="722"/>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c r="A839" s="145"/>
      <c r="B839" s="207" t="s">
        <v>312</v>
      </c>
      <c r="C839" s="306"/>
      <c r="D839" s="722"/>
      <c r="E839" s="722"/>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c r="A840" s="145"/>
      <c r="B840" s="206" t="s">
        <v>309</v>
      </c>
      <c r="C840" s="306"/>
      <c r="D840" s="722"/>
      <c r="E840" s="722"/>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c r="A841" s="145"/>
      <c r="B841" s="206" t="s">
        <v>313</v>
      </c>
      <c r="C841" s="306"/>
      <c r="D841" s="722"/>
      <c r="E841" s="722"/>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c r="A842" s="145"/>
      <c r="B842" s="206" t="s">
        <v>314</v>
      </c>
      <c r="C842" s="306"/>
      <c r="D842" s="722"/>
      <c r="E842" s="722"/>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c r="A843" s="145"/>
      <c r="B843" s="206" t="s">
        <v>315</v>
      </c>
      <c r="C843" s="306"/>
      <c r="D843" s="722"/>
      <c r="E843" s="722"/>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c r="A844" s="145"/>
      <c r="B844" s="206" t="s">
        <v>316</v>
      </c>
      <c r="C844" s="306"/>
      <c r="D844" s="722"/>
      <c r="E844" s="722"/>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c r="A845" s="145"/>
      <c r="B845" s="303" t="str">
        <f>AK845</f>
        <v>* coordinates with Brian to:</v>
      </c>
      <c r="C845" s="508" t="str">
        <f>HYPERLINK("\\deqhq1\Rule_Resources\i\EMAIL.Post.EQC.CloseOut.docx","i")</f>
        <v>i</v>
      </c>
      <c r="D845" s="283"/>
      <c r="E845" s="283"/>
      <c r="F845" s="255">
        <f t="shared" ref="F845" si="187">NETWORKDAYS(G845,H845,S.DDL_DEQClosed)</f>
        <v>1</v>
      </c>
      <c r="G845" s="256">
        <f t="shared" ref="G845" si="188">AG845</f>
        <v>42080</v>
      </c>
      <c r="H845" s="256">
        <f t="shared" ref="H845" si="189">AH845</f>
        <v>42080</v>
      </c>
      <c r="I845" s="745"/>
      <c r="J845"/>
      <c r="K845"/>
      <c r="L845"/>
      <c r="M845"/>
      <c r="N845"/>
      <c r="O845"/>
      <c r="P845"/>
      <c r="Q845"/>
      <c r="R845"/>
      <c r="S845"/>
      <c r="T845"/>
      <c r="U845"/>
      <c r="X845"/>
      <c r="AB845"/>
      <c r="AC845"/>
      <c r="AF845" s="361">
        <v>1</v>
      </c>
      <c r="AG845" s="60">
        <f>S.PostEQC.FileRuleWithSOS</f>
        <v>42080</v>
      </c>
      <c r="AH845" s="60">
        <f t="shared" ref="AH845" si="190">G845</f>
        <v>42080</v>
      </c>
      <c r="AI845" s="59"/>
      <c r="AJ845" s="43"/>
      <c r="AK845" s="78" t="str">
        <f>"* coordinates with "&amp;S.Staff.Subject.Expert.FirstName&amp;" to:"</f>
        <v>* coordinates with Brian to:</v>
      </c>
      <c r="AL845" s="76"/>
    </row>
    <row r="846" spans="1:39" s="23" customFormat="1" ht="14.1" hidden="1" customHeight="1" outlineLevel="2">
      <c r="A846" s="145" t="s">
        <v>0</v>
      </c>
      <c r="B846" s="555" t="s">
        <v>324</v>
      </c>
      <c r="C846" s="508" t="str">
        <f>HYPERLINK("\\deqhq1\Rule_Development\Filed Rules","i")</f>
        <v>i</v>
      </c>
      <c r="D846" s="708"/>
      <c r="E846" s="708"/>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c r="A847" s="145" t="s">
        <v>0</v>
      </c>
      <c r="B847" s="555" t="s">
        <v>325</v>
      </c>
      <c r="C847" s="321"/>
      <c r="D847" s="708"/>
      <c r="E847" s="708"/>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c r="A848" s="145" t="s">
        <v>0</v>
      </c>
      <c r="B848" s="429" t="s">
        <v>326</v>
      </c>
      <c r="C848" s="306"/>
      <c r="D848" s="723"/>
      <c r="E848" s="894"/>
      <c r="F848"/>
      <c r="G848"/>
      <c r="H848" s="256">
        <f t="shared" ref="H848" si="191">AH848</f>
        <v>42080</v>
      </c>
      <c r="I848" s="745"/>
      <c r="J848"/>
      <c r="K848"/>
      <c r="L848"/>
      <c r="M848"/>
      <c r="N848"/>
      <c r="O848"/>
      <c r="P848"/>
      <c r="Q848"/>
      <c r="R848"/>
      <c r="S848"/>
      <c r="T848"/>
      <c r="U848"/>
      <c r="X848"/>
      <c r="AB848"/>
      <c r="AC848"/>
      <c r="AF848" s="361">
        <v>1</v>
      </c>
      <c r="AG848" s="80"/>
      <c r="AH848" s="60">
        <f>S.PostEQC.FileRuleWithSOS</f>
        <v>42080</v>
      </c>
      <c r="AI848" s="59"/>
      <c r="AJ848" s="61"/>
      <c r="AK848" s="41"/>
      <c r="AL848" s="76"/>
    </row>
    <row r="849" spans="1:39" s="23" customFormat="1" ht="14.1" hidden="1" customHeight="1" outlineLevel="2">
      <c r="A849" s="145" t="s">
        <v>0</v>
      </c>
      <c r="B849" s="555" t="s">
        <v>327</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c r="A850" s="145"/>
      <c r="B850" s="303" t="str">
        <f>AK850</f>
        <v>Brian:</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Brian:</v>
      </c>
      <c r="AL850" s="76"/>
    </row>
    <row r="851" spans="1:39" s="23" customFormat="1" ht="14.1" hidden="1" customHeight="1" outlineLevel="2">
      <c r="A851" s="145"/>
      <c r="B851" s="269" t="s">
        <v>236</v>
      </c>
      <c r="C851" s="542"/>
      <c r="D851" s="283"/>
      <c r="E851" s="357"/>
      <c r="F851" s="313">
        <f>NETWORKDAYS(G851,H851,S.DDL_DEQClosed)</f>
        <v>1</v>
      </c>
      <c r="G851" s="256">
        <f>AG851</f>
        <v>42080</v>
      </c>
      <c r="H851" s="256">
        <f>AH851</f>
        <v>42080</v>
      </c>
      <c r="I851" s="745"/>
      <c r="J851"/>
      <c r="K851"/>
      <c r="L851"/>
      <c r="M851"/>
      <c r="N851"/>
      <c r="O851"/>
      <c r="P851"/>
      <c r="Q851"/>
      <c r="R851"/>
      <c r="S851"/>
      <c r="T851"/>
      <c r="U851"/>
      <c r="X851"/>
      <c r="AB851"/>
      <c r="AC851"/>
      <c r="AF851" s="361">
        <v>1</v>
      </c>
      <c r="AG851" s="60">
        <f>S.PostEQC.FileRuleWithSOS</f>
        <v>42080</v>
      </c>
      <c r="AH851" s="60">
        <f>G851</f>
        <v>42080</v>
      </c>
      <c r="AI851" s="59"/>
      <c r="AJ851" s="59"/>
      <c r="AK851" s="58" t="s">
        <v>0</v>
      </c>
      <c r="AL851" s="76"/>
    </row>
    <row r="852" spans="1:39" s="23" customFormat="1" ht="14.1" hidden="1" customHeight="1" outlineLevel="2">
      <c r="A852" s="145"/>
      <c r="B852" s="277" t="s">
        <v>137</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c r="A853" s="145"/>
      <c r="B853" s="269" t="s">
        <v>199</v>
      </c>
      <c r="C853" s="542"/>
      <c r="D853" s="283" t="s">
        <v>0</v>
      </c>
      <c r="E853" s="357"/>
      <c r="F853" s="313">
        <f>NETWORKDAYS(G853,H853,S.DDL_DEQClosed)</f>
        <v>1</v>
      </c>
      <c r="G853" s="256">
        <f t="shared" ref="G853:H855" si="192">AG853</f>
        <v>42095</v>
      </c>
      <c r="H853" s="256">
        <f t="shared" si="192"/>
        <v>42095</v>
      </c>
      <c r="I853" s="745"/>
      <c r="J853"/>
      <c r="K853"/>
      <c r="L853"/>
      <c r="M853"/>
      <c r="N853"/>
      <c r="O853"/>
      <c r="P853"/>
      <c r="Q853"/>
      <c r="R853"/>
      <c r="S853"/>
      <c r="T853"/>
      <c r="U853"/>
      <c r="X853"/>
      <c r="AB853"/>
      <c r="AC853"/>
      <c r="AF853" s="361">
        <v>1</v>
      </c>
      <c r="AG853" s="60">
        <f>AH853</f>
        <v>42095</v>
      </c>
      <c r="AH853" s="60">
        <f>WORKDAY(S.PostEQC.FileRuleWithSOS+14,1,S.DDL_DEQClosed)</f>
        <v>42095</v>
      </c>
      <c r="AI853" s="59"/>
      <c r="AJ853" s="59"/>
      <c r="AK853" s="58" t="s">
        <v>0</v>
      </c>
      <c r="AL853" s="76"/>
    </row>
    <row r="854" spans="1:39" s="23" customFormat="1" ht="14.1" hidden="1" customHeight="1" outlineLevel="2" thickBot="1">
      <c r="A854" s="145"/>
      <c r="B854" s="342" t="str">
        <f>AK854</f>
        <v>If errors, Brian works with Maggie to correct and selects 'Y'  &gt;</v>
      </c>
      <c r="C854" s="539" t="s">
        <v>16</v>
      </c>
      <c r="D854" s="357" t="s">
        <v>0</v>
      </c>
      <c r="E854" s="357"/>
      <c r="F854" s="255">
        <f>NETWORKDAYS(G854,H854,S.DDL_DEQClosed)</f>
        <v>1</v>
      </c>
      <c r="G854" s="256">
        <f t="shared" si="192"/>
        <v>42095</v>
      </c>
      <c r="H854" s="256">
        <f t="shared" si="192"/>
        <v>42095</v>
      </c>
      <c r="I854" s="745"/>
      <c r="J854"/>
      <c r="K854"/>
      <c r="L854"/>
      <c r="M854"/>
      <c r="N854"/>
      <c r="O854"/>
      <c r="P854"/>
      <c r="Q854"/>
      <c r="R854"/>
      <c r="S854"/>
      <c r="T854"/>
      <c r="U854"/>
      <c r="X854"/>
      <c r="AB854"/>
      <c r="AC854"/>
      <c r="AF854" s="361">
        <f>IF(C854="Y",1,0)</f>
        <v>1</v>
      </c>
      <c r="AG854" s="60">
        <f>IF(AF854=0,,H853)</f>
        <v>42095</v>
      </c>
      <c r="AH854" s="60">
        <f>IF(AF854=0,,G854)</f>
        <v>42095</v>
      </c>
      <c r="AI854" s="59"/>
      <c r="AJ854" s="59"/>
      <c r="AK854" s="78" t="str">
        <f>"If errors, "&amp;S.Staff.Subject.Expert.FirstName&amp;" works with "&amp;S.Staff.AgencyRulesCoordinator&amp;" to correct and selects 'Y'  &gt;"</f>
        <v>If errors, Brian works with Maggie to correct and selects 'Y'  &gt;</v>
      </c>
      <c r="AL854" s="76"/>
    </row>
    <row r="855" spans="1:39" s="23" customFormat="1" ht="14.1" hidden="1" customHeight="1" outlineLevel="2">
      <c r="A855" s="145"/>
      <c r="B855" s="267" t="str">
        <f>AK855</f>
        <v>AndreaG submits SIP to EPA within 60 days AFTER adoption</v>
      </c>
      <c r="C855" s="542"/>
      <c r="D855" s="283"/>
      <c r="E855" s="357"/>
      <c r="F855" s="313">
        <f>NETWORKDAYS(G855,H855,S.DDL_DEQClosed)</f>
        <v>33</v>
      </c>
      <c r="G855" s="263">
        <f t="shared" si="192"/>
        <v>42078</v>
      </c>
      <c r="H855" s="256">
        <f t="shared" si="192"/>
        <v>42123</v>
      </c>
      <c r="I855" s="745"/>
      <c r="J855"/>
      <c r="K855"/>
      <c r="L855"/>
      <c r="M855"/>
      <c r="N855"/>
      <c r="O855"/>
      <c r="P855"/>
      <c r="Q855"/>
      <c r="R855"/>
      <c r="S855"/>
      <c r="T855"/>
      <c r="U855"/>
      <c r="X855"/>
      <c r="AB855"/>
      <c r="AC855"/>
      <c r="AF855" s="361">
        <v>1</v>
      </c>
      <c r="AG855" s="60">
        <f>S.EQC.Meeting</f>
        <v>42078</v>
      </c>
      <c r="AH855" s="60">
        <f>WORKDAY(S.EQC.Meeting+44,1,S.DDL_DEQClosed)</f>
        <v>42123</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Brian:</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Brian:</v>
      </c>
      <c r="AL856" s="76"/>
    </row>
    <row r="857" spans="1:39" ht="14.1" hidden="1" customHeight="1" outlineLevel="2">
      <c r="A857" s="145"/>
      <c r="B857" s="220" t="s">
        <v>287</v>
      </c>
      <c r="C857" s="545"/>
      <c r="D857" s="283"/>
      <c r="E857" s="283"/>
      <c r="F857" s="255">
        <f t="shared" ref="F857" si="193">NETWORKDAYS(G857,H857,S.DDL_DEQClosed)</f>
        <v>64</v>
      </c>
      <c r="G857" s="299">
        <f t="shared" ref="G857:H857" si="194">AG857</f>
        <v>42080</v>
      </c>
      <c r="H857" s="299">
        <f t="shared" si="194"/>
        <v>42170</v>
      </c>
      <c r="I857" s="745"/>
      <c r="AF857" s="361">
        <v>1</v>
      </c>
      <c r="AG857" s="60">
        <f>AH845</f>
        <v>42080</v>
      </c>
      <c r="AH857" s="60">
        <f>S.PostEQC.BANNER.End</f>
        <v>42170</v>
      </c>
      <c r="AI857" s="59"/>
      <c r="AJ857" s="46"/>
      <c r="AK857" s="41"/>
      <c r="AL857" s="76"/>
      <c r="AM857"/>
    </row>
    <row r="858" spans="1:39" s="23" customFormat="1" ht="14.1" hidden="1" customHeight="1" outlineLevel="2">
      <c r="A858" s="145"/>
      <c r="B858" s="220" t="s">
        <v>282</v>
      </c>
      <c r="C858" s="545"/>
      <c r="D858" s="283"/>
      <c r="E858" s="750"/>
      <c r="F858"/>
      <c r="G858"/>
      <c r="H858" s="299">
        <f t="shared" ref="H858" si="195">AH858</f>
        <v>42170</v>
      </c>
      <c r="I858" s="745"/>
      <c r="J858"/>
      <c r="K858"/>
      <c r="L858"/>
      <c r="M858"/>
      <c r="N858"/>
      <c r="O858"/>
      <c r="P858"/>
      <c r="Q858"/>
      <c r="R858"/>
      <c r="S858"/>
      <c r="T858"/>
      <c r="U858"/>
      <c r="X858"/>
      <c r="AB858"/>
      <c r="AC858"/>
      <c r="AF858" s="361">
        <v>1</v>
      </c>
      <c r="AG858" s="60">
        <f>AH846</f>
        <v>0</v>
      </c>
      <c r="AH858" s="60">
        <f>S.PostEQC.BANNER.End</f>
        <v>42170</v>
      </c>
      <c r="AI858" s="59"/>
      <c r="AJ858" s="46"/>
      <c r="AK858" s="41"/>
      <c r="AL858" s="76"/>
    </row>
    <row r="859" spans="1:39" s="23" customFormat="1" ht="14.1" hidden="1" customHeight="1" outlineLevel="2">
      <c r="A859" s="145"/>
      <c r="B859" s="220" t="str">
        <f>AK859</f>
        <v>* delivers archival box to Maggie</v>
      </c>
      <c r="C859" s="545"/>
      <c r="D859" s="283"/>
      <c r="E859" s="750"/>
      <c r="F859"/>
      <c r="G859"/>
      <c r="H859" s="299">
        <f t="shared" ref="H859" si="196">AH859</f>
        <v>42170</v>
      </c>
      <c r="I859" s="745"/>
      <c r="J859"/>
      <c r="K859"/>
      <c r="L859"/>
      <c r="M859"/>
      <c r="N859"/>
      <c r="O859"/>
      <c r="P859"/>
      <c r="Q859"/>
      <c r="R859"/>
      <c r="S859"/>
      <c r="T859"/>
      <c r="U859"/>
      <c r="X859"/>
      <c r="AB859"/>
      <c r="AC859"/>
      <c r="AF859" s="361">
        <v>1</v>
      </c>
      <c r="AG859" s="60">
        <f>AH846</f>
        <v>0</v>
      </c>
      <c r="AH859" s="60">
        <f>S.PostEQC.BANNER.End</f>
        <v>42170</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42080</v>
      </c>
      <c r="H860" s="256">
        <f>AH860</f>
        <v>42080</v>
      </c>
      <c r="I860" s="745"/>
      <c r="J860"/>
      <c r="K860"/>
      <c r="L860"/>
      <c r="M860"/>
      <c r="N860"/>
      <c r="O860"/>
      <c r="P860"/>
      <c r="Q860"/>
      <c r="R860"/>
      <c r="S860"/>
      <c r="T860"/>
      <c r="U860"/>
      <c r="X860"/>
      <c r="AB860"/>
      <c r="AC860"/>
      <c r="AF860" s="361">
        <v>1</v>
      </c>
      <c r="AG860" s="60">
        <f>AH845</f>
        <v>42080</v>
      </c>
      <c r="AH860" s="60">
        <f>G860</f>
        <v>42080</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502" t="s">
        <v>289</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c r="A863" s="145"/>
      <c r="B863" s="502" t="s">
        <v>290</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c r="A864" s="145"/>
      <c r="B864" s="222" t="s">
        <v>139</v>
      </c>
      <c r="C864" s="545"/>
      <c r="D864" s="283"/>
      <c r="E864" s="283"/>
      <c r="F864" s="255">
        <f t="shared" ref="F864" si="197">NETWORKDAYS(G864,H864,S.DDL_DEQClosed)</f>
        <v>64</v>
      </c>
      <c r="G864" s="299">
        <f t="shared" ref="G864" si="198">AG864</f>
        <v>42080</v>
      </c>
      <c r="H864" s="299">
        <f t="shared" ref="H864" si="199">AH864</f>
        <v>42170</v>
      </c>
      <c r="I864" s="745"/>
      <c r="J864"/>
      <c r="K864"/>
      <c r="L864"/>
      <c r="M864"/>
      <c r="N864"/>
      <c r="O864"/>
      <c r="P864"/>
      <c r="Q864"/>
      <c r="R864"/>
      <c r="S864"/>
      <c r="T864"/>
      <c r="U864"/>
      <c r="X864"/>
      <c r="AB864"/>
      <c r="AC864"/>
      <c r="AF864" s="361">
        <v>1</v>
      </c>
      <c r="AG864" s="60">
        <f>AH845</f>
        <v>42080</v>
      </c>
      <c r="AH864" s="60">
        <f>S.PostEQC.BANNER.End</f>
        <v>42170</v>
      </c>
      <c r="AI864" s="59"/>
      <c r="AJ864" s="46"/>
      <c r="AK864" s="41"/>
      <c r="AL864" s="76"/>
    </row>
    <row r="865" spans="1:39" s="23" customFormat="1" ht="14.1" hidden="1" customHeight="1" outlineLevel="2">
      <c r="A865" s="145"/>
      <c r="B865" s="303" t="str">
        <f>AK865</f>
        <v>Brian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Brian takes a vacation</v>
      </c>
      <c r="AL865" s="76"/>
    </row>
    <row r="866" spans="1:39" hidden="1" outlineLevel="1">
      <c r="A866" s="145"/>
      <c r="B866" s="314"/>
      <c r="C866" s="300"/>
      <c r="D866" s="704"/>
      <c r="E866" s="704"/>
      <c r="F866" s="315"/>
      <c r="G866" s="300"/>
      <c r="H866" s="493" t="str">
        <f>"$H"&amp;"$"&amp;ROW(S.General.LastCellSchedule)</f>
        <v>$H$866</v>
      </c>
      <c r="I866" s="745"/>
      <c r="AF866" s="363" t="s">
        <v>0</v>
      </c>
      <c r="AG866" s="47"/>
      <c r="AH866" s="47"/>
      <c r="AI866" s="495" t="s">
        <v>0</v>
      </c>
      <c r="AJ866" s="46"/>
      <c r="AK866" s="36"/>
      <c r="AL866" s="76"/>
      <c r="AM866"/>
    </row>
    <row r="867" spans="1:39" ht="12.75" customHeight="1" collapsed="1">
      <c r="A867" s="145"/>
      <c r="B867" s="165"/>
      <c r="C867" s="166"/>
      <c r="D867" s="724"/>
      <c r="E867" s="724"/>
      <c r="F867" s="167"/>
      <c r="G867" s="166"/>
      <c r="H867" s="166"/>
      <c r="I867" s="745"/>
      <c r="AF867" s="557" t="s">
        <v>59</v>
      </c>
      <c r="AG867" s="556"/>
      <c r="AH867" s="556"/>
      <c r="AI867" s="556"/>
      <c r="AJ867" s="556"/>
      <c r="AK867" s="556"/>
      <c r="AL867" s="556"/>
      <c r="AM867" s="75"/>
    </row>
    <row r="868" spans="1:39">
      <c r="C868"/>
      <c r="D868"/>
      <c r="E868"/>
      <c r="F868"/>
      <c r="G868"/>
      <c r="H868"/>
      <c r="I868" s="745"/>
      <c r="V868"/>
      <c r="W868"/>
      <c r="Y868"/>
      <c r="Z868"/>
      <c r="AA868"/>
      <c r="AD868"/>
      <c r="AE868"/>
      <c r="AF868"/>
      <c r="AH868"/>
      <c r="AI868"/>
      <c r="AJ868"/>
      <c r="AM868"/>
    </row>
    <row r="869" spans="1:39">
      <c r="C869"/>
      <c r="D869"/>
      <c r="E869"/>
      <c r="F869"/>
      <c r="G869"/>
      <c r="H869"/>
      <c r="I869" s="745"/>
      <c r="V869"/>
      <c r="W869"/>
      <c r="Y869"/>
      <c r="Z869"/>
      <c r="AA869"/>
      <c r="AD869"/>
      <c r="AE869"/>
      <c r="AF869"/>
      <c r="AH869"/>
      <c r="AI869"/>
      <c r="AJ869"/>
      <c r="AM869"/>
    </row>
  </sheetData>
  <sheetProtection formatRows="0" insertHyperlinks="0"/>
  <mergeCells count="63">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C543:G543"/>
    <mergeCell ref="C782:AD782"/>
    <mergeCell ref="C783:AD783"/>
    <mergeCell ref="C784:AD784"/>
    <mergeCell ref="D691:G691"/>
    <mergeCell ref="G754:H754"/>
    <mergeCell ref="C780:H780"/>
    <mergeCell ref="C781:H781"/>
    <mergeCell ref="C610:G610"/>
    <mergeCell ref="C605:G605"/>
  </mergeCells>
  <conditionalFormatting sqref="G607:G608 G610 G613:G615 G692:G725 G728:G739 G748:H748 G747:G749 G753:G779 G785:G866 G617:G690 H577 H563:H565 G564:H564 G232:G353 G355:G486 G28:G43 C27 C42 G45:G230 G6:G22 G24:G25 G488:G539 G530:H531 G541:G605 G574:H574 H589 H37 G29:H29 G34:H35 G46:H46">
    <cfRule type="expression" dxfId="51" priority="315" stopIfTrue="1">
      <formula>IF(WORKDAY($G$6-1,1,S.DDL_DEQClosed)&lt;&gt;$G$6,TRUE)</formula>
    </cfRule>
    <cfRule type="expression" dxfId="50" priority="317" stopIfTrue="1">
      <formula>IF(WORKDAY($H$6-1,1,S.DDL_DEQClosed)&lt;&gt;$H$6,TRUE)</formula>
    </cfRule>
  </conditionalFormatting>
  <conditionalFormatting sqref="B94:B97 B87 B69:B70 B79:B82 B22:B24">
    <cfRule type="expression" dxfId="49" priority="324">
      <formula>IF(AND(S.General.RuleType="P",S.Notice.HearingInvolved="Y",S.Notice.Involved="N"),TRUE,FALSE)</formula>
    </cfRule>
  </conditionalFormatting>
  <conditionalFormatting sqref="B18">
    <cfRule type="expression" dxfId="48" priority="320">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A606:A758 C754:H758 A760:H761 A759:E759 D785:E866 B785:B866 A780:A866 C780:C866 A762:E779 G753:H779 A789:E789 G785:G866 H785:H808 H815:H866 A151:H160 D355:E486 G355:G486 F357:F448 F450:F486 A215:H215 F101:F227 G101:H230 C32:C62 A59:H86 C92:C93 C87:C90 D87:H93 A94:H100 A87:B93 A564:H564 A6:H19 AG43:AG44 F32:F40 I43:I44 F42 A20:A62 B26:B42 B45:B62 H20:H22 H24 A320:B520 C488:H520 A620:H620 C25:H25 B20:E24 G20:G24 F20:F21 F23:F24 D541:G561 H521:H561 D521:G539 A530:H531 A567:H568 H590:H605 D565:H574 A521:C574 A575:H578 H579:H588 H629:H630 H634:H725 G29:H29 G34:H34 H26:H42 G23:H23 D45:H62 C606:D758 A101:E319">
    <cfRule type="expression" dxfId="47" priority="74" stopIfTrue="1">
      <formula>IF($AF6=0,TRUE)</formula>
    </cfRule>
  </conditionalFormatting>
  <conditionalFormatting sqref="D28:E42 D355:E486 D740:E740 D743:E743 E693:E758 D754:E779 D785:E866 D6:E26 D620:E620 D488:E539 D541:E561 D563:E578 D579:D758 E579:E691 D45:E353">
    <cfRule type="expression" dxfId="46" priority="69">
      <formula>IF(OR($D6="X",$D6="x"),TRUE)</formula>
    </cfRule>
  </conditionalFormatting>
  <conditionalFormatting sqref="E43">
    <cfRule type="expression" dxfId="45" priority="61" stopIfTrue="1">
      <formula>IF($AF43=0,TRUE)</formula>
    </cfRule>
  </conditionalFormatting>
  <conditionalFormatting sqref="C29 F29">
    <cfRule type="expression" dxfId="44" priority="354" stopIfTrue="1">
      <formula>IF($AF31=0,TRUE)</formula>
    </cfRule>
  </conditionalFormatting>
  <conditionalFormatting sqref="G562:H562">
    <cfRule type="expression" dxfId="43" priority="50" stopIfTrue="1">
      <formula>IF($AF562=0,TRUE)</formula>
    </cfRule>
  </conditionalFormatting>
  <conditionalFormatting sqref="H610">
    <cfRule type="expression" dxfId="42" priority="402" stopIfTrue="1">
      <formula>IF($AF606=0,TRUE)</formula>
    </cfRule>
  </conditionalFormatting>
  <conditionalFormatting sqref="B19">
    <cfRule type="expression" dxfId="41" priority="428">
      <formula>IF(ISERROR($H$19)=TRUE,TRUE,)</formula>
    </cfRule>
  </conditionalFormatting>
  <conditionalFormatting sqref="D563:H564">
    <cfRule type="expression" dxfId="40" priority="494" stopIfTrue="1">
      <formula>IF($AF562=0,TRUE)</formula>
    </cfRule>
  </conditionalFormatting>
  <conditionalFormatting sqref="G749:H749">
    <cfRule type="expression" dxfId="39" priority="540" stopIfTrue="1">
      <formula>IF($AF750=0,TRUE)</formula>
    </cfRule>
  </conditionalFormatting>
  <conditionalFormatting sqref="B753">
    <cfRule type="expression" dxfId="38" priority="44" stopIfTrue="1">
      <formula>IF($AF753=0,TRUE)</formula>
    </cfRule>
  </conditionalFormatting>
  <conditionalFormatting sqref="B756:B757 B25">
    <cfRule type="expression" dxfId="37" priority="601" stopIfTrue="1">
      <formula>IF(#REF!=0,TRUE)</formula>
    </cfRule>
  </conditionalFormatting>
  <conditionalFormatting sqref="B780:B784">
    <cfRule type="expression" dxfId="36" priority="43" stopIfTrue="1">
      <formula>IF($AF780=0,TRUE)</formula>
    </cfRule>
  </conditionalFormatting>
  <conditionalFormatting sqref="F41">
    <cfRule type="expression" dxfId="35" priority="42" stopIfTrue="1">
      <formula>IF($AF41=0,TRUE)</formula>
    </cfRule>
  </conditionalFormatting>
  <conditionalFormatting sqref="F20">
    <cfRule type="expression" dxfId="34" priority="41" stopIfTrue="1">
      <formula>IF($AF26=0,TRUE)</formula>
    </cfRule>
  </conditionalFormatting>
  <conditionalFormatting sqref="F16">
    <cfRule type="expression" dxfId="33" priority="40" stopIfTrue="1">
      <formula>IF($AF27=0,TRUE)</formula>
    </cfRule>
  </conditionalFormatting>
  <conditionalFormatting sqref="B32">
    <cfRule type="expression" dxfId="32" priority="760">
      <formula>IF($AJ$32=1,TRUE)</formula>
    </cfRule>
  </conditionalFormatting>
  <conditionalFormatting sqref="I6:I25">
    <cfRule type="expression" dxfId="31" priority="27" stopIfTrue="1">
      <formula>IF($AF6=0,TRUE)</formula>
    </cfRule>
  </conditionalFormatting>
  <conditionalFormatting sqref="I20">
    <cfRule type="expression" dxfId="30" priority="26" stopIfTrue="1">
      <formula>IF($AF26=0,TRUE)</formula>
    </cfRule>
  </conditionalFormatting>
  <conditionalFormatting sqref="I16">
    <cfRule type="expression" dxfId="29" priority="25" stopIfTrue="1">
      <formula>IF($AF27=0,TRUE)</formula>
    </cfRule>
  </conditionalFormatting>
  <conditionalFormatting sqref="I30 I32:I40">
    <cfRule type="expression" dxfId="28" priority="24" stopIfTrue="1">
      <formula>IF($AF30=0,TRUE)</formula>
    </cfRule>
  </conditionalFormatting>
  <conditionalFormatting sqref="I29">
    <cfRule type="expression" dxfId="27" priority="23" stopIfTrue="1">
      <formula>IF($AF31=0,TRUE)</formula>
    </cfRule>
  </conditionalFormatting>
  <conditionalFormatting sqref="I41">
    <cfRule type="expression" dxfId="26" priority="22" stopIfTrue="1">
      <formula>IF($AF41=0,TRUE)</formula>
    </cfRule>
  </conditionalFormatting>
  <conditionalFormatting sqref="F29">
    <cfRule type="expression" dxfId="25" priority="21" stopIfTrue="1">
      <formula>IF($AF29=0,TRUE)</formula>
    </cfRule>
  </conditionalFormatting>
  <conditionalFormatting sqref="F41">
    <cfRule type="expression" dxfId="24" priority="20" stopIfTrue="1">
      <formula>IF($AF41=0,TRUE)</formula>
    </cfRule>
  </conditionalFormatting>
  <conditionalFormatting sqref="I43:I44 E43">
    <cfRule type="expression" dxfId="23" priority="814">
      <formula>IF(OR($I43="X",$I43="x"),TRUE)</formula>
    </cfRule>
  </conditionalFormatting>
  <conditionalFormatting sqref="H23">
    <cfRule type="expression" dxfId="22" priority="19" stopIfTrue="1">
      <formula>IF($AF23=0,TRUE)</formula>
    </cfRule>
  </conditionalFormatting>
  <conditionalFormatting sqref="H23">
    <cfRule type="expression" dxfId="21" priority="18" stopIfTrue="1">
      <formula>IF($AF23=0,TRUE)</formula>
    </cfRule>
  </conditionalFormatting>
  <conditionalFormatting sqref="F22">
    <cfRule type="expression" dxfId="20" priority="13" stopIfTrue="1">
      <formula>IF($AF22=0,TRUE)</formula>
    </cfRule>
  </conditionalFormatting>
  <conditionalFormatting sqref="H589">
    <cfRule type="expression" dxfId="19" priority="12" stopIfTrue="1">
      <formula>IF($AF589=0,TRUE)</formula>
    </cfRule>
  </conditionalFormatting>
  <conditionalFormatting sqref="G574:H574">
    <cfRule type="expression" dxfId="18" priority="11" stopIfTrue="1">
      <formula>IF($AF573=0,TRUE)</formula>
    </cfRule>
  </conditionalFormatting>
  <conditionalFormatting sqref="H589">
    <cfRule type="expression" dxfId="17" priority="8" stopIfTrue="1">
      <formula>IF($AF589=0,TRUE)</formula>
    </cfRule>
  </conditionalFormatting>
  <conditionalFormatting sqref="H610">
    <cfRule type="expression" dxfId="16" priority="7" stopIfTrue="1">
      <formula>IF($AF610=0,TRUE)</formula>
    </cfRule>
  </conditionalFormatting>
  <conditionalFormatting sqref="G23:H23">
    <cfRule type="expression" dxfId="15" priority="3" stopIfTrue="1">
      <formula>IF(WORKDAY($G$6-1,1,S.DDL_DEQClosed)&lt;&gt;$G$6,TRUE)</formula>
    </cfRule>
    <cfRule type="expression" dxfId="14" priority="4" stopIfTrue="1">
      <formula>IF(WORKDAY($H$6-1,1,S.DDL_DEQClosed)&lt;&gt;$H$6,TRUE)</formula>
    </cfRule>
  </conditionalFormatting>
  <conditionalFormatting sqref="H47">
    <cfRule type="expression" dxfId="13" priority="1" stopIfTrue="1">
      <formula>IF(WORKDAY($G$6-1,1,S.DDL_DEQClosed)&lt;&gt;$G$6,TRUE)</formula>
    </cfRule>
    <cfRule type="expression" dxfId="12" priority="2" stopIfTrue="1">
      <formula>IF(WORKDAY($H$6-1,1,S.DDL_DEQClosed)&lt;&gt;$H$6,TRUE)</formula>
    </cfRule>
  </conditionalFormatting>
  <dataValidations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778:AH778 AG637 AG642 AG755 AG761 AG785:AH785 AG806 AG579:AG584 AG233 AG569 AG573 AG563 AG548:AG559 AH541 AH543 AG515:AG531 AG507 AG229 AG509:AG512 AG250:AG251 AG493"/>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C533 D404:E404 C271 D333:E334 D337:E338 D358:E358 D381:E381 D427:E427 C201 C161 C154 AL300"/>
    <dataValidation allowBlank="1" showInputMessage="1" showErrorMessage="1" errorTitle="LOCKED:CHANGE UNDER NOTICE" sqref="AK673 AK675 AK677 AK679 AK681 AK683 AK685"/>
    <dataValidation allowBlank="1" showInputMessage="1" showErrorMessage="1" errorTitle="LOCKED:CHANGE UNDER NOTICE" error="Change the city name under 4-Notice banner" sqref="AK671 B685 B683 B681 B679 B677 B675 B673 B671"/>
    <dataValidation allowBlank="1" showInputMessage="1" showErrorMessage="1" promptTitle="LOCKED: CANNOT CHANGE DATE HERE" prompt="Change the hearing dates under Public notice section." sqref="AH685 AH683 AH681 AH679 AH677 AH675 AH673 AH671 H673 H675 H677 H679 H681 H683 H671 H685"/>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650 H717 H288 H488 H453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27:H828 H833">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650 G717 G288 G453 G4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851:E851 D798:E798 E693 D864:E864 D857:E860 D815:E816 D826:E828 D821:E824 D818:E819 D774:E774 D770:E770 D766:E766 D761:E761 D748:E748 D740:E746 D586:E586 D589:E589 D593:E593 D596:E601 D603:E603 D692:D693 D612:E612 D615:E615 D853:E855 D654:E654 D659:E669 D707:E713 D656:E657 D687:E690 D700:E701 D627:E629 D631:E635 D637:E647 D695:E698 D788:E796 D618:E621 D579:E584 D569:E569 D563:E563 D575:E575 D552:E552 D548:E548 D533:E537 D556:E556 D88:E93 D250:E251 D277:E277 E258:E261 D83:E86 D246:E248 C236:E236 D233:E234 D229:E230 D218:E218 D271 D291:E310 D316:E323 D484:E484 D472:E472 D475:E482 D466:E470 D460:E464 D458:E458 D341:E345 D333:E334 D325:E326 D328:E328 D337:E338 D347:E353 D330:E331 D401:E404 D363:E367 D355:E358 D424:E427 D378:E381 D409:E413 D386:E390 D447:E449 D432:E436 D369:E376 D392:E399 D438:E445 D415:E422 D201:E214 D190:E190 D174:E175 D169:E169 D181:E183 D171:E171 D115:E129 D102:E102 D146:E146 D150:E163 D95:E95 D98:E100 D57:E68 D71:E78 D80:E80 E264:E271 D264:D269 E279:E284 D279 D281:D284"/>
    <dataValidation type="list" allowBlank="1" showInputMessage="1" showErrorMessage="1" sqref="C854 C779 C770 C766 C774 C603 C664:C666 C709:C711 C815 C581:C583 C556 C552 C548 C219:C226 C257:C261 C318:C319 C479:C481 C468:C470 C332 C346 C403 C414 C357 C368 C391 C380 C426 C437 C208:C210 C174 C192:C197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717 F650 F288 F453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775:G777 G771:G773 G767:G769 G762:G765 G749 G736 G722:G725 G553:G555 G557:G559 G549:G551">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774 B766 B761 B770 B708:B711 B579:B584 B530 B548 B556 B552 B513:B514 B207:B210 B562:B571"/>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770 G552 G556">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755 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68:H669 H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68:G669 G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596 H605">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33:B234 B248"/>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64 G467:G470 G479">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23 H354 H400 H446"/>
    <dataValidation allowBlank="1" showInputMessage="1" showErrorMessage="1" promptTitle="ENTER TIME" prompt="Enter the time of the advisory committee meeting as hh:mm followed by a.m. or p.m._x000a__x000a__x000a_" sqref="H426 H380 H357 H403 H332"/>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381 G427 G404">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24:G425 G401:G402 G447:G448">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439 G429:G436 G418:G422 G416 G406:G413 G395:G399 G393 G383:G390 G372:G376 G370 G360:G367 G337:G338 G342:G345 G334 G350:G351 G348">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292 G308">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59:E359 D405:E405 D382:E382"/>
    <dataValidation allowBlank="1" showInputMessage="1" showErrorMessage="1" promptTitle="ENTER LOCATION" prompt="Enter location of advisory committee meeting." sqref="F426 F403 F357 F380"/>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281:H282 H284 H271 H181:H182 H174:H175">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52 G198 G172 G215 G188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1 G203:G204">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AQPermit@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C230" location="S.HearingsOfficers" display="i"/>
    <hyperlink ref="C781" r:id="rId63"/>
    <hyperlink ref="C782" r:id="rId64"/>
    <hyperlink ref="C783" r:id="rId65"/>
    <hyperlink ref="C784" r:id="rId66"/>
    <hyperlink ref="C780" r:id="rId67" display="mailto:MEden@neea.org"/>
    <hyperlink ref="C127" r:id="rId68"/>
    <hyperlink ref="AK107" r:id="rId69"/>
    <hyperlink ref="B105" r:id="rId70"/>
  </hyperlinks>
  <pageMargins left="0.53" right="0.25" top="1" bottom="0.36" header="0.3" footer="0.3"/>
  <pageSetup orientation="portrait" horizontalDpi="4294967293" r:id="rId71"/>
  <headerFooter>
    <oddHeader xml:space="preserve">&amp;L&amp;"Times New Roman,Bold"&amp;22&amp;K04-034Schedule of Tasks&amp;C&amp;"Times New Roman,Regular"&amp;14&amp;K04-042Grants Pass Limited Maintenance Plans
 for CO and PM10&amp;R&amp;"Times New Roman,Regular"&amp;12&amp;K04-039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78 G317:H319 G324:H328 D353 H466 G55:H56 G173:H173 G177:H177 G40:H41 G116:H116 G131:H134 G21:H21 G201:H201 G199:H199 G190:H190 D535:D537 G191:H193 D533 G13:H13 G31 G36:H36 G17:H17 G47:H53 G196:H197 G29:G30 G355:H356 F382:H448 F467:H470 F458:H459 D382:D449 D355:D356 H354 G736:H739 G747:H747 G785:H787 G753:H753 G762:H779 H815:H828 H18:H19 G15:H15 G449:H449 G32 G46:H46 G22 H29:H30 G34:H34 H174:H175 H181:H182 G183:H183 G219:H226 G229:H233 H237:H238 G263:H263 F250:H262 F264:H264 F263 H249 H283 H278 H271:H277 H279:H282 H284 G579:H589 C596:H606" unlockedFormula="1"/>
  </ignoredErrors>
  <drawing r:id="rId72"/>
  <legacyDrawing r:id="rId73"/>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46" t="s">
        <v>40</v>
      </c>
      <c r="C2" s="1046"/>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46" t="s">
        <v>41</v>
      </c>
      <c r="C9" s="1046"/>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46" t="s">
        <v>52</v>
      </c>
      <c r="C14" s="1046"/>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47" t="s">
        <v>140</v>
      </c>
      <c r="C2" s="1047"/>
      <c r="D2" s="1047"/>
      <c r="E2" s="1047"/>
      <c r="F2" s="1047"/>
      <c r="G2" s="1047"/>
      <c r="H2" s="1047"/>
      <c r="I2" s="1047"/>
      <c r="J2" s="1047"/>
      <c r="K2" s="1047"/>
      <c r="L2" s="1047"/>
      <c r="M2" s="1047"/>
      <c r="N2" s="1047"/>
      <c r="O2" s="1047"/>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48" t="s">
        <v>141</v>
      </c>
      <c r="D4" s="1048"/>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7" customWidth="1"/>
    <col min="13" max="17" width="3.125" customWidth="1"/>
    <col min="18" max="19" width="3.125" style="585" customWidth="1"/>
    <col min="20" max="24" width="3.125" customWidth="1"/>
    <col min="25" max="26" width="3.125" style="585" customWidth="1"/>
    <col min="27" max="31" width="3.125" customWidth="1"/>
    <col min="32" max="33" width="3.125" style="585" customWidth="1"/>
    <col min="34" max="38" width="3.125" style="23" customWidth="1"/>
    <col min="39" max="40" width="3.125" style="585" customWidth="1"/>
    <col min="41" max="45" width="3.125" style="23" customWidth="1"/>
    <col min="46" max="47" width="3.125" style="585" customWidth="1"/>
    <col min="48" max="52" width="3.125" style="23" customWidth="1"/>
    <col min="53" max="54" width="3.125" style="585" customWidth="1"/>
    <col min="55" max="59" width="3.125" style="23" customWidth="1"/>
    <col min="60" max="61" width="3.125" style="585" customWidth="1"/>
  </cols>
  <sheetData>
    <row r="1" spans="1:61" s="23" customFormat="1" ht="37.5" customHeight="1">
      <c r="A1" s="1053" t="str">
        <f>S.General.RulemakingTitle</f>
        <v>Grants Pass Limited Maintenance Plans for CO and PM10</v>
      </c>
      <c r="B1" s="1053"/>
      <c r="C1" s="1053"/>
      <c r="D1" s="636"/>
      <c r="E1" s="75"/>
      <c r="F1" s="1050" t="str">
        <f>S.General.CodeName</f>
        <v>GPLMP</v>
      </c>
      <c r="G1" s="1050"/>
      <c r="H1" s="1050"/>
      <c r="I1" s="1050"/>
      <c r="J1" s="1050"/>
      <c r="K1" s="75"/>
      <c r="L1" s="75"/>
      <c r="M1" s="75"/>
      <c r="N1" s="1056" t="s">
        <v>0</v>
      </c>
      <c r="O1" s="1056"/>
      <c r="P1" s="1056"/>
      <c r="Q1" s="1056"/>
      <c r="R1" s="1056"/>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54" t="s">
        <v>357</v>
      </c>
      <c r="B2" s="1054"/>
      <c r="C2" s="1054"/>
      <c r="D2" s="637"/>
      <c r="E2" s="595"/>
      <c r="F2" s="1049">
        <f ca="1">A3</f>
        <v>41907</v>
      </c>
      <c r="G2" s="1049"/>
      <c r="H2" s="1049"/>
      <c r="I2" s="1049"/>
      <c r="J2" s="1049"/>
      <c r="K2" s="1049"/>
      <c r="L2" s="1049"/>
      <c r="M2" s="1049">
        <f ca="1">M4</f>
        <v>41911</v>
      </c>
      <c r="N2" s="1049"/>
      <c r="O2" s="1049"/>
      <c r="P2" s="1049"/>
      <c r="Q2" s="1049"/>
      <c r="R2" s="1049"/>
      <c r="S2" s="1049"/>
      <c r="T2" s="1049">
        <f ca="1">T4</f>
        <v>41918</v>
      </c>
      <c r="U2" s="1049"/>
      <c r="V2" s="1049"/>
      <c r="W2" s="1049"/>
      <c r="X2" s="1049"/>
      <c r="Y2" s="1049"/>
      <c r="Z2" s="1049"/>
      <c r="AA2" s="1049">
        <f ca="1">AA4</f>
        <v>41925</v>
      </c>
      <c r="AB2" s="1049"/>
      <c r="AC2" s="1049"/>
      <c r="AD2" s="1049"/>
      <c r="AE2" s="1049"/>
      <c r="AF2" s="1049"/>
      <c r="AG2" s="1049"/>
      <c r="AH2" s="1049">
        <f ca="1">AH4</f>
        <v>41932</v>
      </c>
      <c r="AI2" s="1049"/>
      <c r="AJ2" s="1049"/>
      <c r="AK2" s="1049"/>
      <c r="AL2" s="1049"/>
      <c r="AM2" s="1049"/>
      <c r="AN2" s="1049"/>
      <c r="AO2" s="1049">
        <f ca="1">AO4</f>
        <v>41939</v>
      </c>
      <c r="AP2" s="1049"/>
      <c r="AQ2" s="1049"/>
      <c r="AR2" s="1049"/>
      <c r="AS2" s="1049"/>
      <c r="AT2" s="1049"/>
      <c r="AU2" s="1049"/>
      <c r="AV2" s="1049">
        <f ca="1">AV4</f>
        <v>41946</v>
      </c>
      <c r="AW2" s="1049"/>
      <c r="AX2" s="1049"/>
      <c r="AY2" s="1049"/>
      <c r="AZ2" s="1049"/>
      <c r="BA2" s="1049"/>
      <c r="BB2" s="1049"/>
      <c r="BC2" s="1049">
        <f ca="1">BC4</f>
        <v>41953</v>
      </c>
      <c r="BD2" s="1049"/>
      <c r="BE2" s="1049"/>
      <c r="BF2" s="1049"/>
      <c r="BG2" s="1049"/>
      <c r="BH2" s="1049"/>
      <c r="BI2" s="1049"/>
    </row>
    <row r="3" spans="1:61" ht="18.75" thickBot="1">
      <c r="A3" s="1055">
        <f ca="1">TODAY()+E4</f>
        <v>41907</v>
      </c>
      <c r="B3" s="1055"/>
      <c r="C3" s="1055"/>
      <c r="D3" s="638"/>
      <c r="F3" s="584" t="s">
        <v>353</v>
      </c>
      <c r="G3" s="584" t="s">
        <v>21</v>
      </c>
      <c r="H3" s="584" t="s">
        <v>20</v>
      </c>
      <c r="I3" s="584" t="s">
        <v>21</v>
      </c>
      <c r="J3" s="584" t="s">
        <v>354</v>
      </c>
      <c r="K3" s="588" t="s">
        <v>355</v>
      </c>
      <c r="L3" s="588" t="s">
        <v>355</v>
      </c>
      <c r="M3" s="584" t="s">
        <v>353</v>
      </c>
      <c r="N3" s="584" t="s">
        <v>21</v>
      </c>
      <c r="O3" s="584" t="s">
        <v>20</v>
      </c>
      <c r="P3" s="584" t="s">
        <v>21</v>
      </c>
      <c r="Q3" s="584" t="s">
        <v>354</v>
      </c>
      <c r="R3" s="586" t="s">
        <v>355</v>
      </c>
      <c r="S3" s="586" t="s">
        <v>355</v>
      </c>
      <c r="T3" s="584" t="s">
        <v>353</v>
      </c>
      <c r="U3" s="584" t="s">
        <v>21</v>
      </c>
      <c r="V3" s="584" t="s">
        <v>20</v>
      </c>
      <c r="W3" s="584" t="s">
        <v>21</v>
      </c>
      <c r="X3" s="584" t="s">
        <v>354</v>
      </c>
      <c r="Y3" s="586" t="s">
        <v>355</v>
      </c>
      <c r="Z3" s="586" t="s">
        <v>355</v>
      </c>
      <c r="AA3" s="584" t="s">
        <v>353</v>
      </c>
      <c r="AB3" s="584" t="s">
        <v>21</v>
      </c>
      <c r="AC3" s="584" t="s">
        <v>20</v>
      </c>
      <c r="AD3" s="584" t="s">
        <v>21</v>
      </c>
      <c r="AE3" s="584" t="s">
        <v>354</v>
      </c>
      <c r="AF3" s="586" t="s">
        <v>355</v>
      </c>
      <c r="AG3" s="586" t="s">
        <v>355</v>
      </c>
      <c r="AH3" s="584" t="s">
        <v>353</v>
      </c>
      <c r="AI3" s="584" t="s">
        <v>21</v>
      </c>
      <c r="AJ3" s="584" t="s">
        <v>20</v>
      </c>
      <c r="AK3" s="584" t="s">
        <v>21</v>
      </c>
      <c r="AL3" s="584" t="s">
        <v>354</v>
      </c>
      <c r="AM3" s="586" t="s">
        <v>355</v>
      </c>
      <c r="AN3" s="586" t="s">
        <v>355</v>
      </c>
      <c r="AO3" s="584" t="s">
        <v>353</v>
      </c>
      <c r="AP3" s="584" t="s">
        <v>21</v>
      </c>
      <c r="AQ3" s="584" t="s">
        <v>20</v>
      </c>
      <c r="AR3" s="584" t="s">
        <v>21</v>
      </c>
      <c r="AS3" s="584" t="s">
        <v>354</v>
      </c>
      <c r="AT3" s="586" t="s">
        <v>355</v>
      </c>
      <c r="AU3" s="586" t="s">
        <v>355</v>
      </c>
      <c r="AV3" s="584" t="s">
        <v>353</v>
      </c>
      <c r="AW3" s="584" t="s">
        <v>21</v>
      </c>
      <c r="AX3" s="584" t="s">
        <v>20</v>
      </c>
      <c r="AY3" s="584" t="s">
        <v>21</v>
      </c>
      <c r="AZ3" s="584" t="s">
        <v>354</v>
      </c>
      <c r="BA3" s="586" t="s">
        <v>355</v>
      </c>
      <c r="BB3" s="586" t="s">
        <v>355</v>
      </c>
      <c r="BC3" s="584" t="s">
        <v>353</v>
      </c>
      <c r="BD3" s="584" t="s">
        <v>21</v>
      </c>
      <c r="BE3" s="584" t="s">
        <v>20</v>
      </c>
      <c r="BF3" s="584" t="s">
        <v>21</v>
      </c>
      <c r="BG3" s="584" t="s">
        <v>354</v>
      </c>
      <c r="BH3" s="586" t="s">
        <v>355</v>
      </c>
      <c r="BI3" s="586" t="s">
        <v>355</v>
      </c>
    </row>
    <row r="4" spans="1:61" s="23" customFormat="1" ht="16.5" thickBot="1">
      <c r="A4" s="1051" t="s">
        <v>356</v>
      </c>
      <c r="B4" s="1051"/>
      <c r="C4" s="1052"/>
      <c r="D4" s="635"/>
      <c r="E4" s="589">
        <v>0</v>
      </c>
      <c r="F4" s="590" t="str">
        <f ca="1">IF(WEEKDAY($A$3,3)&lt;&gt;0,"-",$A$3)</f>
        <v>-</v>
      </c>
      <c r="G4" s="590" t="str">
        <f ca="1">IF(WEEKDAY($A$3,3)=1,$A$3,IF(WEEKDAY($A$3,3)&lt;1,F4+1,"-"))</f>
        <v>-</v>
      </c>
      <c r="H4" s="590" t="str">
        <f ca="1">IF(WEEKDAY($A$3,3)=2,$A$3,IF(WEEKDAY($A$3,3)&lt;2,G4+1,"-"))</f>
        <v>-</v>
      </c>
      <c r="I4" s="590">
        <f ca="1">IF(WEEKDAY($A$3,3)=3,$A$3,IF(WEEKDAY($A$3,3)&lt;3,H4+1,"-"))</f>
        <v>41907</v>
      </c>
      <c r="J4" s="590">
        <f ca="1">IF(WEEKDAY($A$3,3)=4,$A$3,IF(WEEKDAY($A$3,3)&lt;4,I4+1,"-"))</f>
        <v>41908</v>
      </c>
      <c r="K4" s="591">
        <f ca="1">IF(WEEKDAY($A$3,3)=5,$A$3,IF(WEEKDAY($A$3,3)&lt;5,J4+1,"-"))</f>
        <v>41909</v>
      </c>
      <c r="L4" s="591">
        <f ca="1">IF(WEEKDAY($A$3,3)=6,$A$3,IF(WEEKDAY($A$3,3)&lt;6,K4+1,"-"))</f>
        <v>41910</v>
      </c>
      <c r="M4" s="592">
        <f ca="1">L4+1</f>
        <v>41911</v>
      </c>
      <c r="N4" s="592">
        <f t="shared" ref="N4:AG4" ca="1" si="0">M4+1</f>
        <v>41912</v>
      </c>
      <c r="O4" s="592">
        <f t="shared" ca="1" si="0"/>
        <v>41913</v>
      </c>
      <c r="P4" s="592">
        <f t="shared" ca="1" si="0"/>
        <v>41914</v>
      </c>
      <c r="Q4" s="592">
        <f t="shared" ca="1" si="0"/>
        <v>41915</v>
      </c>
      <c r="R4" s="593">
        <f t="shared" ca="1" si="0"/>
        <v>41916</v>
      </c>
      <c r="S4" s="593">
        <f t="shared" ca="1" si="0"/>
        <v>41917</v>
      </c>
      <c r="T4" s="592">
        <f t="shared" ca="1" si="0"/>
        <v>41918</v>
      </c>
      <c r="U4" s="592">
        <f t="shared" ca="1" si="0"/>
        <v>41919</v>
      </c>
      <c r="V4" s="592">
        <f t="shared" ca="1" si="0"/>
        <v>41920</v>
      </c>
      <c r="W4" s="592">
        <f t="shared" ca="1" si="0"/>
        <v>41921</v>
      </c>
      <c r="X4" s="592">
        <f t="shared" ca="1" si="0"/>
        <v>41922</v>
      </c>
      <c r="Y4" s="593">
        <f t="shared" ca="1" si="0"/>
        <v>41923</v>
      </c>
      <c r="Z4" s="593">
        <f t="shared" ca="1" si="0"/>
        <v>41924</v>
      </c>
      <c r="AA4" s="592">
        <f t="shared" ca="1" si="0"/>
        <v>41925</v>
      </c>
      <c r="AB4" s="592">
        <f t="shared" ca="1" si="0"/>
        <v>41926</v>
      </c>
      <c r="AC4" s="592">
        <f t="shared" ca="1" si="0"/>
        <v>41927</v>
      </c>
      <c r="AD4" s="592">
        <f t="shared" ca="1" si="0"/>
        <v>41928</v>
      </c>
      <c r="AE4" s="592">
        <f t="shared" ca="1" si="0"/>
        <v>41929</v>
      </c>
      <c r="AF4" s="593">
        <f t="shared" ca="1" si="0"/>
        <v>41930</v>
      </c>
      <c r="AG4" s="593">
        <f t="shared" ca="1" si="0"/>
        <v>41931</v>
      </c>
      <c r="AH4" s="592">
        <f t="shared" ref="AH4:BI4" ca="1" si="1">AG4+1</f>
        <v>41932</v>
      </c>
      <c r="AI4" s="592">
        <f t="shared" ca="1" si="1"/>
        <v>41933</v>
      </c>
      <c r="AJ4" s="592">
        <f t="shared" ca="1" si="1"/>
        <v>41934</v>
      </c>
      <c r="AK4" s="592">
        <f t="shared" ca="1" si="1"/>
        <v>41935</v>
      </c>
      <c r="AL4" s="592">
        <f t="shared" ca="1" si="1"/>
        <v>41936</v>
      </c>
      <c r="AM4" s="593">
        <f t="shared" ca="1" si="1"/>
        <v>41937</v>
      </c>
      <c r="AN4" s="593">
        <f t="shared" ca="1" si="1"/>
        <v>41938</v>
      </c>
      <c r="AO4" s="592">
        <f t="shared" ca="1" si="1"/>
        <v>41939</v>
      </c>
      <c r="AP4" s="592">
        <f t="shared" ca="1" si="1"/>
        <v>41940</v>
      </c>
      <c r="AQ4" s="592">
        <f t="shared" ca="1" si="1"/>
        <v>41941</v>
      </c>
      <c r="AR4" s="592">
        <f t="shared" ca="1" si="1"/>
        <v>41942</v>
      </c>
      <c r="AS4" s="592">
        <f t="shared" ca="1" si="1"/>
        <v>41943</v>
      </c>
      <c r="AT4" s="593">
        <f t="shared" ca="1" si="1"/>
        <v>41944</v>
      </c>
      <c r="AU4" s="593">
        <f t="shared" ca="1" si="1"/>
        <v>41945</v>
      </c>
      <c r="AV4" s="592">
        <f t="shared" ca="1" si="1"/>
        <v>41946</v>
      </c>
      <c r="AW4" s="592">
        <f t="shared" ca="1" si="1"/>
        <v>41947</v>
      </c>
      <c r="AX4" s="592">
        <f t="shared" ca="1" si="1"/>
        <v>41948</v>
      </c>
      <c r="AY4" s="592">
        <f t="shared" ca="1" si="1"/>
        <v>41949</v>
      </c>
      <c r="AZ4" s="592">
        <f t="shared" ca="1" si="1"/>
        <v>41950</v>
      </c>
      <c r="BA4" s="593">
        <f t="shared" ca="1" si="1"/>
        <v>41951</v>
      </c>
      <c r="BB4" s="593">
        <f t="shared" ca="1" si="1"/>
        <v>41952</v>
      </c>
      <c r="BC4" s="592">
        <f t="shared" ca="1" si="1"/>
        <v>41953</v>
      </c>
      <c r="BD4" s="592">
        <f t="shared" ca="1" si="1"/>
        <v>41954</v>
      </c>
      <c r="BE4" s="592">
        <f t="shared" ca="1" si="1"/>
        <v>41955</v>
      </c>
      <c r="BF4" s="592">
        <f t="shared" ca="1" si="1"/>
        <v>41956</v>
      </c>
      <c r="BG4" s="592">
        <f t="shared" ca="1" si="1"/>
        <v>41957</v>
      </c>
      <c r="BH4" s="593">
        <f t="shared" ca="1" si="1"/>
        <v>41958</v>
      </c>
      <c r="BI4" s="593">
        <f t="shared" ca="1" si="1"/>
        <v>41959</v>
      </c>
    </row>
    <row r="5" spans="1:61" ht="15.75">
      <c r="A5" s="603" t="s">
        <v>0</v>
      </c>
      <c r="B5" s="604" t="s">
        <v>57</v>
      </c>
      <c r="C5" s="604" t="s">
        <v>172</v>
      </c>
      <c r="D5" s="604"/>
      <c r="E5" s="75"/>
      <c r="F5" s="75"/>
      <c r="G5" s="75"/>
      <c r="H5" s="75"/>
      <c r="I5" s="75"/>
      <c r="J5" s="75"/>
      <c r="K5" s="596"/>
      <c r="L5" s="596"/>
      <c r="M5" s="75"/>
      <c r="N5" s="75"/>
      <c r="O5" s="75"/>
      <c r="P5" s="75"/>
      <c r="Q5" s="75"/>
      <c r="R5" s="597"/>
      <c r="S5" s="597"/>
      <c r="T5" s="75"/>
      <c r="U5" s="75"/>
      <c r="V5" s="75"/>
      <c r="W5" s="75"/>
      <c r="X5" s="75"/>
      <c r="Y5" s="597"/>
      <c r="Z5" s="597"/>
      <c r="AA5" s="75"/>
      <c r="AB5" s="75"/>
      <c r="AC5" s="75"/>
      <c r="AD5" s="75"/>
      <c r="AE5" s="75"/>
      <c r="AF5" s="597"/>
      <c r="AG5" s="597"/>
      <c r="AH5" s="75"/>
      <c r="AI5" s="75"/>
      <c r="AJ5" s="75"/>
      <c r="AK5" s="75"/>
      <c r="AL5" s="75"/>
      <c r="AM5" s="597"/>
      <c r="AN5" s="597"/>
      <c r="AO5" s="75"/>
      <c r="AP5" s="75"/>
      <c r="AQ5" s="75"/>
      <c r="AR5" s="75"/>
      <c r="AS5" s="75"/>
      <c r="AT5" s="597"/>
      <c r="AU5" s="597"/>
      <c r="AV5" s="75"/>
      <c r="AW5" s="75"/>
      <c r="AX5" s="75"/>
      <c r="AY5" s="75"/>
      <c r="AZ5" s="75"/>
      <c r="BA5" s="597"/>
      <c r="BB5" s="597"/>
      <c r="BC5" s="75"/>
      <c r="BD5" s="75"/>
      <c r="BE5" s="75"/>
      <c r="BF5" s="75"/>
      <c r="BG5" s="75"/>
      <c r="BH5" s="597"/>
      <c r="BI5" s="597"/>
    </row>
    <row r="6" spans="1:61" ht="15.75">
      <c r="A6" s="605" t="s">
        <v>468</v>
      </c>
      <c r="B6" s="606" t="s">
        <v>0</v>
      </c>
      <c r="C6" s="606" t="s">
        <v>0</v>
      </c>
      <c r="D6" s="606"/>
      <c r="E6" s="601">
        <f ca="1">IF($C6&gt;=$A$3,0,1)</f>
        <v>0</v>
      </c>
      <c r="F6" s="145" t="s">
        <v>0</v>
      </c>
      <c r="G6" s="40"/>
      <c r="H6" s="40"/>
      <c r="I6" s="40"/>
      <c r="J6" s="40"/>
      <c r="K6" s="598"/>
      <c r="L6" s="598"/>
      <c r="M6" s="40"/>
      <c r="N6" s="40"/>
      <c r="O6" s="40"/>
      <c r="P6" s="40"/>
      <c r="Q6" s="40"/>
      <c r="R6" s="599"/>
      <c r="S6" s="599"/>
      <c r="T6" s="40"/>
      <c r="U6" s="40"/>
      <c r="V6" s="40"/>
      <c r="W6" s="40"/>
      <c r="X6" s="40"/>
      <c r="Y6" s="599"/>
      <c r="Z6" s="599"/>
      <c r="AA6" s="40"/>
      <c r="AB6" s="40"/>
      <c r="AC6" s="40"/>
      <c r="AD6" s="40"/>
      <c r="AE6" s="40"/>
      <c r="AF6" s="599"/>
      <c r="AG6" s="599"/>
      <c r="AH6" s="40"/>
      <c r="AI6" s="40"/>
      <c r="AJ6" s="40"/>
      <c r="AK6" s="40"/>
      <c r="AL6" s="40"/>
      <c r="AM6" s="599"/>
      <c r="AN6" s="599"/>
      <c r="AO6" s="40"/>
      <c r="AP6" s="40"/>
      <c r="AQ6" s="40"/>
      <c r="AR6" s="40"/>
      <c r="AS6" s="40"/>
      <c r="AT6" s="599"/>
      <c r="AU6" s="599"/>
      <c r="AV6" s="40"/>
      <c r="AW6" s="40"/>
      <c r="AX6" s="40"/>
      <c r="AY6" s="40"/>
      <c r="AZ6" s="40"/>
      <c r="BA6" s="599"/>
      <c r="BB6" s="599"/>
      <c r="BC6" s="40"/>
      <c r="BD6" s="40"/>
      <c r="BE6" s="40"/>
      <c r="BF6" s="40"/>
      <c r="BG6" s="40"/>
      <c r="BH6" s="599"/>
      <c r="BI6" s="599"/>
    </row>
    <row r="7" spans="1:61" s="23" customFormat="1" ht="15.75">
      <c r="A7" s="648" t="s">
        <v>428</v>
      </c>
      <c r="B7" s="607">
        <f>S.QtimeStart</f>
        <v>0</v>
      </c>
      <c r="C7" s="607">
        <f>S.QtimeEnd</f>
        <v>41820</v>
      </c>
      <c r="D7" s="607"/>
      <c r="E7" s="601">
        <f t="shared" ref="E7:E57" ca="1" si="2">IF($C7&gt;=$A$3,0,1)</f>
        <v>1</v>
      </c>
      <c r="F7" s="40"/>
      <c r="G7" s="40"/>
      <c r="H7" s="40"/>
      <c r="I7" s="40"/>
      <c r="J7" s="40"/>
      <c r="K7" s="598"/>
      <c r="L7" s="598"/>
      <c r="M7" s="40"/>
      <c r="N7" s="40"/>
      <c r="O7" s="40"/>
      <c r="P7" s="40"/>
      <c r="Q7" s="40"/>
      <c r="R7" s="599"/>
      <c r="S7" s="599"/>
      <c r="T7" s="40"/>
      <c r="U7" s="40"/>
      <c r="V7" s="40"/>
      <c r="W7" s="40"/>
      <c r="X7" s="40"/>
      <c r="Y7" s="599"/>
      <c r="Z7" s="599"/>
      <c r="AA7" s="40"/>
      <c r="AB7" s="40"/>
      <c r="AC7" s="40"/>
      <c r="AD7" s="40"/>
      <c r="AE7" s="40"/>
      <c r="AF7" s="599"/>
      <c r="AG7" s="599"/>
      <c r="AH7" s="40"/>
      <c r="AI7" s="40"/>
      <c r="AJ7" s="40"/>
      <c r="AK7" s="40"/>
      <c r="AL7" s="40"/>
      <c r="AM7" s="599"/>
      <c r="AN7" s="599"/>
      <c r="AO7" s="40"/>
      <c r="AP7" s="40"/>
      <c r="AQ7" s="40"/>
      <c r="AR7" s="40"/>
      <c r="AS7" s="40"/>
      <c r="AT7" s="599"/>
      <c r="AU7" s="599"/>
      <c r="AV7" s="40"/>
      <c r="AW7" s="40"/>
      <c r="AX7" s="40"/>
      <c r="AY7" s="40"/>
      <c r="AZ7" s="40"/>
      <c r="BA7" s="599"/>
      <c r="BB7" s="599"/>
      <c r="BC7" s="40"/>
      <c r="BD7" s="40"/>
      <c r="BE7" s="40"/>
      <c r="BF7" s="40"/>
      <c r="BG7" s="40"/>
      <c r="BH7" s="599"/>
      <c r="BI7" s="599"/>
    </row>
    <row r="8" spans="1:61" s="23" customFormat="1" ht="15.75">
      <c r="A8" s="648" t="s">
        <v>429</v>
      </c>
      <c r="B8" s="607">
        <f>S.Planning.AddConceptToPlanDate</f>
        <v>41820</v>
      </c>
      <c r="C8" s="607">
        <f>B8</f>
        <v>41820</v>
      </c>
      <c r="D8" s="607"/>
      <c r="E8" s="601">
        <f t="shared" ca="1" si="2"/>
        <v>1</v>
      </c>
      <c r="F8" s="40"/>
      <c r="G8" s="40"/>
      <c r="H8" s="40"/>
      <c r="I8" s="40"/>
      <c r="J8" s="40"/>
      <c r="K8" s="598"/>
      <c r="L8" s="598"/>
      <c r="M8" s="40"/>
      <c r="N8" s="40"/>
      <c r="O8" s="40"/>
      <c r="P8" s="40"/>
      <c r="Q8" s="40"/>
      <c r="R8" s="599"/>
      <c r="S8" s="599"/>
      <c r="T8" s="40"/>
      <c r="U8" s="40"/>
      <c r="V8" s="40"/>
      <c r="W8" s="40"/>
      <c r="X8" s="40"/>
      <c r="Y8" s="599"/>
      <c r="Z8" s="599"/>
      <c r="AA8" s="40"/>
      <c r="AB8" s="40"/>
      <c r="AC8" s="40"/>
      <c r="AD8" s="40"/>
      <c r="AE8" s="40"/>
      <c r="AF8" s="599"/>
      <c r="AG8" s="599"/>
      <c r="AH8" s="40"/>
      <c r="AI8" s="40"/>
      <c r="AJ8" s="40"/>
      <c r="AK8" s="40"/>
      <c r="AL8" s="40"/>
      <c r="AM8" s="599"/>
      <c r="AN8" s="599"/>
      <c r="AO8" s="40"/>
      <c r="AP8" s="40"/>
      <c r="AQ8" s="40"/>
      <c r="AR8" s="40"/>
      <c r="AS8" s="40"/>
      <c r="AT8" s="599"/>
      <c r="AU8" s="599"/>
      <c r="AV8" s="40"/>
      <c r="AW8" s="40"/>
      <c r="AX8" s="40"/>
      <c r="AY8" s="40"/>
      <c r="AZ8" s="40"/>
      <c r="BA8" s="599"/>
      <c r="BB8" s="599"/>
      <c r="BC8" s="40"/>
      <c r="BD8" s="40"/>
      <c r="BE8" s="40"/>
      <c r="BF8" s="40"/>
      <c r="BG8" s="40"/>
      <c r="BH8" s="599"/>
      <c r="BI8" s="599"/>
    </row>
    <row r="9" spans="1:61" ht="15.75">
      <c r="A9" s="648" t="s">
        <v>430</v>
      </c>
      <c r="B9" s="607">
        <f>S.PlanningKickoff</f>
        <v>41820</v>
      </c>
      <c r="C9" s="607">
        <f>B9</f>
        <v>41820</v>
      </c>
      <c r="D9" s="607"/>
      <c r="E9" s="601">
        <f t="shared" ca="1" si="2"/>
        <v>1</v>
      </c>
      <c r="F9" s="40"/>
      <c r="G9" s="40"/>
      <c r="H9" s="40"/>
      <c r="I9" s="40"/>
      <c r="J9" s="40"/>
      <c r="K9" s="598"/>
      <c r="L9" s="598"/>
      <c r="M9" s="40"/>
      <c r="N9" s="40"/>
      <c r="O9" s="40"/>
      <c r="P9" s="40"/>
      <c r="Q9" s="40"/>
      <c r="R9" s="599"/>
      <c r="S9" s="599"/>
      <c r="T9" s="40"/>
      <c r="U9" s="40"/>
      <c r="V9" s="40"/>
      <c r="W9" s="40"/>
      <c r="X9" s="40"/>
      <c r="Y9" s="599"/>
      <c r="Z9" s="599"/>
      <c r="AA9" s="40"/>
      <c r="AB9" s="40"/>
      <c r="AC9" s="40"/>
      <c r="AD9" s="40"/>
      <c r="AE9" s="40"/>
      <c r="AF9" s="599"/>
      <c r="AG9" s="599"/>
      <c r="AH9" s="40"/>
      <c r="AI9" s="40"/>
      <c r="AJ9" s="40"/>
      <c r="AK9" s="40"/>
      <c r="AL9" s="40"/>
      <c r="AM9" s="599"/>
      <c r="AN9" s="599"/>
      <c r="AO9" s="40"/>
      <c r="AP9" s="40"/>
      <c r="AQ9" s="40"/>
      <c r="AR9" s="40"/>
      <c r="AS9" s="40"/>
      <c r="AT9" s="599"/>
      <c r="AU9" s="599"/>
      <c r="AV9" s="40"/>
      <c r="AW9" s="40"/>
      <c r="AX9" s="40"/>
      <c r="AY9" s="40"/>
      <c r="AZ9" s="40"/>
      <c r="BA9" s="599"/>
      <c r="BB9" s="599"/>
      <c r="BC9" s="40"/>
      <c r="BD9" s="40"/>
      <c r="BE9" s="40"/>
      <c r="BF9" s="40"/>
      <c r="BG9" s="40"/>
      <c r="BH9" s="599"/>
      <c r="BI9" s="599"/>
    </row>
    <row r="10" spans="1:61" ht="15.75">
      <c r="A10" s="608" t="s">
        <v>431</v>
      </c>
      <c r="B10" s="607" t="s">
        <v>0</v>
      </c>
      <c r="C10" s="607" t="s">
        <v>0</v>
      </c>
      <c r="D10" s="607"/>
      <c r="E10" s="601">
        <f t="shared" ca="1" si="2"/>
        <v>0</v>
      </c>
      <c r="F10" s="40"/>
      <c r="G10" s="40"/>
      <c r="H10" s="40"/>
      <c r="I10" s="40"/>
      <c r="J10" s="600"/>
      <c r="K10" s="598"/>
      <c r="L10" s="598"/>
      <c r="M10" s="40"/>
      <c r="N10" s="40"/>
      <c r="O10" s="40"/>
      <c r="P10" s="40"/>
      <c r="Q10" s="40"/>
      <c r="R10" s="599"/>
      <c r="S10" s="599"/>
      <c r="T10" s="40"/>
      <c r="U10" s="40"/>
      <c r="V10" s="40"/>
      <c r="W10" s="40"/>
      <c r="X10" s="40"/>
      <c r="Y10" s="599"/>
      <c r="Z10" s="599"/>
      <c r="AA10" s="40"/>
      <c r="AB10" s="40"/>
      <c r="AC10" s="40"/>
      <c r="AD10" s="40"/>
      <c r="AE10" s="40"/>
      <c r="AF10" s="599"/>
      <c r="AG10" s="599"/>
      <c r="AH10" s="40"/>
      <c r="AI10" s="40"/>
      <c r="AJ10" s="40"/>
      <c r="AK10" s="40"/>
      <c r="AL10" s="40"/>
      <c r="AM10" s="599"/>
      <c r="AN10" s="599"/>
      <c r="AO10" s="40"/>
      <c r="AP10" s="40"/>
      <c r="AQ10" s="40"/>
      <c r="AR10" s="40"/>
      <c r="AS10" s="40"/>
      <c r="AT10" s="599"/>
      <c r="AU10" s="599"/>
      <c r="AV10" s="40"/>
      <c r="AW10" s="40"/>
      <c r="AX10" s="40"/>
      <c r="AY10" s="40"/>
      <c r="AZ10" s="40"/>
      <c r="BA10" s="599"/>
      <c r="BB10" s="599"/>
      <c r="BC10" s="40"/>
      <c r="BD10" s="40"/>
      <c r="BE10" s="40"/>
      <c r="BF10" s="40"/>
      <c r="BG10" s="40"/>
      <c r="BH10" s="599"/>
      <c r="BI10" s="599"/>
    </row>
    <row r="11" spans="1:61" s="23" customFormat="1" ht="15.75">
      <c r="A11" s="648" t="s">
        <v>432</v>
      </c>
      <c r="B11" s="607">
        <f>S.Planning.DraftWorkbooksStart</f>
        <v>41820</v>
      </c>
      <c r="C11" s="607">
        <f>S.Planning.DraftWorkbooksEnd</f>
        <v>41820</v>
      </c>
      <c r="D11" s="607"/>
      <c r="E11" s="601">
        <f t="shared" ca="1" si="2"/>
        <v>1</v>
      </c>
      <c r="F11" s="40"/>
      <c r="G11" s="40"/>
      <c r="H11" s="40"/>
      <c r="I11" s="40"/>
      <c r="J11" s="40"/>
      <c r="K11" s="598"/>
      <c r="L11" s="598"/>
      <c r="M11" s="40"/>
      <c r="N11" s="40"/>
      <c r="O11" s="40"/>
      <c r="P11" s="40"/>
      <c r="Q11" s="40"/>
      <c r="R11" s="599"/>
      <c r="S11" s="599"/>
      <c r="T11" s="40"/>
      <c r="U11" s="40"/>
      <c r="V11" s="40"/>
      <c r="W11" s="40"/>
      <c r="X11" s="40"/>
      <c r="Y11" s="599"/>
      <c r="Z11" s="599"/>
      <c r="AA11" s="40"/>
      <c r="AB11" s="40"/>
      <c r="AC11" s="40"/>
      <c r="AD11" s="40"/>
      <c r="AE11" s="40"/>
      <c r="AF11" s="599"/>
      <c r="AG11" s="599"/>
      <c r="AH11" s="40"/>
      <c r="AI11" s="40"/>
      <c r="AJ11" s="40"/>
      <c r="AK11" s="40"/>
      <c r="AL11" s="40"/>
      <c r="AM11" s="599"/>
      <c r="AN11" s="599"/>
      <c r="AO11" s="40"/>
      <c r="AP11" s="40"/>
      <c r="AQ11" s="40"/>
      <c r="AR11" s="40"/>
      <c r="AS11" s="40"/>
      <c r="AT11" s="599"/>
      <c r="AU11" s="599"/>
      <c r="AV11" s="40"/>
      <c r="AW11" s="40"/>
      <c r="AX11" s="40"/>
      <c r="AY11" s="40"/>
      <c r="AZ11" s="40"/>
      <c r="BA11" s="599"/>
      <c r="BB11" s="599"/>
      <c r="BC11" s="40"/>
      <c r="BD11" s="40"/>
      <c r="BE11" s="40"/>
      <c r="BF11" s="40"/>
      <c r="BG11" s="40"/>
      <c r="BH11" s="599"/>
      <c r="BI11" s="599"/>
    </row>
    <row r="12" spans="1:61" ht="15.75">
      <c r="A12" s="648" t="s">
        <v>433</v>
      </c>
      <c r="B12" s="607">
        <f>S.Planning.CommunicationMeeting</f>
        <v>41820</v>
      </c>
      <c r="C12" s="607">
        <f>B12</f>
        <v>41820</v>
      </c>
      <c r="D12" s="607"/>
      <c r="E12" s="601">
        <f t="shared" ca="1" si="2"/>
        <v>1</v>
      </c>
      <c r="F12" s="40"/>
      <c r="G12" s="40"/>
      <c r="H12" s="40"/>
      <c r="I12" s="40"/>
      <c r="J12" s="40"/>
      <c r="K12" s="598"/>
      <c r="L12" s="598"/>
      <c r="M12" s="40"/>
      <c r="N12" s="40"/>
      <c r="O12" s="40"/>
      <c r="P12" s="40"/>
      <c r="Q12" s="40"/>
      <c r="R12" s="599"/>
      <c r="S12" s="599"/>
      <c r="T12" s="40"/>
      <c r="U12" s="40"/>
      <c r="V12" s="40"/>
      <c r="W12" s="40"/>
      <c r="X12" s="40"/>
      <c r="Y12" s="599"/>
      <c r="Z12" s="599"/>
      <c r="AA12" s="40"/>
      <c r="AB12" s="40"/>
      <c r="AC12" s="40"/>
      <c r="AD12" s="40"/>
      <c r="AE12" s="40"/>
      <c r="AF12" s="599"/>
      <c r="AG12" s="599"/>
      <c r="AH12" s="40"/>
      <c r="AI12" s="40"/>
      <c r="AJ12" s="40"/>
      <c r="AK12" s="40"/>
      <c r="AL12" s="40"/>
      <c r="AM12" s="599"/>
      <c r="AN12" s="599"/>
      <c r="AO12" s="40"/>
      <c r="AP12" s="40"/>
      <c r="AQ12" s="40"/>
      <c r="AR12" s="40"/>
      <c r="AS12" s="40"/>
      <c r="AT12" s="599"/>
      <c r="AU12" s="599"/>
      <c r="AV12" s="40"/>
      <c r="AW12" s="40"/>
      <c r="AX12" s="40"/>
      <c r="AY12" s="40"/>
      <c r="AZ12" s="40"/>
      <c r="BA12" s="599"/>
      <c r="BB12" s="599"/>
      <c r="BC12" s="40"/>
      <c r="BD12" s="40"/>
      <c r="BE12" s="40"/>
      <c r="BF12" s="40"/>
      <c r="BG12" s="40"/>
      <c r="BH12" s="599"/>
      <c r="BI12" s="599"/>
    </row>
    <row r="13" spans="1:61" s="23" customFormat="1" ht="15.75">
      <c r="A13" s="605" t="s">
        <v>470</v>
      </c>
      <c r="B13" s="607">
        <f>S.DIRECTOR.Approves.ForDEQRulemakingPlan</f>
        <v>41820</v>
      </c>
      <c r="C13" s="607">
        <f>S.Overview.BANNER.End</f>
        <v>42170</v>
      </c>
      <c r="D13" s="607"/>
      <c r="E13" s="601">
        <f t="shared" ca="1" si="2"/>
        <v>0</v>
      </c>
      <c r="F13" s="40"/>
      <c r="G13" s="40"/>
      <c r="H13" s="40"/>
      <c r="I13" s="40"/>
      <c r="J13" s="40"/>
      <c r="K13" s="598"/>
      <c r="L13" s="598"/>
      <c r="M13" s="40"/>
      <c r="N13" s="40"/>
      <c r="O13" s="40"/>
      <c r="P13" s="40"/>
      <c r="Q13" s="40"/>
      <c r="R13" s="599"/>
      <c r="S13" s="599"/>
      <c r="T13" s="40"/>
      <c r="U13" s="40"/>
      <c r="V13" s="40"/>
      <c r="W13" s="40"/>
      <c r="X13" s="40"/>
      <c r="Y13" s="599"/>
      <c r="Z13" s="599"/>
      <c r="AA13" s="40"/>
      <c r="AB13" s="40"/>
      <c r="AC13" s="40"/>
      <c r="AD13" s="40"/>
      <c r="AE13" s="40"/>
      <c r="AF13" s="599"/>
      <c r="AG13" s="599"/>
      <c r="AH13" s="40"/>
      <c r="AI13" s="40"/>
      <c r="AJ13" s="40"/>
      <c r="AK13" s="40"/>
      <c r="AL13" s="40"/>
      <c r="AM13" s="599"/>
      <c r="AN13" s="599"/>
      <c r="AO13" s="40"/>
      <c r="AP13" s="40"/>
      <c r="AQ13" s="40"/>
      <c r="AR13" s="40"/>
      <c r="AS13" s="40"/>
      <c r="AT13" s="599"/>
      <c r="AU13" s="599"/>
      <c r="AV13" s="40"/>
      <c r="AW13" s="40"/>
      <c r="AX13" s="40"/>
      <c r="AY13" s="40"/>
      <c r="AZ13" s="40"/>
      <c r="BA13" s="599"/>
      <c r="BB13" s="599"/>
      <c r="BC13" s="40"/>
      <c r="BD13" s="40"/>
      <c r="BE13" s="40"/>
      <c r="BF13" s="40"/>
      <c r="BG13" s="40"/>
      <c r="BH13" s="599"/>
      <c r="BI13" s="599"/>
    </row>
    <row r="14" spans="1:61" s="23" customFormat="1" ht="15.75">
      <c r="A14" s="648" t="s">
        <v>471</v>
      </c>
      <c r="B14" s="607">
        <f>CodeName.ScheduleOfTasks!G272</f>
        <v>0</v>
      </c>
      <c r="C14" s="607">
        <f>CodeName.ScheduleOfTasks!H272</f>
        <v>0</v>
      </c>
      <c r="D14" s="607"/>
      <c r="E14" s="601">
        <f t="shared" ca="1" si="2"/>
        <v>1</v>
      </c>
      <c r="F14" s="40"/>
      <c r="G14" s="40"/>
      <c r="H14" s="40"/>
      <c r="I14" s="40"/>
      <c r="J14" s="40"/>
      <c r="K14" s="598"/>
      <c r="L14" s="598"/>
      <c r="M14" s="40"/>
      <c r="N14" s="40"/>
      <c r="O14" s="40"/>
      <c r="P14" s="40"/>
      <c r="Q14" s="40"/>
      <c r="R14" s="599"/>
      <c r="S14" s="599"/>
      <c r="T14" s="40"/>
      <c r="U14" s="40"/>
      <c r="V14" s="40"/>
      <c r="W14" s="40"/>
      <c r="X14" s="40"/>
      <c r="Y14" s="599"/>
      <c r="Z14" s="599"/>
      <c r="AA14" s="40"/>
      <c r="AB14" s="40"/>
      <c r="AC14" s="40"/>
      <c r="AD14" s="40"/>
      <c r="AE14" s="40"/>
      <c r="AF14" s="599"/>
      <c r="AG14" s="599"/>
      <c r="AH14" s="40"/>
      <c r="AI14" s="40"/>
      <c r="AJ14" s="40"/>
      <c r="AK14" s="40"/>
      <c r="AL14" s="40"/>
      <c r="AM14" s="599"/>
      <c r="AN14" s="599"/>
      <c r="AO14" s="40"/>
      <c r="AP14" s="40"/>
      <c r="AQ14" s="40"/>
      <c r="AR14" s="40"/>
      <c r="AS14" s="40"/>
      <c r="AT14" s="599"/>
      <c r="AU14" s="599"/>
      <c r="AV14" s="40"/>
      <c r="AW14" s="40"/>
      <c r="AX14" s="40"/>
      <c r="AY14" s="40"/>
      <c r="AZ14" s="40"/>
      <c r="BA14" s="599"/>
      <c r="BB14" s="599"/>
      <c r="BC14" s="40"/>
      <c r="BD14" s="40"/>
      <c r="BE14" s="40"/>
      <c r="BF14" s="40"/>
      <c r="BG14" s="40"/>
      <c r="BH14" s="599"/>
      <c r="BI14" s="599"/>
    </row>
    <row r="15" spans="1:61" s="23" customFormat="1" ht="15.75">
      <c r="A15" s="648" t="s">
        <v>472</v>
      </c>
      <c r="B15" s="607">
        <f>S.Notice.StartDraft</f>
        <v>41820</v>
      </c>
      <c r="C15" s="607">
        <f>CodeName.ScheduleOfTasks!H600</f>
        <v>0</v>
      </c>
      <c r="D15" s="607"/>
      <c r="E15" s="601">
        <f t="shared" ca="1" si="2"/>
        <v>1</v>
      </c>
      <c r="F15" s="40"/>
      <c r="G15" s="40"/>
      <c r="H15" s="40"/>
      <c r="I15" s="40"/>
      <c r="J15" s="40"/>
      <c r="K15" s="598"/>
      <c r="L15" s="598"/>
      <c r="M15" s="40"/>
      <c r="N15" s="40"/>
      <c r="O15" s="40"/>
      <c r="P15" s="40"/>
      <c r="Q15" s="40"/>
      <c r="R15" s="599"/>
      <c r="S15" s="599"/>
      <c r="T15" s="40"/>
      <c r="U15" s="40"/>
      <c r="V15" s="40"/>
      <c r="W15" s="40"/>
      <c r="X15" s="40"/>
      <c r="Y15" s="599"/>
      <c r="Z15" s="599"/>
      <c r="AA15" s="40"/>
      <c r="AB15" s="40"/>
      <c r="AC15" s="40"/>
      <c r="AD15" s="40"/>
      <c r="AE15" s="40"/>
      <c r="AF15" s="599"/>
      <c r="AG15" s="599"/>
      <c r="AH15" s="40"/>
      <c r="AI15" s="40"/>
      <c r="AJ15" s="40"/>
      <c r="AK15" s="40"/>
      <c r="AL15" s="40"/>
      <c r="AM15" s="599"/>
      <c r="AN15" s="599"/>
      <c r="AO15" s="40"/>
      <c r="AP15" s="40"/>
      <c r="AQ15" s="40"/>
      <c r="AR15" s="40"/>
      <c r="AS15" s="40"/>
      <c r="AT15" s="599"/>
      <c r="AU15" s="599"/>
      <c r="AV15" s="40"/>
      <c r="AW15" s="40"/>
      <c r="AX15" s="40"/>
      <c r="AY15" s="40"/>
      <c r="AZ15" s="40"/>
      <c r="BA15" s="599"/>
      <c r="BB15" s="599"/>
      <c r="BC15" s="40"/>
      <c r="BD15" s="40"/>
      <c r="BE15" s="40"/>
      <c r="BF15" s="40"/>
      <c r="BG15" s="40"/>
      <c r="BH15" s="599"/>
      <c r="BI15" s="599"/>
    </row>
    <row r="16" spans="1:61" s="23" customFormat="1" ht="15.75">
      <c r="A16" s="648" t="s">
        <v>473</v>
      </c>
      <c r="B16" s="607">
        <f>CodeName.ScheduleOfTasks!G751</f>
        <v>0</v>
      </c>
      <c r="C16" s="607">
        <f>CodeName.ScheduleOfTasks!H751</f>
        <v>0</v>
      </c>
      <c r="D16" s="607"/>
      <c r="E16" s="601">
        <f t="shared" ca="1" si="2"/>
        <v>1</v>
      </c>
      <c r="F16" s="40"/>
      <c r="G16" s="40"/>
      <c r="H16" s="40"/>
      <c r="I16" s="40"/>
      <c r="J16" s="40"/>
      <c r="K16" s="598"/>
      <c r="L16" s="598"/>
      <c r="M16" s="40"/>
      <c r="N16" s="40"/>
      <c r="O16" s="40"/>
      <c r="P16" s="40"/>
      <c r="Q16" s="40"/>
      <c r="R16" s="599"/>
      <c r="S16" s="599"/>
      <c r="T16" s="40"/>
      <c r="U16" s="40"/>
      <c r="V16" s="40"/>
      <c r="W16" s="40"/>
      <c r="X16" s="40"/>
      <c r="Y16" s="599"/>
      <c r="Z16" s="599"/>
      <c r="AA16" s="40"/>
      <c r="AB16" s="40"/>
      <c r="AC16" s="40"/>
      <c r="AD16" s="40"/>
      <c r="AE16" s="40"/>
      <c r="AF16" s="599"/>
      <c r="AG16" s="599"/>
      <c r="AH16" s="40"/>
      <c r="AI16" s="40"/>
      <c r="AJ16" s="40"/>
      <c r="AK16" s="40"/>
      <c r="AL16" s="40"/>
      <c r="AM16" s="599"/>
      <c r="AN16" s="599"/>
      <c r="AO16" s="40"/>
      <c r="AP16" s="40"/>
      <c r="AQ16" s="40"/>
      <c r="AR16" s="40"/>
      <c r="AS16" s="40"/>
      <c r="AT16" s="599"/>
      <c r="AU16" s="599"/>
      <c r="AV16" s="40"/>
      <c r="AW16" s="40"/>
      <c r="AX16" s="40"/>
      <c r="AY16" s="40"/>
      <c r="AZ16" s="40"/>
      <c r="BA16" s="599"/>
      <c r="BB16" s="599"/>
      <c r="BC16" s="40"/>
      <c r="BD16" s="40"/>
      <c r="BE16" s="40"/>
      <c r="BF16" s="40"/>
      <c r="BG16" s="40"/>
      <c r="BH16" s="599"/>
      <c r="BI16" s="599"/>
    </row>
    <row r="17" spans="1:61" s="23" customFormat="1" ht="15.75">
      <c r="A17" s="648" t="s">
        <v>474</v>
      </c>
      <c r="B17" s="607">
        <f>CodeName.ScheduleOfTasks!H810</f>
        <v>0</v>
      </c>
      <c r="C17" s="607">
        <f>B17</f>
        <v>0</v>
      </c>
      <c r="D17" s="607"/>
      <c r="E17" s="601">
        <f t="shared" ca="1" si="2"/>
        <v>1</v>
      </c>
      <c r="F17" s="40"/>
      <c r="G17" s="40"/>
      <c r="H17" s="40"/>
      <c r="I17" s="40"/>
      <c r="J17" s="40"/>
      <c r="K17" s="598"/>
      <c r="L17" s="598"/>
      <c r="M17" s="40"/>
      <c r="N17" s="40"/>
      <c r="O17" s="40"/>
      <c r="P17" s="40"/>
      <c r="Q17" s="40"/>
      <c r="R17" s="599"/>
      <c r="S17" s="599"/>
      <c r="T17" s="40"/>
      <c r="U17" s="40"/>
      <c r="V17" s="40"/>
      <c r="W17" s="40"/>
      <c r="X17" s="40"/>
      <c r="Y17" s="599"/>
      <c r="Z17" s="599"/>
      <c r="AA17" s="40"/>
      <c r="AB17" s="40"/>
      <c r="AC17" s="40"/>
      <c r="AD17" s="40"/>
      <c r="AE17" s="40"/>
      <c r="AF17" s="599"/>
      <c r="AG17" s="599"/>
      <c r="AH17" s="40"/>
      <c r="AI17" s="40"/>
      <c r="AJ17" s="40"/>
      <c r="AK17" s="40"/>
      <c r="AL17" s="40"/>
      <c r="AM17" s="599"/>
      <c r="AN17" s="599"/>
      <c r="AO17" s="40"/>
      <c r="AP17" s="40"/>
      <c r="AQ17" s="40"/>
      <c r="AR17" s="40"/>
      <c r="AS17" s="40"/>
      <c r="AT17" s="599"/>
      <c r="AU17" s="599"/>
      <c r="AV17" s="40"/>
      <c r="AW17" s="40"/>
      <c r="AX17" s="40"/>
      <c r="AY17" s="40"/>
      <c r="AZ17" s="40"/>
      <c r="BA17" s="599"/>
      <c r="BB17" s="599"/>
      <c r="BC17" s="40"/>
      <c r="BD17" s="40"/>
      <c r="BE17" s="40"/>
      <c r="BF17" s="40"/>
      <c r="BG17" s="40"/>
      <c r="BH17" s="599"/>
      <c r="BI17" s="599"/>
    </row>
    <row r="18" spans="1:61" ht="15.75">
      <c r="A18" s="605" t="s">
        <v>434</v>
      </c>
      <c r="B18"/>
      <c r="C18"/>
      <c r="E18" s="601">
        <f t="shared" ca="1" si="2"/>
        <v>1</v>
      </c>
      <c r="F18" s="40"/>
      <c r="G18" s="40"/>
      <c r="H18" s="40"/>
      <c r="I18" s="40"/>
      <c r="J18" s="40"/>
      <c r="K18" s="598"/>
      <c r="L18" s="598"/>
      <c r="M18" s="40"/>
      <c r="N18" s="40"/>
      <c r="O18" s="40"/>
      <c r="P18" s="40"/>
      <c r="Q18" s="40"/>
      <c r="R18" s="599"/>
      <c r="S18" s="599"/>
      <c r="T18" s="40"/>
      <c r="U18" s="40"/>
      <c r="V18" s="40"/>
      <c r="W18" s="40"/>
      <c r="X18" s="40"/>
      <c r="Y18" s="599"/>
      <c r="Z18" s="599"/>
      <c r="AA18" s="40"/>
      <c r="AB18" s="40"/>
      <c r="AC18" s="40"/>
      <c r="AD18" s="40"/>
      <c r="AE18" s="40"/>
      <c r="AF18" s="599"/>
      <c r="AG18" s="599"/>
      <c r="AH18" s="40"/>
      <c r="AI18" s="40"/>
      <c r="AJ18" s="40"/>
      <c r="AK18" s="40"/>
      <c r="AL18" s="40"/>
      <c r="AM18" s="599"/>
      <c r="AN18" s="599"/>
      <c r="AO18" s="40"/>
      <c r="AP18" s="40"/>
      <c r="AQ18" s="40"/>
      <c r="AR18" s="40"/>
      <c r="AS18" s="40"/>
      <c r="AT18" s="599"/>
      <c r="AU18" s="599"/>
      <c r="AV18" s="40"/>
      <c r="AW18" s="40"/>
      <c r="AX18" s="40"/>
      <c r="AY18" s="40"/>
      <c r="AZ18" s="40"/>
      <c r="BA18" s="599"/>
      <c r="BB18" s="599"/>
      <c r="BC18" s="40"/>
      <c r="BD18" s="40"/>
      <c r="BE18" s="40"/>
      <c r="BF18" s="40"/>
      <c r="BG18" s="40"/>
      <c r="BH18" s="599"/>
      <c r="BI18" s="599"/>
    </row>
    <row r="19" spans="1:61" ht="15.75">
      <c r="A19" s="648" t="s">
        <v>435</v>
      </c>
      <c r="B19" s="607">
        <f>S.Notice.EPA.180days</f>
        <v>41806</v>
      </c>
      <c r="C19" s="607">
        <f>B19</f>
        <v>41806</v>
      </c>
      <c r="D19" s="651"/>
      <c r="E19" s="601">
        <f t="shared" ca="1" si="2"/>
        <v>1</v>
      </c>
      <c r="F19" s="40"/>
      <c r="G19" s="40"/>
      <c r="H19" s="40"/>
      <c r="I19" s="40"/>
      <c r="J19" s="40"/>
      <c r="K19" s="598"/>
      <c r="L19" s="598"/>
      <c r="M19" s="40"/>
      <c r="N19" s="40"/>
      <c r="O19" s="40"/>
      <c r="P19" s="40"/>
      <c r="Q19" s="40"/>
      <c r="R19" s="599"/>
      <c r="S19" s="599"/>
      <c r="T19" s="40"/>
      <c r="U19" s="40"/>
      <c r="V19" s="40"/>
      <c r="W19" s="40"/>
      <c r="X19" s="40"/>
      <c r="Y19" s="599"/>
      <c r="Z19" s="599"/>
      <c r="AA19" s="40"/>
      <c r="AB19" s="40"/>
      <c r="AC19" s="40"/>
      <c r="AD19" s="40"/>
      <c r="AE19" s="40"/>
      <c r="AF19" s="599"/>
      <c r="AG19" s="599"/>
      <c r="AH19" s="40"/>
      <c r="AI19" s="40"/>
      <c r="AJ19" s="40"/>
      <c r="AK19" s="40"/>
      <c r="AL19" s="40"/>
      <c r="AM19" s="599"/>
      <c r="AN19" s="599"/>
      <c r="AO19" s="40"/>
      <c r="AP19" s="40"/>
      <c r="AQ19" s="40"/>
      <c r="AR19" s="40"/>
      <c r="AS19" s="40"/>
      <c r="AT19" s="599"/>
      <c r="AU19" s="599"/>
      <c r="AV19" s="40"/>
      <c r="AW19" s="40"/>
      <c r="AX19" s="40"/>
      <c r="AY19" s="40"/>
      <c r="AZ19" s="40"/>
      <c r="BA19" s="599"/>
      <c r="BB19" s="599"/>
      <c r="BC19" s="40"/>
      <c r="BD19" s="40"/>
      <c r="BE19" s="40"/>
      <c r="BF19" s="40"/>
      <c r="BG19" s="40"/>
      <c r="BH19" s="599"/>
      <c r="BI19" s="599"/>
    </row>
    <row r="20" spans="1:61" ht="15.75">
      <c r="A20" s="648" t="s">
        <v>436</v>
      </c>
      <c r="B20" s="607" t="e">
        <f>S.Notice.EPA.45day</f>
        <v>#NAME?</v>
      </c>
      <c r="C20" s="607" t="e">
        <f>B20</f>
        <v>#NAME?</v>
      </c>
      <c r="D20" s="607"/>
      <c r="E20" s="601" t="e">
        <f t="shared" ca="1" si="2"/>
        <v>#NAME?</v>
      </c>
      <c r="F20" s="40"/>
      <c r="G20" s="40"/>
      <c r="H20" s="40"/>
      <c r="I20" s="40"/>
      <c r="J20" s="40"/>
      <c r="K20" s="598"/>
      <c r="L20" s="598"/>
      <c r="M20" s="40"/>
      <c r="N20" s="40"/>
      <c r="O20" s="40"/>
      <c r="P20" s="40"/>
      <c r="Q20" s="40"/>
      <c r="R20" s="599"/>
      <c r="S20" s="599"/>
      <c r="T20" s="40"/>
      <c r="U20" s="40"/>
      <c r="V20" s="40"/>
      <c r="W20" s="40"/>
      <c r="X20" s="40"/>
      <c r="Y20" s="599"/>
      <c r="Z20" s="599"/>
      <c r="AA20" s="40"/>
      <c r="AB20" s="40"/>
      <c r="AC20" s="40"/>
      <c r="AD20" s="40"/>
      <c r="AE20" s="40"/>
      <c r="AF20" s="599"/>
      <c r="AG20" s="599"/>
      <c r="AH20" s="40"/>
      <c r="AI20" s="40"/>
      <c r="AJ20" s="40"/>
      <c r="AK20" s="40"/>
      <c r="AL20" s="40"/>
      <c r="AM20" s="599"/>
      <c r="AN20" s="599"/>
      <c r="AO20" s="40"/>
      <c r="AP20" s="40"/>
      <c r="AQ20" s="40"/>
      <c r="AR20" s="40"/>
      <c r="AS20" s="40"/>
      <c r="AT20" s="599"/>
      <c r="AU20" s="599"/>
      <c r="AV20" s="40"/>
      <c r="AW20" s="40"/>
      <c r="AX20" s="40"/>
      <c r="AY20" s="40"/>
      <c r="AZ20" s="40"/>
      <c r="BA20" s="599"/>
      <c r="BB20" s="599"/>
      <c r="BC20" s="40"/>
      <c r="BD20" s="40"/>
      <c r="BE20" s="40"/>
      <c r="BF20" s="40"/>
      <c r="BG20" s="40"/>
      <c r="BH20" s="599"/>
      <c r="BI20" s="599"/>
    </row>
    <row r="21" spans="1:61" ht="15.75">
      <c r="A21" s="648" t="s">
        <v>437</v>
      </c>
      <c r="B21" s="607">
        <f>S.PostEQC.SubmitSIPToEPA</f>
        <v>42138</v>
      </c>
      <c r="C21" s="607">
        <f>B21</f>
        <v>42138</v>
      </c>
      <c r="D21" s="607"/>
      <c r="E21" s="601">
        <f t="shared" ca="1" si="2"/>
        <v>0</v>
      </c>
      <c r="F21" s="40"/>
      <c r="G21" s="40"/>
      <c r="H21" s="40"/>
      <c r="I21" s="40"/>
      <c r="J21" s="40"/>
      <c r="K21" s="598"/>
      <c r="L21" s="598"/>
      <c r="M21" s="40"/>
      <c r="N21" s="40"/>
      <c r="O21" s="40"/>
      <c r="P21" s="40"/>
      <c r="Q21" s="40"/>
      <c r="R21" s="599"/>
      <c r="S21" s="599"/>
      <c r="T21" s="40"/>
      <c r="U21" s="40"/>
      <c r="V21" s="40"/>
      <c r="W21" s="40"/>
      <c r="X21" s="40"/>
      <c r="Y21" s="599"/>
      <c r="Z21" s="599"/>
      <c r="AA21" s="40"/>
      <c r="AB21" s="40"/>
      <c r="AC21" s="40"/>
      <c r="AD21" s="40"/>
      <c r="AE21" s="40"/>
      <c r="AF21" s="599"/>
      <c r="AG21" s="599"/>
      <c r="AH21" s="40"/>
      <c r="AI21" s="40"/>
      <c r="AJ21" s="40"/>
      <c r="AK21" s="40"/>
      <c r="AL21" s="40"/>
      <c r="AM21" s="599"/>
      <c r="AN21" s="599"/>
      <c r="AO21" s="40"/>
      <c r="AP21" s="40"/>
      <c r="AQ21" s="40"/>
      <c r="AR21" s="40"/>
      <c r="AS21" s="40"/>
      <c r="AT21" s="599"/>
      <c r="AU21" s="599"/>
      <c r="AV21" s="40"/>
      <c r="AW21" s="40"/>
      <c r="AX21" s="40"/>
      <c r="AY21" s="40"/>
      <c r="AZ21" s="40"/>
      <c r="BA21" s="599"/>
      <c r="BB21" s="599"/>
      <c r="BC21" s="40"/>
      <c r="BD21" s="40"/>
      <c r="BE21" s="40"/>
      <c r="BF21" s="40"/>
      <c r="BG21" s="40"/>
      <c r="BH21" s="599"/>
      <c r="BI21" s="599"/>
    </row>
    <row r="22" spans="1:61" ht="15.75">
      <c r="A22" s="605" t="s">
        <v>438</v>
      </c>
      <c r="B22" s="607" t="s">
        <v>0</v>
      </c>
      <c r="C22" s="607" t="s">
        <v>0</v>
      </c>
      <c r="D22" s="607"/>
      <c r="E22" s="601">
        <f t="shared" ca="1" si="2"/>
        <v>0</v>
      </c>
      <c r="F22" s="40"/>
      <c r="G22" s="40"/>
      <c r="H22" s="40"/>
      <c r="I22" s="40"/>
      <c r="J22" s="40"/>
      <c r="K22" s="598"/>
      <c r="L22" s="598"/>
      <c r="M22" s="40"/>
      <c r="N22" s="40"/>
      <c r="O22" s="40"/>
      <c r="P22" s="40"/>
      <c r="Q22" s="40"/>
      <c r="R22" s="599"/>
      <c r="S22" s="599"/>
      <c r="T22" s="40"/>
      <c r="U22" s="40"/>
      <c r="V22" s="40"/>
      <c r="W22" s="40"/>
      <c r="X22" s="40"/>
      <c r="Y22" s="599"/>
      <c r="Z22" s="599"/>
      <c r="AA22" s="40"/>
      <c r="AB22" s="40"/>
      <c r="AC22" s="40"/>
      <c r="AD22" s="40"/>
      <c r="AE22" s="40"/>
      <c r="AF22" s="599"/>
      <c r="AG22" s="599"/>
      <c r="AH22" s="40"/>
      <c r="AI22" s="40"/>
      <c r="AJ22" s="40"/>
      <c r="AK22" s="40"/>
      <c r="AL22" s="40"/>
      <c r="AM22" s="599"/>
      <c r="AN22" s="599"/>
      <c r="AO22" s="40"/>
      <c r="AP22" s="40"/>
      <c r="AQ22" s="40"/>
      <c r="AR22" s="40"/>
      <c r="AS22" s="40"/>
      <c r="AT22" s="599"/>
      <c r="AU22" s="599"/>
      <c r="AV22" s="40"/>
      <c r="AW22" s="40"/>
      <c r="AX22" s="40"/>
      <c r="AY22" s="40"/>
      <c r="AZ22" s="40"/>
      <c r="BA22" s="599"/>
      <c r="BB22" s="599"/>
      <c r="BC22" s="40"/>
      <c r="BD22" s="40"/>
      <c r="BE22" s="40"/>
      <c r="BF22" s="40"/>
      <c r="BG22" s="40"/>
      <c r="BH22" s="599"/>
      <c r="BI22" s="599"/>
    </row>
    <row r="23" spans="1:61" ht="15.75">
      <c r="A23" s="648" t="s">
        <v>439</v>
      </c>
      <c r="B23" s="607">
        <f>S.Fee.SubmitToDAS</f>
        <v>0</v>
      </c>
      <c r="C23" s="607">
        <f>B23</f>
        <v>0</v>
      </c>
      <c r="D23" s="607"/>
      <c r="E23" s="601">
        <f t="shared" ca="1" si="2"/>
        <v>1</v>
      </c>
      <c r="F23" s="40"/>
      <c r="G23" s="40"/>
      <c r="H23" s="40"/>
      <c r="I23" s="40"/>
      <c r="J23" s="40"/>
      <c r="K23" s="598"/>
      <c r="L23" s="598"/>
      <c r="M23" s="40"/>
      <c r="N23" s="40"/>
      <c r="O23" s="40"/>
      <c r="P23" s="40"/>
      <c r="Q23" s="40"/>
      <c r="R23" s="599"/>
      <c r="S23" s="599"/>
      <c r="T23" s="40"/>
      <c r="U23" s="40"/>
      <c r="V23" s="40"/>
      <c r="W23" s="40"/>
      <c r="X23" s="40"/>
      <c r="Y23" s="599"/>
      <c r="Z23" s="599"/>
      <c r="AA23" s="40"/>
      <c r="AB23" s="40"/>
      <c r="AC23" s="40"/>
      <c r="AD23" s="40"/>
      <c r="AE23" s="40"/>
      <c r="AF23" s="599"/>
      <c r="AG23" s="599"/>
      <c r="AH23" s="40"/>
      <c r="AI23" s="40"/>
      <c r="AJ23" s="40"/>
      <c r="AK23" s="40"/>
      <c r="AL23" s="40"/>
      <c r="AM23" s="599"/>
      <c r="AN23" s="599"/>
      <c r="AO23" s="40"/>
      <c r="AP23" s="40"/>
      <c r="AQ23" s="40"/>
      <c r="AR23" s="40"/>
      <c r="AS23" s="40"/>
      <c r="AT23" s="599"/>
      <c r="AU23" s="599"/>
      <c r="AV23" s="40"/>
      <c r="AW23" s="40"/>
      <c r="AX23" s="40"/>
      <c r="AY23" s="40"/>
      <c r="AZ23" s="40"/>
      <c r="BA23" s="599"/>
      <c r="BB23" s="599"/>
      <c r="BC23" s="40"/>
      <c r="BD23" s="40"/>
      <c r="BE23" s="40"/>
      <c r="BF23" s="40"/>
      <c r="BG23" s="40"/>
      <c r="BH23" s="599"/>
      <c r="BI23" s="599"/>
    </row>
    <row r="24" spans="1:61" ht="15.75">
      <c r="A24" s="648" t="s">
        <v>469</v>
      </c>
      <c r="B24" s="607">
        <f>S.PostEQC.SubmitDASPart2</f>
        <v>42083</v>
      </c>
      <c r="C24" s="607">
        <f>B24</f>
        <v>42083</v>
      </c>
      <c r="D24" s="607"/>
      <c r="E24" s="601">
        <f t="shared" ca="1" si="2"/>
        <v>0</v>
      </c>
      <c r="F24" s="40"/>
      <c r="G24" s="40"/>
      <c r="H24" s="40"/>
      <c r="I24" s="40"/>
      <c r="J24" s="40"/>
      <c r="K24" s="598"/>
      <c r="L24" s="598"/>
      <c r="M24" s="40"/>
      <c r="N24" s="40"/>
      <c r="O24" s="40"/>
      <c r="P24" s="40"/>
      <c r="Q24" s="40"/>
      <c r="R24" s="599"/>
      <c r="S24" s="599"/>
      <c r="T24" s="40"/>
      <c r="U24" s="40"/>
      <c r="V24" s="40"/>
      <c r="W24" s="40"/>
      <c r="X24" s="40"/>
      <c r="Y24" s="599"/>
      <c r="Z24" s="599"/>
      <c r="AA24" s="40"/>
      <c r="AB24" s="40"/>
      <c r="AC24" s="40"/>
      <c r="AD24" s="40"/>
      <c r="AE24" s="40"/>
      <c r="AF24" s="599"/>
      <c r="AG24" s="599"/>
      <c r="AH24" s="40"/>
      <c r="AI24" s="40"/>
      <c r="AJ24" s="40"/>
      <c r="AK24" s="40"/>
      <c r="AL24" s="40"/>
      <c r="AM24" s="599"/>
      <c r="AN24" s="599"/>
      <c r="AO24" s="40"/>
      <c r="AP24" s="40"/>
      <c r="AQ24" s="40"/>
      <c r="AR24" s="40"/>
      <c r="AS24" s="40"/>
      <c r="AT24" s="599"/>
      <c r="AU24" s="599"/>
      <c r="AV24" s="40"/>
      <c r="AW24" s="40"/>
      <c r="AX24" s="40"/>
      <c r="AY24" s="40"/>
      <c r="AZ24" s="40"/>
      <c r="BA24" s="599"/>
      <c r="BB24" s="599"/>
      <c r="BC24" s="40"/>
      <c r="BD24" s="40"/>
      <c r="BE24" s="40"/>
      <c r="BF24" s="40"/>
      <c r="BG24" s="40"/>
      <c r="BH24" s="599"/>
      <c r="BI24" s="599"/>
    </row>
    <row r="25" spans="1:61" ht="15.75">
      <c r="A25" s="648" t="s">
        <v>440</v>
      </c>
      <c r="B25" s="607">
        <f>S.Notice.DASNotification</f>
        <v>0</v>
      </c>
      <c r="C25" s="607">
        <f>B25</f>
        <v>0</v>
      </c>
      <c r="D25" s="607"/>
      <c r="E25" s="601">
        <f t="shared" ca="1" si="2"/>
        <v>1</v>
      </c>
      <c r="F25" s="40"/>
      <c r="G25" s="40"/>
      <c r="H25" s="40"/>
      <c r="I25" s="40"/>
      <c r="J25" s="40"/>
      <c r="K25" s="598"/>
      <c r="L25" s="598"/>
      <c r="M25" s="40"/>
      <c r="N25" s="40"/>
      <c r="O25" s="40"/>
      <c r="P25" s="40"/>
      <c r="Q25" s="40"/>
      <c r="R25" s="599"/>
      <c r="S25" s="599"/>
      <c r="T25" s="40"/>
      <c r="U25" s="40"/>
      <c r="V25" s="40"/>
      <c r="W25" s="40"/>
      <c r="X25" s="40"/>
      <c r="Y25" s="599"/>
      <c r="Z25" s="599"/>
      <c r="AA25" s="40"/>
      <c r="AB25" s="40"/>
      <c r="AC25" s="40"/>
      <c r="AD25" s="40"/>
      <c r="AE25" s="40"/>
      <c r="AF25" s="599"/>
      <c r="AG25" s="599"/>
      <c r="AH25" s="40"/>
      <c r="AI25" s="40"/>
      <c r="AJ25" s="40"/>
      <c r="AK25" s="40"/>
      <c r="AL25" s="40"/>
      <c r="AM25" s="599"/>
      <c r="AN25" s="599"/>
      <c r="AO25" s="40"/>
      <c r="AP25" s="40"/>
      <c r="AQ25" s="40"/>
      <c r="AR25" s="40"/>
      <c r="AS25" s="40"/>
      <c r="AT25" s="599"/>
      <c r="AU25" s="599"/>
      <c r="AV25" s="40"/>
      <c r="AW25" s="40"/>
      <c r="AX25" s="40"/>
      <c r="AY25" s="40"/>
      <c r="AZ25" s="40"/>
      <c r="BA25" s="599"/>
      <c r="BB25" s="599"/>
      <c r="BC25" s="40"/>
      <c r="BD25" s="40"/>
      <c r="BE25" s="40"/>
      <c r="BF25" s="40"/>
      <c r="BG25" s="40"/>
      <c r="BH25" s="599"/>
      <c r="BI25" s="599"/>
    </row>
    <row r="26" spans="1:61" ht="15.75">
      <c r="A26" s="605" t="s">
        <v>441</v>
      </c>
      <c r="B26" s="606" t="s">
        <v>0</v>
      </c>
      <c r="C26" s="606" t="s">
        <v>0</v>
      </c>
      <c r="D26" s="606"/>
      <c r="E26" s="601">
        <f t="shared" ca="1" si="2"/>
        <v>0</v>
      </c>
      <c r="F26" s="40"/>
      <c r="G26" s="40"/>
      <c r="H26" s="40"/>
      <c r="I26" s="40"/>
      <c r="J26" s="40"/>
      <c r="K26" s="598"/>
      <c r="L26" s="598"/>
      <c r="M26" s="40"/>
      <c r="N26" s="40"/>
      <c r="O26" s="40"/>
      <c r="P26" s="40"/>
      <c r="Q26" s="40"/>
      <c r="R26" s="599"/>
      <c r="S26" s="599"/>
      <c r="T26" s="40"/>
      <c r="U26" s="40"/>
      <c r="V26" s="40"/>
      <c r="W26" s="40"/>
      <c r="X26" s="40"/>
      <c r="Y26" s="599"/>
      <c r="Z26" s="599"/>
      <c r="AA26" s="40"/>
      <c r="AB26" s="40"/>
      <c r="AC26" s="40"/>
      <c r="AD26" s="40"/>
      <c r="AE26" s="40"/>
      <c r="AF26" s="599"/>
      <c r="AG26" s="599"/>
      <c r="AH26" s="40"/>
      <c r="AI26" s="40"/>
      <c r="AJ26" s="40"/>
      <c r="AK26" s="40"/>
      <c r="AL26" s="40"/>
      <c r="AM26" s="599"/>
      <c r="AN26" s="599"/>
      <c r="AO26" s="40"/>
      <c r="AP26" s="40"/>
      <c r="AQ26" s="40"/>
      <c r="AR26" s="40"/>
      <c r="AS26" s="40"/>
      <c r="AT26" s="599"/>
      <c r="AU26" s="599"/>
      <c r="AV26" s="40"/>
      <c r="AW26" s="40"/>
      <c r="AX26" s="40"/>
      <c r="AY26" s="40"/>
      <c r="AZ26" s="40"/>
      <c r="BA26" s="599"/>
      <c r="BB26" s="599"/>
      <c r="BC26" s="40"/>
      <c r="BD26" s="40"/>
      <c r="BE26" s="40"/>
      <c r="BF26" s="40"/>
      <c r="BG26" s="40"/>
      <c r="BH26" s="599"/>
      <c r="BI26" s="599"/>
    </row>
    <row r="27" spans="1:61" ht="15.75">
      <c r="A27" s="649" t="s">
        <v>466</v>
      </c>
      <c r="B27" s="607">
        <f>S.AC.SendInvitation</f>
        <v>41761</v>
      </c>
      <c r="C27" s="607">
        <f>B27</f>
        <v>41761</v>
      </c>
      <c r="D27" s="607"/>
      <c r="E27" s="601">
        <f ca="1">IF($C27&gt;=$A$3,0,1)</f>
        <v>1</v>
      </c>
      <c r="F27" s="40"/>
      <c r="G27" s="40"/>
      <c r="H27" s="40"/>
      <c r="I27" s="40"/>
      <c r="J27" s="40"/>
      <c r="K27" s="598"/>
      <c r="L27" s="598"/>
      <c r="M27" s="40"/>
      <c r="N27" s="40"/>
      <c r="O27" s="40"/>
      <c r="P27" s="40"/>
      <c r="Q27" s="40"/>
      <c r="R27" s="599"/>
      <c r="S27" s="599"/>
      <c r="T27" s="40"/>
      <c r="U27" s="40"/>
      <c r="V27" s="40"/>
      <c r="W27" s="40"/>
      <c r="X27" s="40"/>
      <c r="Y27" s="599"/>
      <c r="Z27" s="599"/>
      <c r="AA27" s="40"/>
      <c r="AB27" s="40"/>
      <c r="AC27" s="40"/>
      <c r="AD27" s="40"/>
      <c r="AE27" s="40"/>
      <c r="AF27" s="599"/>
      <c r="AG27" s="599"/>
      <c r="AH27" s="40"/>
      <c r="AI27" s="40"/>
      <c r="AJ27" s="40"/>
      <c r="AK27" s="40"/>
      <c r="AL27" s="40"/>
      <c r="AM27" s="599"/>
      <c r="AN27" s="599"/>
      <c r="AO27" s="40"/>
      <c r="AP27" s="40"/>
      <c r="AQ27" s="40"/>
      <c r="AR27" s="40"/>
      <c r="AS27" s="40"/>
      <c r="AT27" s="599"/>
      <c r="AU27" s="599"/>
      <c r="AV27" s="40"/>
      <c r="AW27" s="40"/>
      <c r="AX27" s="40"/>
      <c r="AY27" s="40"/>
      <c r="AZ27" s="40"/>
      <c r="BA27" s="599"/>
      <c r="BB27" s="599"/>
      <c r="BC27" s="40"/>
      <c r="BD27" s="40"/>
      <c r="BE27" s="40"/>
      <c r="BF27" s="40"/>
      <c r="BG27" s="40"/>
      <c r="BH27" s="599"/>
      <c r="BI27" s="599"/>
    </row>
    <row r="28" spans="1:61" ht="15.75">
      <c r="A28" s="649" t="s">
        <v>24</v>
      </c>
      <c r="B28" s="607">
        <f>S.AC.DateMeeting1</f>
        <v>41795</v>
      </c>
      <c r="C28" s="607">
        <f t="shared" ref="C28:C32" si="3">B28</f>
        <v>41795</v>
      </c>
      <c r="D28" s="607"/>
      <c r="E28" s="601">
        <f t="shared" ca="1" si="2"/>
        <v>1</v>
      </c>
      <c r="F28" s="40"/>
      <c r="G28" s="40"/>
      <c r="H28" s="40"/>
      <c r="I28" s="40"/>
      <c r="J28" s="40"/>
      <c r="K28" s="598"/>
      <c r="L28" s="598"/>
      <c r="M28" s="40"/>
      <c r="N28" s="40"/>
      <c r="O28" s="40"/>
      <c r="P28" s="40"/>
      <c r="Q28" s="40"/>
      <c r="R28" s="599"/>
      <c r="S28" s="599"/>
      <c r="T28" s="40"/>
      <c r="U28" s="40"/>
      <c r="V28" s="40"/>
      <c r="W28" s="40"/>
      <c r="X28" s="40"/>
      <c r="Y28" s="599"/>
      <c r="Z28" s="599"/>
      <c r="AA28" s="40"/>
      <c r="AB28" s="40"/>
      <c r="AC28" s="40"/>
      <c r="AD28" s="40"/>
      <c r="AE28" s="40"/>
      <c r="AF28" s="599"/>
      <c r="AG28" s="599"/>
      <c r="AH28" s="40"/>
      <c r="AI28" s="40"/>
      <c r="AJ28" s="40"/>
      <c r="AK28" s="40"/>
      <c r="AL28" s="40"/>
      <c r="AM28" s="599"/>
      <c r="AN28" s="599"/>
      <c r="AO28" s="40"/>
      <c r="AP28" s="40"/>
      <c r="AQ28" s="40"/>
      <c r="AR28" s="40"/>
      <c r="AS28" s="40"/>
      <c r="AT28" s="599"/>
      <c r="AU28" s="599"/>
      <c r="AV28" s="40"/>
      <c r="AW28" s="40"/>
      <c r="AX28" s="40"/>
      <c r="AY28" s="40"/>
      <c r="AZ28" s="40"/>
      <c r="BA28" s="599"/>
      <c r="BB28" s="599"/>
      <c r="BC28" s="40"/>
      <c r="BD28" s="40"/>
      <c r="BE28" s="40"/>
      <c r="BF28" s="40"/>
      <c r="BG28" s="40"/>
      <c r="BH28" s="599"/>
      <c r="BI28" s="599"/>
    </row>
    <row r="29" spans="1:61" ht="15.75">
      <c r="A29" s="649" t="s">
        <v>23</v>
      </c>
      <c r="B29" s="607">
        <f>S.AC.DateMeeting2</f>
        <v>41816</v>
      </c>
      <c r="C29" s="607">
        <f t="shared" si="3"/>
        <v>41816</v>
      </c>
      <c r="D29" s="607"/>
      <c r="E29" s="601">
        <f t="shared" ca="1" si="2"/>
        <v>1</v>
      </c>
      <c r="F29" s="40"/>
      <c r="G29" s="40"/>
      <c r="H29" s="40"/>
      <c r="I29" s="40"/>
      <c r="J29" s="40"/>
      <c r="K29" s="598"/>
      <c r="L29" s="598"/>
      <c r="M29" s="40"/>
      <c r="N29" s="40"/>
      <c r="O29" s="40"/>
      <c r="P29" s="40"/>
      <c r="Q29" s="40"/>
      <c r="R29" s="599"/>
      <c r="S29" s="599"/>
      <c r="T29" s="40"/>
      <c r="U29" s="40"/>
      <c r="V29" s="40"/>
      <c r="W29" s="40"/>
      <c r="X29" s="40"/>
      <c r="Y29" s="599"/>
      <c r="Z29" s="599"/>
      <c r="AA29" s="40"/>
      <c r="AB29" s="40"/>
      <c r="AC29" s="40"/>
      <c r="AD29" s="40"/>
      <c r="AE29" s="40"/>
      <c r="AF29" s="599"/>
      <c r="AG29" s="599"/>
      <c r="AH29" s="40"/>
      <c r="AI29" s="40"/>
      <c r="AJ29" s="40"/>
      <c r="AK29" s="40"/>
      <c r="AL29" s="40"/>
      <c r="AM29" s="599"/>
      <c r="AN29" s="599"/>
      <c r="AO29" s="40"/>
      <c r="AP29" s="40"/>
      <c r="AQ29" s="40"/>
      <c r="AR29" s="40"/>
      <c r="AS29" s="40"/>
      <c r="AT29" s="599"/>
      <c r="AU29" s="599"/>
      <c r="AV29" s="40"/>
      <c r="AW29" s="40"/>
      <c r="AX29" s="40"/>
      <c r="AY29" s="40"/>
      <c r="AZ29" s="40"/>
      <c r="BA29" s="599"/>
      <c r="BB29" s="599"/>
      <c r="BC29" s="40"/>
      <c r="BD29" s="40"/>
      <c r="BE29" s="40"/>
      <c r="BF29" s="40"/>
      <c r="BG29" s="40"/>
      <c r="BH29" s="599"/>
      <c r="BI29" s="599"/>
    </row>
    <row r="30" spans="1:61" ht="15.75">
      <c r="A30" s="649" t="s">
        <v>22</v>
      </c>
      <c r="B30" s="607">
        <f>S.AC.DateMeeting3</f>
        <v>41850</v>
      </c>
      <c r="C30" s="607">
        <f t="shared" si="3"/>
        <v>41850</v>
      </c>
      <c r="D30" s="607"/>
      <c r="E30" s="601">
        <f t="shared" ca="1" si="2"/>
        <v>1</v>
      </c>
      <c r="F30" s="40"/>
      <c r="G30" s="40"/>
      <c r="H30" s="40"/>
      <c r="I30" s="40"/>
      <c r="J30" s="40"/>
      <c r="K30" s="598"/>
      <c r="L30" s="598"/>
      <c r="M30" s="40"/>
      <c r="N30" s="40"/>
      <c r="O30" s="40"/>
      <c r="P30" s="40"/>
      <c r="Q30" s="40"/>
      <c r="R30" s="599"/>
      <c r="S30" s="599"/>
      <c r="T30" s="40"/>
      <c r="U30" s="40"/>
      <c r="V30" s="40"/>
      <c r="W30" s="40"/>
      <c r="X30" s="40"/>
      <c r="Y30" s="599"/>
      <c r="Z30" s="599"/>
      <c r="AA30" s="40"/>
      <c r="AB30" s="40"/>
      <c r="AC30" s="40"/>
      <c r="AD30" s="40"/>
      <c r="AE30" s="40"/>
      <c r="AF30" s="599"/>
      <c r="AG30" s="599"/>
      <c r="AH30" s="40"/>
      <c r="AI30" s="40"/>
      <c r="AJ30" s="40"/>
      <c r="AK30" s="40"/>
      <c r="AL30" s="40"/>
      <c r="AM30" s="599"/>
      <c r="AN30" s="599"/>
      <c r="AO30" s="40"/>
      <c r="AP30" s="40"/>
      <c r="AQ30" s="40"/>
      <c r="AR30" s="40"/>
      <c r="AS30" s="40"/>
      <c r="AT30" s="599"/>
      <c r="AU30" s="599"/>
      <c r="AV30" s="40"/>
      <c r="AW30" s="40"/>
      <c r="AX30" s="40"/>
      <c r="AY30" s="40"/>
      <c r="AZ30" s="40"/>
      <c r="BA30" s="599"/>
      <c r="BB30" s="599"/>
      <c r="BC30" s="40"/>
      <c r="BD30" s="40"/>
      <c r="BE30" s="40"/>
      <c r="BF30" s="40"/>
      <c r="BG30" s="40"/>
      <c r="BH30" s="599"/>
      <c r="BI30" s="599"/>
    </row>
    <row r="31" spans="1:61" ht="15.75">
      <c r="A31" s="649" t="s">
        <v>30</v>
      </c>
      <c r="B31" s="607">
        <f>S.AC.DateMeeting4</f>
        <v>41850</v>
      </c>
      <c r="C31" s="607">
        <f t="shared" si="3"/>
        <v>41850</v>
      </c>
      <c r="D31" s="607"/>
      <c r="E31" s="601">
        <f t="shared" ca="1" si="2"/>
        <v>1</v>
      </c>
      <c r="F31" s="40"/>
      <c r="G31" s="40"/>
      <c r="H31" s="40"/>
      <c r="I31" s="40"/>
      <c r="J31" s="40"/>
      <c r="K31" s="598"/>
      <c r="L31" s="598"/>
      <c r="M31" s="40"/>
      <c r="N31" s="40"/>
      <c r="O31" s="40"/>
      <c r="P31" s="40"/>
      <c r="Q31" s="40"/>
      <c r="R31" s="599"/>
      <c r="S31" s="599"/>
      <c r="T31" s="40"/>
      <c r="U31" s="40"/>
      <c r="V31" s="40"/>
      <c r="W31" s="40"/>
      <c r="X31" s="40"/>
      <c r="Y31" s="599"/>
      <c r="Z31" s="599"/>
      <c r="AA31" s="40"/>
      <c r="AB31" s="40"/>
      <c r="AC31" s="40"/>
      <c r="AD31" s="40"/>
      <c r="AE31" s="40"/>
      <c r="AF31" s="599"/>
      <c r="AG31" s="599"/>
      <c r="AH31" s="40"/>
      <c r="AI31" s="40"/>
      <c r="AJ31" s="40"/>
      <c r="AK31" s="40"/>
      <c r="AL31" s="40"/>
      <c r="AM31" s="599"/>
      <c r="AN31" s="599"/>
      <c r="AO31" s="40"/>
      <c r="AP31" s="40"/>
      <c r="AQ31" s="40"/>
      <c r="AR31" s="40"/>
      <c r="AS31" s="40"/>
      <c r="AT31" s="599"/>
      <c r="AU31" s="599"/>
      <c r="AV31" s="40"/>
      <c r="AW31" s="40"/>
      <c r="AX31" s="40"/>
      <c r="AY31" s="40"/>
      <c r="AZ31" s="40"/>
      <c r="BA31" s="599"/>
      <c r="BB31" s="599"/>
      <c r="BC31" s="40"/>
      <c r="BD31" s="40"/>
      <c r="BE31" s="40"/>
      <c r="BF31" s="40"/>
      <c r="BG31" s="40"/>
      <c r="BH31" s="599"/>
      <c r="BI31" s="599"/>
    </row>
    <row r="32" spans="1:61" ht="15.75">
      <c r="A32" s="649" t="s">
        <v>465</v>
      </c>
      <c r="B32" s="607">
        <f>S.AC.DateMeeting5</f>
        <v>41850</v>
      </c>
      <c r="C32" s="607">
        <f t="shared" si="3"/>
        <v>41850</v>
      </c>
      <c r="D32" s="607"/>
      <c r="E32" s="601">
        <f t="shared" ca="1" si="2"/>
        <v>1</v>
      </c>
      <c r="F32" s="40"/>
      <c r="G32" s="40"/>
      <c r="H32" s="40"/>
      <c r="I32" s="40"/>
      <c r="J32" s="40"/>
      <c r="K32" s="598"/>
      <c r="L32" s="598"/>
      <c r="M32" s="40"/>
      <c r="N32" s="40"/>
      <c r="O32" s="40"/>
      <c r="P32" s="40"/>
      <c r="Q32" s="40"/>
      <c r="R32" s="599"/>
      <c r="S32" s="599"/>
      <c r="T32" s="40"/>
      <c r="U32" s="40"/>
      <c r="V32" s="40"/>
      <c r="W32" s="40"/>
      <c r="X32" s="40"/>
      <c r="Y32" s="599"/>
      <c r="Z32" s="599"/>
      <c r="AA32" s="40"/>
      <c r="AB32" s="40"/>
      <c r="AC32" s="40"/>
      <c r="AD32" s="40"/>
      <c r="AE32" s="40"/>
      <c r="AF32" s="599"/>
      <c r="AG32" s="599"/>
      <c r="AH32" s="40"/>
      <c r="AI32" s="40"/>
      <c r="AJ32" s="40"/>
      <c r="AK32" s="40"/>
      <c r="AL32" s="40"/>
      <c r="AM32" s="599"/>
      <c r="AN32" s="599"/>
      <c r="AO32" s="40"/>
      <c r="AP32" s="40"/>
      <c r="AQ32" s="40"/>
      <c r="AR32" s="40"/>
      <c r="AS32" s="40"/>
      <c r="AT32" s="599"/>
      <c r="AU32" s="599"/>
      <c r="AV32" s="40"/>
      <c r="AW32" s="40"/>
      <c r="AX32" s="40"/>
      <c r="AY32" s="40"/>
      <c r="AZ32" s="40"/>
      <c r="BA32" s="599"/>
      <c r="BB32" s="599"/>
      <c r="BC32" s="40"/>
      <c r="BD32" s="40"/>
      <c r="BE32" s="40"/>
      <c r="BF32" s="40"/>
      <c r="BG32" s="40"/>
      <c r="BH32" s="599"/>
      <c r="BI32" s="599"/>
    </row>
    <row r="33" spans="1:61" ht="15.75">
      <c r="A33" s="608" t="s">
        <v>442</v>
      </c>
      <c r="B33" s="607" t="s">
        <v>0</v>
      </c>
      <c r="C33" s="607" t="s">
        <v>0</v>
      </c>
      <c r="D33" s="607"/>
      <c r="E33" s="601">
        <f t="shared" ca="1" si="2"/>
        <v>0</v>
      </c>
      <c r="F33" s="40"/>
      <c r="G33" s="40"/>
      <c r="H33" s="40"/>
      <c r="I33" s="40"/>
      <c r="J33" s="40"/>
      <c r="K33" s="598"/>
      <c r="L33" s="598"/>
      <c r="M33" s="40"/>
      <c r="N33" s="40"/>
      <c r="O33" s="40"/>
      <c r="P33" s="40"/>
      <c r="Q33" s="40"/>
      <c r="R33" s="599"/>
      <c r="S33" s="599"/>
      <c r="T33" s="40"/>
      <c r="U33" s="40"/>
      <c r="V33" s="40"/>
      <c r="W33" s="40"/>
      <c r="X33" s="40"/>
      <c r="Y33" s="599"/>
      <c r="Z33" s="599"/>
      <c r="AA33" s="40"/>
      <c r="AB33" s="40"/>
      <c r="AC33" s="40"/>
      <c r="AD33" s="40"/>
      <c r="AE33" s="40"/>
      <c r="AF33" s="599"/>
      <c r="AG33" s="599"/>
      <c r="AH33" s="40"/>
      <c r="AI33" s="40"/>
      <c r="AJ33" s="40"/>
      <c r="AK33" s="40"/>
      <c r="AL33" s="40"/>
      <c r="AM33" s="599"/>
      <c r="AN33" s="599"/>
      <c r="AO33" s="40"/>
      <c r="AP33" s="40"/>
      <c r="AQ33" s="40"/>
      <c r="AR33" s="40"/>
      <c r="AS33" s="40"/>
      <c r="AT33" s="599"/>
      <c r="AU33" s="599"/>
      <c r="AV33" s="40"/>
      <c r="AW33" s="40"/>
      <c r="AX33" s="40"/>
      <c r="AY33" s="40"/>
      <c r="AZ33" s="40"/>
      <c r="BA33" s="599"/>
      <c r="BB33" s="599"/>
      <c r="BC33" s="40"/>
      <c r="BD33" s="40"/>
      <c r="BE33" s="40"/>
      <c r="BF33" s="40"/>
      <c r="BG33" s="40"/>
      <c r="BH33" s="599"/>
      <c r="BI33" s="599"/>
    </row>
    <row r="34" spans="1:61" ht="15.75">
      <c r="A34" s="648" t="s">
        <v>443</v>
      </c>
      <c r="B34" s="607">
        <f>S.EQC.DirectorsReport1</f>
        <v>41821</v>
      </c>
      <c r="C34" s="607">
        <f>B34</f>
        <v>41821</v>
      </c>
      <c r="D34" s="607"/>
      <c r="E34" s="601">
        <f t="shared" ca="1" si="2"/>
        <v>1</v>
      </c>
      <c r="F34" s="40"/>
      <c r="G34" s="40"/>
      <c r="H34" s="40"/>
      <c r="I34" s="40"/>
      <c r="J34" s="40"/>
      <c r="K34" s="598"/>
      <c r="L34" s="598"/>
      <c r="M34" s="40"/>
      <c r="N34" s="40"/>
      <c r="O34" s="40"/>
      <c r="P34" s="40"/>
      <c r="Q34" s="40"/>
      <c r="R34" s="599"/>
      <c r="S34" s="599"/>
      <c r="T34" s="40"/>
      <c r="U34" s="40"/>
      <c r="V34" s="40"/>
      <c r="W34" s="40"/>
      <c r="X34" s="40"/>
      <c r="Y34" s="599"/>
      <c r="Z34" s="599"/>
      <c r="AA34" s="40"/>
      <c r="AB34" s="40"/>
      <c r="AC34" s="40"/>
      <c r="AD34" s="40"/>
      <c r="AE34" s="40"/>
      <c r="AF34" s="599"/>
      <c r="AG34" s="599"/>
      <c r="AH34" s="40"/>
      <c r="AI34" s="40"/>
      <c r="AJ34" s="40"/>
      <c r="AK34" s="40"/>
      <c r="AL34" s="40"/>
      <c r="AM34" s="599"/>
      <c r="AN34" s="599"/>
      <c r="AO34" s="40"/>
      <c r="AP34" s="40"/>
      <c r="AQ34" s="40"/>
      <c r="AR34" s="40"/>
      <c r="AS34" s="40"/>
      <c r="AT34" s="599"/>
      <c r="AU34" s="599"/>
      <c r="AV34" s="40"/>
      <c r="AW34" s="40"/>
      <c r="AX34" s="40"/>
      <c r="AY34" s="40"/>
      <c r="AZ34" s="40"/>
      <c r="BA34" s="599"/>
      <c r="BB34" s="599"/>
      <c r="BC34" s="40"/>
      <c r="BD34" s="40"/>
      <c r="BE34" s="40"/>
      <c r="BF34" s="40"/>
      <c r="BG34" s="40"/>
      <c r="BH34" s="599"/>
      <c r="BI34" s="599"/>
    </row>
    <row r="35" spans="1:61" ht="15.75">
      <c r="A35" s="648" t="s">
        <v>444</v>
      </c>
      <c r="B35" s="607">
        <f>S.EQC.DirectorsReport2</f>
        <v>41821</v>
      </c>
      <c r="C35" s="607">
        <f>B35</f>
        <v>41821</v>
      </c>
      <c r="D35" s="607"/>
      <c r="E35" s="601">
        <f t="shared" ca="1" si="2"/>
        <v>1</v>
      </c>
      <c r="F35" s="40"/>
      <c r="G35" s="40"/>
      <c r="H35" s="40"/>
      <c r="I35" s="40"/>
      <c r="J35" s="40"/>
      <c r="K35" s="598"/>
      <c r="L35" s="598"/>
      <c r="M35" s="40"/>
      <c r="N35" s="40"/>
      <c r="O35" s="40"/>
      <c r="P35" s="40"/>
      <c r="Q35" s="40"/>
      <c r="R35" s="599"/>
      <c r="S35" s="599"/>
      <c r="T35" s="40"/>
      <c r="U35" s="40"/>
      <c r="V35" s="40"/>
      <c r="W35" s="40"/>
      <c r="X35" s="40"/>
      <c r="Y35" s="599"/>
      <c r="Z35" s="599"/>
      <c r="AA35" s="40"/>
      <c r="AB35" s="40"/>
      <c r="AC35" s="40"/>
      <c r="AD35" s="40"/>
      <c r="AE35" s="40"/>
      <c r="AF35" s="599"/>
      <c r="AG35" s="599"/>
      <c r="AH35" s="40"/>
      <c r="AI35" s="40"/>
      <c r="AJ35" s="40"/>
      <c r="AK35" s="40"/>
      <c r="AL35" s="40"/>
      <c r="AM35" s="599"/>
      <c r="AN35" s="599"/>
      <c r="AO35" s="40"/>
      <c r="AP35" s="40"/>
      <c r="AQ35" s="40"/>
      <c r="AR35" s="40"/>
      <c r="AS35" s="40"/>
      <c r="AT35" s="599"/>
      <c r="AU35" s="599"/>
      <c r="AV35" s="40"/>
      <c r="AW35" s="40"/>
      <c r="AX35" s="40"/>
      <c r="AY35" s="40"/>
      <c r="AZ35" s="40"/>
      <c r="BA35" s="599"/>
      <c r="BB35" s="599"/>
      <c r="BC35" s="40"/>
      <c r="BD35" s="40"/>
      <c r="BE35" s="40"/>
      <c r="BF35" s="40"/>
      <c r="BG35" s="40"/>
      <c r="BH35" s="599"/>
      <c r="BI35" s="599"/>
    </row>
    <row r="36" spans="1:61" ht="15.75">
      <c r="A36" s="648" t="s">
        <v>445</v>
      </c>
      <c r="B36" s="607">
        <f>S.EQC.InfoItem1</f>
        <v>0</v>
      </c>
      <c r="C36" s="607">
        <f>B36</f>
        <v>0</v>
      </c>
      <c r="D36" s="607"/>
      <c r="E36" s="601">
        <f t="shared" ca="1" si="2"/>
        <v>1</v>
      </c>
      <c r="F36" s="40"/>
      <c r="G36" s="40"/>
      <c r="H36" s="40"/>
      <c r="I36" s="40"/>
      <c r="J36" s="40"/>
      <c r="K36" s="598"/>
      <c r="L36" s="598"/>
      <c r="M36" s="40"/>
      <c r="N36" s="40"/>
      <c r="O36" s="40"/>
      <c r="P36" s="40"/>
      <c r="Q36" s="40"/>
      <c r="R36" s="599"/>
      <c r="S36" s="599"/>
      <c r="T36" s="40"/>
      <c r="U36" s="40"/>
      <c r="V36" s="40"/>
      <c r="W36" s="40"/>
      <c r="X36" s="40"/>
      <c r="Y36" s="599"/>
      <c r="Z36" s="599"/>
      <c r="AA36" s="40"/>
      <c r="AB36" s="40"/>
      <c r="AC36" s="40"/>
      <c r="AD36" s="40"/>
      <c r="AE36" s="40"/>
      <c r="AF36" s="599"/>
      <c r="AG36" s="599"/>
      <c r="AH36" s="40"/>
      <c r="AI36" s="40"/>
      <c r="AJ36" s="40"/>
      <c r="AK36" s="40"/>
      <c r="AL36" s="40"/>
      <c r="AM36" s="599"/>
      <c r="AN36" s="599"/>
      <c r="AO36" s="40"/>
      <c r="AP36" s="40"/>
      <c r="AQ36" s="40"/>
      <c r="AR36" s="40"/>
      <c r="AS36" s="40"/>
      <c r="AT36" s="599"/>
      <c r="AU36" s="599"/>
      <c r="AV36" s="40"/>
      <c r="AW36" s="40"/>
      <c r="AX36" s="40"/>
      <c r="AY36" s="40"/>
      <c r="AZ36" s="40"/>
      <c r="BA36" s="599"/>
      <c r="BB36" s="599"/>
      <c r="BC36" s="40"/>
      <c r="BD36" s="40"/>
      <c r="BE36" s="40"/>
      <c r="BF36" s="40"/>
      <c r="BG36" s="40"/>
      <c r="BH36" s="599"/>
      <c r="BI36" s="599"/>
    </row>
    <row r="37" spans="1:61" ht="15.75">
      <c r="A37" s="648" t="s">
        <v>446</v>
      </c>
      <c r="B37" s="607">
        <f>S.EQC.InfoItem2</f>
        <v>0</v>
      </c>
      <c r="C37" s="607">
        <f>B37</f>
        <v>0</v>
      </c>
      <c r="D37" s="607"/>
      <c r="E37" s="601">
        <f t="shared" ca="1" si="2"/>
        <v>1</v>
      </c>
      <c r="F37" s="40"/>
      <c r="G37" s="40"/>
      <c r="H37" s="40"/>
      <c r="I37" s="40"/>
      <c r="J37" s="40"/>
      <c r="K37" s="598"/>
      <c r="L37" s="598"/>
      <c r="M37" s="40"/>
      <c r="N37" s="40"/>
      <c r="O37" s="40"/>
      <c r="P37" s="40"/>
      <c r="Q37" s="40"/>
      <c r="R37" s="599"/>
      <c r="S37" s="599"/>
      <c r="T37" s="40"/>
      <c r="U37" s="40"/>
      <c r="V37" s="40"/>
      <c r="W37" s="40"/>
      <c r="X37" s="40"/>
      <c r="Y37" s="599"/>
      <c r="Z37" s="599"/>
      <c r="AA37" s="40"/>
      <c r="AB37" s="40"/>
      <c r="AC37" s="40"/>
      <c r="AD37" s="40"/>
      <c r="AE37" s="40"/>
      <c r="AF37" s="599"/>
      <c r="AG37" s="599"/>
      <c r="AH37" s="40"/>
      <c r="AI37" s="40"/>
      <c r="AJ37" s="40"/>
      <c r="AK37" s="40"/>
      <c r="AL37" s="40"/>
      <c r="AM37" s="599"/>
      <c r="AN37" s="599"/>
      <c r="AO37" s="40"/>
      <c r="AP37" s="40"/>
      <c r="AQ37" s="40"/>
      <c r="AR37" s="40"/>
      <c r="AS37" s="40"/>
      <c r="AT37" s="599"/>
      <c r="AU37" s="599"/>
      <c r="AV37" s="40"/>
      <c r="AW37" s="40"/>
      <c r="AX37" s="40"/>
      <c r="AY37" s="40"/>
      <c r="AZ37" s="40"/>
      <c r="BA37" s="599"/>
      <c r="BB37" s="599"/>
      <c r="BC37" s="40"/>
      <c r="BD37" s="40"/>
      <c r="BE37" s="40"/>
      <c r="BF37" s="40"/>
      <c r="BG37" s="40"/>
      <c r="BH37" s="599"/>
      <c r="BI37" s="599"/>
    </row>
    <row r="38" spans="1:61" ht="15.75">
      <c r="A38" s="608" t="s">
        <v>447</v>
      </c>
      <c r="B38" s="607" t="s">
        <v>0</v>
      </c>
      <c r="C38" s="607" t="s">
        <v>0</v>
      </c>
      <c r="D38" s="607"/>
      <c r="E38" s="601">
        <f t="shared" ca="1" si="2"/>
        <v>0</v>
      </c>
      <c r="F38" s="40"/>
      <c r="G38" s="40"/>
      <c r="H38" s="40"/>
      <c r="I38" s="40"/>
      <c r="J38" s="40"/>
      <c r="K38" s="598"/>
      <c r="L38" s="598"/>
      <c r="M38" s="40"/>
      <c r="N38" s="40"/>
      <c r="O38" s="40"/>
      <c r="P38" s="40"/>
      <c r="Q38" s="40"/>
      <c r="R38" s="599"/>
      <c r="S38" s="599"/>
      <c r="T38" s="40"/>
      <c r="U38" s="40"/>
      <c r="V38" s="40"/>
      <c r="W38" s="40"/>
      <c r="X38" s="40"/>
      <c r="Y38" s="599"/>
      <c r="Z38" s="599"/>
      <c r="AA38" s="40"/>
      <c r="AB38" s="40"/>
      <c r="AC38" s="40"/>
      <c r="AD38" s="40"/>
      <c r="AE38" s="40"/>
      <c r="AF38" s="599"/>
      <c r="AG38" s="599"/>
      <c r="AH38" s="40"/>
      <c r="AI38" s="40"/>
      <c r="AJ38" s="40"/>
      <c r="AK38" s="40"/>
      <c r="AL38" s="40"/>
      <c r="AM38" s="599"/>
      <c r="AN38" s="599"/>
      <c r="AO38" s="40"/>
      <c r="AP38" s="40"/>
      <c r="AQ38" s="40"/>
      <c r="AR38" s="40"/>
      <c r="AS38" s="40"/>
      <c r="AT38" s="599"/>
      <c r="AU38" s="599"/>
      <c r="AV38" s="40"/>
      <c r="AW38" s="40"/>
      <c r="AX38" s="40"/>
      <c r="AY38" s="40"/>
      <c r="AZ38" s="40"/>
      <c r="BA38" s="599"/>
      <c r="BB38" s="599"/>
      <c r="BC38" s="40"/>
      <c r="BD38" s="40"/>
      <c r="BE38" s="40"/>
      <c r="BF38" s="40"/>
      <c r="BG38" s="40"/>
      <c r="BH38" s="599"/>
      <c r="BI38" s="599"/>
    </row>
    <row r="39" spans="1:61" ht="15.75">
      <c r="A39" s="648" t="s">
        <v>448</v>
      </c>
      <c r="B39" s="607">
        <f>S.Notice.EPA.180days</f>
        <v>41806</v>
      </c>
      <c r="C39" s="607">
        <f>B39</f>
        <v>41806</v>
      </c>
      <c r="D39" s="607"/>
      <c r="E39" s="601">
        <f t="shared" ca="1" si="2"/>
        <v>1</v>
      </c>
      <c r="F39" s="40"/>
      <c r="G39" s="40"/>
      <c r="H39" s="40"/>
      <c r="I39" s="40"/>
      <c r="J39" s="40"/>
      <c r="K39" s="598"/>
      <c r="L39" s="598"/>
      <c r="M39" s="40"/>
      <c r="N39" s="40"/>
      <c r="O39" s="40"/>
      <c r="P39" s="40"/>
      <c r="Q39" s="40"/>
      <c r="R39" s="599"/>
      <c r="S39" s="599"/>
      <c r="T39" s="40"/>
      <c r="U39" s="40"/>
      <c r="V39" s="40"/>
      <c r="W39" s="40"/>
      <c r="X39" s="40"/>
      <c r="Y39" s="599"/>
      <c r="Z39" s="599"/>
      <c r="AA39" s="40"/>
      <c r="AB39" s="40"/>
      <c r="AC39" s="40"/>
      <c r="AD39" s="40"/>
      <c r="AE39" s="40"/>
      <c r="AF39" s="599"/>
      <c r="AG39" s="599"/>
      <c r="AH39" s="40"/>
      <c r="AI39" s="40"/>
      <c r="AJ39" s="40"/>
      <c r="AK39" s="40"/>
      <c r="AL39" s="40"/>
      <c r="AM39" s="599"/>
      <c r="AN39" s="599"/>
      <c r="AO39" s="40"/>
      <c r="AP39" s="40"/>
      <c r="AQ39" s="40"/>
      <c r="AR39" s="40"/>
      <c r="AS39" s="40"/>
      <c r="AT39" s="599"/>
      <c r="AU39" s="599"/>
      <c r="AV39" s="40"/>
      <c r="AW39" s="40"/>
      <c r="AX39" s="40"/>
      <c r="AY39" s="40"/>
      <c r="AZ39" s="40"/>
      <c r="BA39" s="599"/>
      <c r="BB39" s="599"/>
      <c r="BC39" s="40"/>
      <c r="BD39" s="40"/>
      <c r="BE39" s="40"/>
      <c r="BF39" s="40"/>
      <c r="BG39" s="40"/>
      <c r="BH39" s="599"/>
      <c r="BI39" s="599"/>
    </row>
    <row r="40" spans="1:61" ht="15.75">
      <c r="A40" s="648" t="s">
        <v>449</v>
      </c>
      <c r="B40" s="607" t="e">
        <f>S.Notice.EPA.45day</f>
        <v>#NAME?</v>
      </c>
      <c r="C40" s="607" t="e">
        <f>B40</f>
        <v>#NAME?</v>
      </c>
      <c r="D40" s="607"/>
      <c r="E40" s="601" t="e">
        <f t="shared" ca="1" si="2"/>
        <v>#NAME?</v>
      </c>
      <c r="F40" s="40"/>
      <c r="G40" s="40"/>
      <c r="H40" s="40"/>
      <c r="I40" s="40"/>
      <c r="J40" s="40"/>
      <c r="K40" s="598"/>
      <c r="L40" s="598"/>
      <c r="M40" s="40"/>
      <c r="N40" s="40"/>
      <c r="O40" s="40"/>
      <c r="P40" s="40"/>
      <c r="Q40" s="40"/>
      <c r="R40" s="599"/>
      <c r="S40" s="599"/>
      <c r="T40" s="40"/>
      <c r="U40" s="40"/>
      <c r="V40" s="40"/>
      <c r="W40" s="40"/>
      <c r="X40" s="40"/>
      <c r="Y40" s="599"/>
      <c r="Z40" s="599"/>
      <c r="AA40" s="40"/>
      <c r="AB40" s="40"/>
      <c r="AC40" s="40"/>
      <c r="AD40" s="40"/>
      <c r="AE40" s="40"/>
      <c r="AF40" s="599"/>
      <c r="AG40" s="599"/>
      <c r="AH40" s="40"/>
      <c r="AI40" s="40"/>
      <c r="AJ40" s="40"/>
      <c r="AK40" s="40"/>
      <c r="AL40" s="40"/>
      <c r="AM40" s="599"/>
      <c r="AN40" s="599"/>
      <c r="AO40" s="40"/>
      <c r="AP40" s="40"/>
      <c r="AQ40" s="40"/>
      <c r="AR40" s="40"/>
      <c r="AS40" s="40"/>
      <c r="AT40" s="599"/>
      <c r="AU40" s="599"/>
      <c r="AV40" s="40"/>
      <c r="AW40" s="40"/>
      <c r="AX40" s="40"/>
      <c r="AY40" s="40"/>
      <c r="AZ40" s="40"/>
      <c r="BA40" s="599"/>
      <c r="BB40" s="599"/>
      <c r="BC40" s="40"/>
      <c r="BD40" s="40"/>
      <c r="BE40" s="40"/>
      <c r="BF40" s="40"/>
      <c r="BG40" s="40"/>
      <c r="BH40" s="599"/>
      <c r="BI40" s="599"/>
    </row>
    <row r="41" spans="1:61" s="23" customFormat="1" ht="15.75">
      <c r="A41" s="648" t="s">
        <v>450</v>
      </c>
      <c r="B41" s="607" t="e">
        <f>S.Notice.StartInvolveResources</f>
        <v>#REF!</v>
      </c>
      <c r="C41" s="607" t="e">
        <f>S.Notice.EndInvolveResources</f>
        <v>#REF!</v>
      </c>
      <c r="D41" s="607"/>
      <c r="E41" s="601" t="e">
        <f t="shared" ca="1" si="2"/>
        <v>#REF!</v>
      </c>
      <c r="F41" s="40"/>
      <c r="G41" s="40"/>
      <c r="H41" s="40"/>
      <c r="I41" s="40"/>
      <c r="J41" s="40"/>
      <c r="K41" s="598"/>
      <c r="L41" s="598"/>
      <c r="M41" s="40"/>
      <c r="N41" s="40"/>
      <c r="O41" s="40"/>
      <c r="P41" s="40"/>
      <c r="Q41" s="40"/>
      <c r="R41" s="599"/>
      <c r="S41" s="599"/>
      <c r="T41" s="40"/>
      <c r="U41" s="40"/>
      <c r="V41" s="40"/>
      <c r="W41" s="40"/>
      <c r="X41" s="40"/>
      <c r="Y41" s="599"/>
      <c r="Z41" s="599"/>
      <c r="AA41" s="40"/>
      <c r="AB41" s="40"/>
      <c r="AC41" s="40"/>
      <c r="AD41" s="40"/>
      <c r="AE41" s="40"/>
      <c r="AF41" s="599"/>
      <c r="AG41" s="599"/>
      <c r="AH41" s="40"/>
      <c r="AI41" s="40"/>
      <c r="AJ41" s="40"/>
      <c r="AK41" s="40"/>
      <c r="AL41" s="40"/>
      <c r="AM41" s="599"/>
      <c r="AN41" s="599"/>
      <c r="AO41" s="40"/>
      <c r="AP41" s="40"/>
      <c r="AQ41" s="40"/>
      <c r="AR41" s="40"/>
      <c r="AS41" s="40"/>
      <c r="AT41" s="599"/>
      <c r="AU41" s="599"/>
      <c r="AV41" s="40"/>
      <c r="AW41" s="40"/>
      <c r="AX41" s="40"/>
      <c r="AY41" s="40"/>
      <c r="AZ41" s="40"/>
      <c r="BA41" s="599"/>
      <c r="BB41" s="599"/>
      <c r="BC41" s="40"/>
      <c r="BD41" s="40"/>
      <c r="BE41" s="40"/>
      <c r="BF41" s="40"/>
      <c r="BG41" s="40"/>
      <c r="BH41" s="599"/>
      <c r="BI41" s="599"/>
    </row>
    <row r="42" spans="1:61" ht="15.75">
      <c r="A42" s="648" t="s">
        <v>451</v>
      </c>
      <c r="B42" s="607">
        <f>S.Notice.AD.ToContractServices</f>
        <v>41975</v>
      </c>
      <c r="C42" s="607">
        <f>B42</f>
        <v>41975</v>
      </c>
      <c r="D42" s="607"/>
      <c r="E42" s="601">
        <f t="shared" ca="1" si="2"/>
        <v>0</v>
      </c>
      <c r="F42" s="40"/>
      <c r="G42" s="40"/>
      <c r="H42" s="40"/>
      <c r="I42" s="40"/>
      <c r="J42" s="40"/>
      <c r="K42" s="598"/>
      <c r="L42" s="598"/>
      <c r="M42" s="40"/>
      <c r="N42" s="40"/>
      <c r="O42" s="40"/>
      <c r="P42" s="40"/>
      <c r="Q42" s="40"/>
      <c r="R42" s="599"/>
      <c r="S42" s="599"/>
      <c r="T42" s="40"/>
      <c r="U42" s="40"/>
      <c r="V42" s="40"/>
      <c r="W42" s="40"/>
      <c r="X42" s="40"/>
      <c r="Y42" s="599"/>
      <c r="Z42" s="599"/>
      <c r="AA42" s="40"/>
      <c r="AB42" s="40"/>
      <c r="AC42" s="40"/>
      <c r="AD42" s="40"/>
      <c r="AE42" s="40"/>
      <c r="AF42" s="599"/>
      <c r="AG42" s="599"/>
      <c r="AH42" s="40"/>
      <c r="AI42" s="40"/>
      <c r="AJ42" s="40"/>
      <c r="AK42" s="40"/>
      <c r="AL42" s="40"/>
      <c r="AM42" s="599"/>
      <c r="AN42" s="599"/>
      <c r="AO42" s="40"/>
      <c r="AP42" s="40"/>
      <c r="AQ42" s="40"/>
      <c r="AR42" s="40"/>
      <c r="AS42" s="40"/>
      <c r="AT42" s="599"/>
      <c r="AU42" s="599"/>
      <c r="AV42" s="40"/>
      <c r="AW42" s="40"/>
      <c r="AX42" s="40"/>
      <c r="AY42" s="40"/>
      <c r="AZ42" s="40"/>
      <c r="BA42" s="599"/>
      <c r="BB42" s="599"/>
      <c r="BC42" s="40"/>
      <c r="BD42" s="40"/>
      <c r="BE42" s="40"/>
      <c r="BF42" s="40"/>
      <c r="BG42" s="40"/>
      <c r="BH42" s="599"/>
      <c r="BI42" s="599"/>
    </row>
    <row r="43" spans="1:61" ht="15.75">
      <c r="A43" s="648" t="s">
        <v>452</v>
      </c>
      <c r="B43" s="607">
        <f>S.Notice.MgrNoticeApproval</f>
        <v>41978</v>
      </c>
      <c r="C43" s="607">
        <f>B43</f>
        <v>41978</v>
      </c>
      <c r="D43" s="607"/>
      <c r="E43" s="601">
        <f t="shared" ca="1" si="2"/>
        <v>0</v>
      </c>
      <c r="F43" s="40"/>
      <c r="G43" s="40"/>
      <c r="H43" s="40"/>
      <c r="I43" s="40"/>
      <c r="J43" s="40"/>
      <c r="K43" s="598"/>
      <c r="L43" s="598"/>
      <c r="M43" s="40"/>
      <c r="N43" s="40"/>
      <c r="O43" s="40"/>
      <c r="P43" s="40"/>
      <c r="Q43" s="40"/>
      <c r="R43" s="599"/>
      <c r="S43" s="599"/>
      <c r="T43" s="40"/>
      <c r="U43" s="40"/>
      <c r="V43" s="40"/>
      <c r="W43" s="40"/>
      <c r="X43" s="40"/>
      <c r="Y43" s="599"/>
      <c r="Z43" s="599"/>
      <c r="AA43" s="40"/>
      <c r="AB43" s="40"/>
      <c r="AC43" s="40"/>
      <c r="AD43" s="40"/>
      <c r="AE43" s="40"/>
      <c r="AF43" s="599"/>
      <c r="AG43" s="599"/>
      <c r="AH43" s="40"/>
      <c r="AI43" s="40"/>
      <c r="AJ43" s="40"/>
      <c r="AK43" s="40"/>
      <c r="AL43" s="40"/>
      <c r="AM43" s="599"/>
      <c r="AN43" s="599"/>
      <c r="AO43" s="40"/>
      <c r="AP43" s="40"/>
      <c r="AQ43" s="40"/>
      <c r="AR43" s="40"/>
      <c r="AS43" s="40"/>
      <c r="AT43" s="599"/>
      <c r="AU43" s="599"/>
      <c r="AV43" s="40"/>
      <c r="AW43" s="40"/>
      <c r="AX43" s="40"/>
      <c r="AY43" s="40"/>
      <c r="AZ43" s="40"/>
      <c r="BA43" s="599"/>
      <c r="BB43" s="599"/>
      <c r="BC43" s="40"/>
      <c r="BD43" s="40"/>
      <c r="BE43" s="40"/>
      <c r="BF43" s="40"/>
      <c r="BG43" s="40"/>
      <c r="BH43" s="599"/>
      <c r="BI43" s="599"/>
    </row>
    <row r="44" spans="1:61" ht="15.75">
      <c r="A44" s="648" t="s">
        <v>453</v>
      </c>
      <c r="B44" s="607">
        <f>S.Notice.OpenComment</f>
        <v>41989</v>
      </c>
      <c r="C44" s="607">
        <f>S.Notice.CloseComment</f>
        <v>42024</v>
      </c>
      <c r="D44" s="607"/>
      <c r="E44" s="601">
        <f t="shared" ca="1" si="2"/>
        <v>0</v>
      </c>
      <c r="F44" s="40"/>
      <c r="G44" s="40"/>
      <c r="H44" s="40"/>
      <c r="I44" s="40"/>
      <c r="J44" s="40"/>
      <c r="K44" s="598"/>
      <c r="L44" s="598"/>
      <c r="M44" s="40"/>
      <c r="N44" s="40"/>
      <c r="O44" s="40"/>
      <c r="P44" s="40"/>
      <c r="Q44" s="40"/>
      <c r="R44" s="599"/>
      <c r="S44" s="599"/>
      <c r="T44" s="40"/>
      <c r="U44" s="40"/>
      <c r="V44" s="40"/>
      <c r="W44" s="40"/>
      <c r="X44" s="40"/>
      <c r="Y44" s="599"/>
      <c r="Z44" s="599"/>
      <c r="AA44" s="40"/>
      <c r="AB44" s="40"/>
      <c r="AC44" s="40"/>
      <c r="AD44" s="40"/>
      <c r="AE44" s="40"/>
      <c r="AF44" s="599"/>
      <c r="AG44" s="599"/>
      <c r="AH44" s="40"/>
      <c r="AI44" s="40"/>
      <c r="AJ44" s="40"/>
      <c r="AK44" s="40"/>
      <c r="AL44" s="40"/>
      <c r="AM44" s="599"/>
      <c r="AN44" s="599"/>
      <c r="AO44" s="40"/>
      <c r="AP44" s="40"/>
      <c r="AQ44" s="40"/>
      <c r="AR44" s="40"/>
      <c r="AS44" s="40"/>
      <c r="AT44" s="599"/>
      <c r="AU44" s="599"/>
      <c r="AV44" s="40"/>
      <c r="AW44" s="40"/>
      <c r="AX44" s="40"/>
      <c r="AY44" s="40"/>
      <c r="AZ44" s="40"/>
      <c r="BA44" s="599"/>
      <c r="BB44" s="599"/>
      <c r="BC44" s="40"/>
      <c r="BD44" s="40"/>
      <c r="BE44" s="40"/>
      <c r="BF44" s="40"/>
      <c r="BG44" s="40"/>
      <c r="BH44" s="599"/>
      <c r="BI44" s="599"/>
    </row>
    <row r="45" spans="1:61" ht="15.75">
      <c r="A45" s="648" t="s">
        <v>454</v>
      </c>
      <c r="B45" s="607">
        <f>C45</f>
        <v>41964</v>
      </c>
      <c r="C45" s="607">
        <f>S.Notice.ADABriefing</f>
        <v>41964</v>
      </c>
      <c r="D45" s="607"/>
      <c r="E45" s="601">
        <f t="shared" ca="1" si="2"/>
        <v>0</v>
      </c>
      <c r="F45" s="40"/>
      <c r="G45" s="40"/>
      <c r="H45" s="40"/>
      <c r="I45" s="40"/>
      <c r="J45" s="40"/>
      <c r="K45" s="598"/>
      <c r="L45" s="598"/>
      <c r="M45" s="40"/>
      <c r="N45" s="40"/>
      <c r="O45" s="40"/>
      <c r="P45" s="40"/>
      <c r="Q45" s="40"/>
      <c r="R45" s="599"/>
      <c r="S45" s="599"/>
      <c r="T45" s="40"/>
      <c r="U45" s="40"/>
      <c r="V45" s="40"/>
      <c r="W45" s="40"/>
      <c r="X45" s="40"/>
      <c r="Y45" s="599"/>
      <c r="Z45" s="599"/>
      <c r="AA45" s="40"/>
      <c r="AB45" s="40"/>
      <c r="AC45" s="40"/>
      <c r="AD45" s="40"/>
      <c r="AE45" s="40"/>
      <c r="AF45" s="599"/>
      <c r="AG45" s="599"/>
      <c r="AH45" s="40"/>
      <c r="AI45" s="40"/>
      <c r="AJ45" s="40"/>
      <c r="AK45" s="40"/>
      <c r="AL45" s="40"/>
      <c r="AM45" s="599"/>
      <c r="AN45" s="599"/>
      <c r="AO45" s="40"/>
      <c r="AP45" s="40"/>
      <c r="AQ45" s="40"/>
      <c r="AR45" s="40"/>
      <c r="AS45" s="40"/>
      <c r="AT45" s="599"/>
      <c r="AU45" s="599"/>
      <c r="AV45" s="40"/>
      <c r="AW45" s="40"/>
      <c r="AX45" s="40"/>
      <c r="AY45" s="40"/>
      <c r="AZ45" s="40"/>
      <c r="BA45" s="599"/>
      <c r="BB45" s="599"/>
      <c r="BC45" s="40"/>
      <c r="BD45" s="40"/>
      <c r="BE45" s="40"/>
      <c r="BF45" s="40"/>
      <c r="BG45" s="40"/>
      <c r="BH45" s="599"/>
      <c r="BI45" s="599"/>
    </row>
    <row r="46" spans="1:61" ht="15.75">
      <c r="A46" s="648" t="s">
        <v>455</v>
      </c>
      <c r="B46" s="607">
        <f>S.Notice.DASNotification</f>
        <v>0</v>
      </c>
      <c r="C46" s="607">
        <f>B46</f>
        <v>0</v>
      </c>
      <c r="D46" s="607"/>
      <c r="E46" s="601">
        <f t="shared" ca="1" si="2"/>
        <v>1</v>
      </c>
      <c r="F46" s="40"/>
      <c r="G46" s="40"/>
      <c r="H46" s="40"/>
      <c r="I46" s="40"/>
      <c r="J46" s="40"/>
      <c r="K46" s="598"/>
      <c r="L46" s="598"/>
      <c r="M46" s="40"/>
      <c r="N46" s="40"/>
      <c r="O46" s="40"/>
      <c r="P46" s="40"/>
      <c r="Q46" s="40"/>
      <c r="R46" s="599"/>
      <c r="S46" s="599"/>
      <c r="T46" s="40"/>
      <c r="U46" s="40"/>
      <c r="V46" s="40"/>
      <c r="W46" s="40"/>
      <c r="X46" s="40"/>
      <c r="Y46" s="599"/>
      <c r="Z46" s="599"/>
      <c r="AA46" s="40"/>
      <c r="AB46" s="40"/>
      <c r="AC46" s="40"/>
      <c r="AD46" s="40"/>
      <c r="AE46" s="40"/>
      <c r="AF46" s="599"/>
      <c r="AG46" s="599"/>
      <c r="AH46" s="40"/>
      <c r="AI46" s="40"/>
      <c r="AJ46" s="40"/>
      <c r="AK46" s="40"/>
      <c r="AL46" s="40"/>
      <c r="AM46" s="599"/>
      <c r="AN46" s="599"/>
      <c r="AO46" s="40"/>
      <c r="AP46" s="40"/>
      <c r="AQ46" s="40"/>
      <c r="AR46" s="40"/>
      <c r="AS46" s="40"/>
      <c r="AT46" s="599"/>
      <c r="AU46" s="599"/>
      <c r="AV46" s="40"/>
      <c r="AW46" s="40"/>
      <c r="AX46" s="40"/>
      <c r="AY46" s="40"/>
      <c r="AZ46" s="40"/>
      <c r="BA46" s="599"/>
      <c r="BB46" s="599"/>
      <c r="BC46" s="40"/>
      <c r="BD46" s="40"/>
      <c r="BE46" s="40"/>
      <c r="BF46" s="40"/>
      <c r="BG46" s="40"/>
      <c r="BH46" s="599"/>
      <c r="BI46" s="599"/>
    </row>
    <row r="47" spans="1:61" ht="15.75">
      <c r="A47" s="648" t="s">
        <v>456</v>
      </c>
      <c r="B47" s="607">
        <f>S.Notice.PreviewBegin</f>
        <v>41967</v>
      </c>
      <c r="C47" s="607">
        <f>S.Notice.PreviewEnd</f>
        <v>41974</v>
      </c>
      <c r="D47" s="607"/>
      <c r="E47" s="601">
        <f t="shared" ca="1" si="2"/>
        <v>0</v>
      </c>
      <c r="F47" s="40"/>
      <c r="G47" s="40"/>
      <c r="H47" s="40"/>
      <c r="I47" s="40"/>
      <c r="J47" s="40"/>
      <c r="K47" s="598"/>
      <c r="L47" s="598"/>
      <c r="M47" s="40"/>
      <c r="N47" s="40"/>
      <c r="O47" s="40"/>
      <c r="P47" s="40"/>
      <c r="Q47" s="40"/>
      <c r="R47" s="599"/>
      <c r="S47" s="599"/>
      <c r="T47" s="40"/>
      <c r="U47" s="40"/>
      <c r="V47" s="40"/>
      <c r="W47" s="40"/>
      <c r="X47" s="40"/>
      <c r="Y47" s="599"/>
      <c r="Z47" s="599"/>
      <c r="AA47" s="40"/>
      <c r="AB47" s="40"/>
      <c r="AC47" s="40"/>
      <c r="AD47" s="40"/>
      <c r="AE47" s="40"/>
      <c r="AF47" s="599"/>
      <c r="AG47" s="599"/>
      <c r="AH47" s="40"/>
      <c r="AI47" s="40"/>
      <c r="AJ47" s="40"/>
      <c r="AK47" s="40"/>
      <c r="AL47" s="40"/>
      <c r="AM47" s="599"/>
      <c r="AN47" s="599"/>
      <c r="AO47" s="40"/>
      <c r="AP47" s="40"/>
      <c r="AQ47" s="40"/>
      <c r="AR47" s="40"/>
      <c r="AS47" s="40"/>
      <c r="AT47" s="599"/>
      <c r="AU47" s="599"/>
      <c r="AV47" s="40"/>
      <c r="AW47" s="40"/>
      <c r="AX47" s="40"/>
      <c r="AY47" s="40"/>
      <c r="AZ47" s="40"/>
      <c r="BA47" s="599"/>
      <c r="BB47" s="599"/>
      <c r="BC47" s="40"/>
      <c r="BD47" s="40"/>
      <c r="BE47" s="40"/>
      <c r="BF47" s="40"/>
      <c r="BG47" s="40"/>
      <c r="BH47" s="599"/>
      <c r="BI47" s="599"/>
    </row>
    <row r="48" spans="1:61" ht="15.75">
      <c r="A48" s="648" t="s">
        <v>457</v>
      </c>
      <c r="B48" s="607">
        <f>S.Notice.SubmitToSOS</f>
        <v>41988</v>
      </c>
      <c r="C48" s="607">
        <f>S.Notice.InOregonBulletin</f>
        <v>42005</v>
      </c>
      <c r="D48" s="607"/>
      <c r="E48" s="601">
        <f t="shared" ca="1" si="2"/>
        <v>0</v>
      </c>
      <c r="F48" s="40"/>
      <c r="G48" s="40"/>
      <c r="H48" s="40"/>
      <c r="I48" s="40"/>
      <c r="J48" s="40"/>
      <c r="K48" s="598"/>
      <c r="L48" s="598"/>
      <c r="M48" s="40"/>
      <c r="N48" s="40"/>
      <c r="O48" s="40"/>
      <c r="P48" s="40"/>
      <c r="Q48" s="40"/>
      <c r="R48" s="599"/>
      <c r="S48" s="599"/>
      <c r="T48" s="40"/>
      <c r="U48" s="40"/>
      <c r="V48" s="40"/>
      <c r="W48" s="40"/>
      <c r="X48" s="40"/>
      <c r="Y48" s="599"/>
      <c r="Z48" s="599"/>
      <c r="AA48" s="40"/>
      <c r="AB48" s="40"/>
      <c r="AC48" s="40"/>
      <c r="AD48" s="40"/>
      <c r="AE48" s="40"/>
      <c r="AF48" s="599"/>
      <c r="AG48" s="599"/>
      <c r="AH48" s="40"/>
      <c r="AI48" s="40"/>
      <c r="AJ48" s="40"/>
      <c r="AK48" s="40"/>
      <c r="AL48" s="40"/>
      <c r="AM48" s="599"/>
      <c r="AN48" s="599"/>
      <c r="AO48" s="40"/>
      <c r="AP48" s="40"/>
      <c r="AQ48" s="40"/>
      <c r="AR48" s="40"/>
      <c r="AS48" s="40"/>
      <c r="AT48" s="599"/>
      <c r="AU48" s="599"/>
      <c r="AV48" s="40"/>
      <c r="AW48" s="40"/>
      <c r="AX48" s="40"/>
      <c r="AY48" s="40"/>
      <c r="AZ48" s="40"/>
      <c r="BA48" s="599"/>
      <c r="BB48" s="599"/>
      <c r="BC48" s="40"/>
      <c r="BD48" s="40"/>
      <c r="BE48" s="40"/>
      <c r="BF48" s="40"/>
      <c r="BG48" s="40"/>
      <c r="BH48" s="599"/>
      <c r="BI48" s="599"/>
    </row>
    <row r="49" spans="1:61" ht="15.75">
      <c r="A49" s="648" t="s">
        <v>458</v>
      </c>
      <c r="B49" s="607">
        <f>S.Hearing.1stDate</f>
        <v>42019</v>
      </c>
      <c r="C49" s="607">
        <f>S.Notice.LastHearingDate</f>
        <v>42019</v>
      </c>
      <c r="D49" s="607"/>
      <c r="E49" s="601">
        <f t="shared" ca="1" si="2"/>
        <v>0</v>
      </c>
      <c r="F49" s="40"/>
      <c r="G49" s="40"/>
      <c r="H49" s="40"/>
      <c r="I49" s="40"/>
      <c r="J49" s="40"/>
      <c r="K49" s="598"/>
      <c r="L49" s="598"/>
      <c r="M49" s="40"/>
      <c r="N49" s="40"/>
      <c r="O49" s="40"/>
      <c r="P49" s="40"/>
      <c r="Q49" s="40"/>
      <c r="R49" s="599"/>
      <c r="S49" s="599"/>
      <c r="T49" s="40"/>
      <c r="U49" s="40"/>
      <c r="V49" s="40"/>
      <c r="W49" s="40"/>
      <c r="X49" s="40"/>
      <c r="Y49" s="599"/>
      <c r="Z49" s="599"/>
      <c r="AA49" s="40"/>
      <c r="AB49" s="40"/>
      <c r="AC49" s="40"/>
      <c r="AD49" s="40"/>
      <c r="AE49" s="40"/>
      <c r="AF49" s="599"/>
      <c r="AG49" s="599"/>
      <c r="AH49" s="40"/>
      <c r="AI49" s="40"/>
      <c r="AJ49" s="40"/>
      <c r="AK49" s="40"/>
      <c r="AL49" s="40"/>
      <c r="AM49" s="599"/>
      <c r="AN49" s="599"/>
      <c r="AO49" s="40"/>
      <c r="AP49" s="40"/>
      <c r="AQ49" s="40"/>
      <c r="AR49" s="40"/>
      <c r="AS49" s="40"/>
      <c r="AT49" s="599"/>
      <c r="AU49" s="599"/>
      <c r="AV49" s="40"/>
      <c r="AW49" s="40"/>
      <c r="AX49" s="40"/>
      <c r="AY49" s="40"/>
      <c r="AZ49" s="40"/>
      <c r="BA49" s="599"/>
      <c r="BB49" s="599"/>
      <c r="BC49" s="40"/>
      <c r="BD49" s="40"/>
      <c r="BE49" s="40"/>
      <c r="BF49" s="40"/>
      <c r="BG49" s="40"/>
      <c r="BH49" s="599"/>
      <c r="BI49" s="599"/>
    </row>
    <row r="50" spans="1:61" ht="15.75">
      <c r="A50" s="605" t="s">
        <v>459</v>
      </c>
      <c r="B50" s="607" t="s">
        <v>0</v>
      </c>
      <c r="C50" s="607" t="s">
        <v>0</v>
      </c>
      <c r="D50" s="607"/>
      <c r="E50" s="601">
        <f t="shared" ca="1" si="2"/>
        <v>0</v>
      </c>
      <c r="F50" s="40"/>
      <c r="G50" s="40"/>
      <c r="H50" s="40"/>
      <c r="I50" s="40"/>
      <c r="J50" s="40"/>
      <c r="K50" s="598"/>
      <c r="L50" s="598"/>
      <c r="M50" s="40"/>
      <c r="N50" s="40"/>
      <c r="O50" s="40"/>
      <c r="P50" s="40"/>
      <c r="Q50" s="40"/>
      <c r="R50" s="599"/>
      <c r="S50" s="599"/>
      <c r="T50" s="40"/>
      <c r="U50" s="40"/>
      <c r="V50" s="40"/>
      <c r="W50" s="40"/>
      <c r="X50" s="40"/>
      <c r="Y50" s="599"/>
      <c r="Z50" s="599"/>
      <c r="AA50" s="40"/>
      <c r="AB50" s="40"/>
      <c r="AC50" s="40"/>
      <c r="AD50" s="40"/>
      <c r="AE50" s="40"/>
      <c r="AF50" s="599"/>
      <c r="AG50" s="599"/>
      <c r="AH50" s="40"/>
      <c r="AI50" s="40"/>
      <c r="AJ50" s="40"/>
      <c r="AK50" s="40"/>
      <c r="AL50" s="40"/>
      <c r="AM50" s="599"/>
      <c r="AN50" s="599"/>
      <c r="AO50" s="40"/>
      <c r="AP50" s="40"/>
      <c r="AQ50" s="40"/>
      <c r="AR50" s="40"/>
      <c r="AS50" s="40"/>
      <c r="AT50" s="599"/>
      <c r="AU50" s="599"/>
      <c r="AV50" s="40"/>
      <c r="AW50" s="40"/>
      <c r="AX50" s="40"/>
      <c r="AY50" s="40"/>
      <c r="AZ50" s="40"/>
      <c r="BA50" s="599"/>
      <c r="BB50" s="599"/>
      <c r="BC50" s="40"/>
      <c r="BD50" s="40"/>
      <c r="BE50" s="40"/>
      <c r="BF50" s="40"/>
      <c r="BG50" s="40"/>
      <c r="BH50" s="599"/>
      <c r="BI50" s="599"/>
    </row>
    <row r="51" spans="1:61" ht="15.75">
      <c r="A51" s="650" t="s">
        <v>460</v>
      </c>
      <c r="B51" s="607">
        <f>S.EQC.Meeting</f>
        <v>42078</v>
      </c>
      <c r="C51" s="607">
        <f>B51</f>
        <v>42078</v>
      </c>
      <c r="D51" s="607"/>
      <c r="E51" s="601">
        <f t="shared" ca="1" si="2"/>
        <v>0</v>
      </c>
      <c r="F51" s="40"/>
      <c r="G51" s="40"/>
      <c r="H51" s="40"/>
      <c r="I51" s="40"/>
      <c r="J51" s="40"/>
      <c r="K51" s="598"/>
      <c r="L51" s="598"/>
      <c r="M51" s="40"/>
      <c r="N51" s="40"/>
      <c r="O51" s="40"/>
      <c r="P51" s="40"/>
      <c r="Q51" s="40"/>
      <c r="R51" s="599"/>
      <c r="S51" s="599"/>
      <c r="T51" s="40"/>
      <c r="U51" s="40"/>
      <c r="V51" s="40"/>
      <c r="W51" s="40"/>
      <c r="X51" s="40"/>
      <c r="Y51" s="599"/>
      <c r="Z51" s="599"/>
      <c r="AA51" s="40"/>
      <c r="AB51" s="40"/>
      <c r="AC51" s="40"/>
      <c r="AD51" s="40"/>
      <c r="AE51" s="40"/>
      <c r="AF51" s="599"/>
      <c r="AG51" s="599"/>
      <c r="AH51" s="40"/>
      <c r="AI51" s="40"/>
      <c r="AJ51" s="40"/>
      <c r="AK51" s="40"/>
      <c r="AL51" s="40"/>
      <c r="AM51" s="599"/>
      <c r="AN51" s="599"/>
      <c r="AO51" s="40"/>
      <c r="AP51" s="40"/>
      <c r="AQ51" s="40"/>
      <c r="AR51" s="40"/>
      <c r="AS51" s="40"/>
      <c r="AT51" s="599"/>
      <c r="AU51" s="599"/>
      <c r="AV51" s="40"/>
      <c r="AW51" s="40"/>
      <c r="AX51" s="40"/>
      <c r="AY51" s="40"/>
      <c r="AZ51" s="40"/>
      <c r="BA51" s="599"/>
      <c r="BB51" s="599"/>
      <c r="BC51" s="40"/>
      <c r="BD51" s="40"/>
      <c r="BE51" s="40"/>
      <c r="BF51" s="40"/>
      <c r="BG51" s="40"/>
      <c r="BH51" s="599"/>
      <c r="BI51" s="599"/>
    </row>
    <row r="52" spans="1:61" ht="15.75">
      <c r="A52" s="608" t="s">
        <v>461</v>
      </c>
      <c r="B52" s="607" t="s">
        <v>0</v>
      </c>
      <c r="C52" s="607" t="s">
        <v>0</v>
      </c>
      <c r="D52" s="607"/>
      <c r="E52" s="601">
        <f t="shared" ca="1" si="2"/>
        <v>0</v>
      </c>
      <c r="F52" s="40"/>
      <c r="G52" s="40"/>
      <c r="H52" s="40"/>
      <c r="I52" s="40"/>
      <c r="J52" s="40"/>
      <c r="K52" s="598"/>
      <c r="L52" s="598"/>
      <c r="M52" s="40"/>
      <c r="N52" s="40"/>
      <c r="O52" s="40"/>
      <c r="P52" s="40"/>
      <c r="Q52" s="40"/>
      <c r="R52" s="599"/>
      <c r="S52" s="599"/>
      <c r="T52" s="40"/>
      <c r="U52" s="40"/>
      <c r="V52" s="40"/>
      <c r="W52" s="40"/>
      <c r="X52" s="40"/>
      <c r="Y52" s="599"/>
      <c r="Z52" s="599"/>
      <c r="AA52" s="40"/>
      <c r="AB52" s="40"/>
      <c r="AC52" s="40"/>
      <c r="AD52" s="40"/>
      <c r="AE52" s="40"/>
      <c r="AF52" s="599"/>
      <c r="AG52" s="599"/>
      <c r="AH52" s="40"/>
      <c r="AI52" s="40"/>
      <c r="AJ52" s="40"/>
      <c r="AK52" s="40"/>
      <c r="AL52" s="40"/>
      <c r="AM52" s="599"/>
      <c r="AN52" s="599"/>
      <c r="AO52" s="40"/>
      <c r="AP52" s="40"/>
      <c r="AQ52" s="40"/>
      <c r="AR52" s="40"/>
      <c r="AS52" s="40"/>
      <c r="AT52" s="599"/>
      <c r="AU52" s="599"/>
      <c r="AV52" s="40"/>
      <c r="AW52" s="40"/>
      <c r="AX52" s="40"/>
      <c r="AY52" s="40"/>
      <c r="AZ52" s="40"/>
      <c r="BA52" s="599"/>
      <c r="BB52" s="599"/>
      <c r="BC52" s="40"/>
      <c r="BD52" s="40"/>
      <c r="BE52" s="40"/>
      <c r="BF52" s="40"/>
      <c r="BG52" s="40"/>
      <c r="BH52" s="599"/>
      <c r="BI52" s="599"/>
    </row>
    <row r="53" spans="1:61" ht="15.75">
      <c r="A53" s="648" t="s">
        <v>462</v>
      </c>
      <c r="B53" s="607">
        <f>S.PostEQC.FileRuleWithSOS</f>
        <v>42080</v>
      </c>
      <c r="C53" s="607">
        <f>S.PostEQC.RuleEffective</f>
        <v>42080</v>
      </c>
      <c r="D53" s="607"/>
      <c r="E53" s="601">
        <f t="shared" ca="1" si="2"/>
        <v>0</v>
      </c>
      <c r="F53" s="40"/>
      <c r="G53" s="40"/>
      <c r="H53" s="40"/>
      <c r="I53" s="40"/>
      <c r="J53" s="40"/>
      <c r="K53" s="598"/>
      <c r="L53" s="598"/>
      <c r="M53" s="40"/>
      <c r="N53" s="40"/>
      <c r="O53" s="40"/>
      <c r="P53" s="40"/>
      <c r="Q53" s="40"/>
      <c r="R53" s="599"/>
      <c r="S53" s="599"/>
      <c r="T53" s="40"/>
      <c r="U53" s="40"/>
      <c r="V53" s="40"/>
      <c r="W53" s="40"/>
      <c r="X53" s="40"/>
      <c r="Y53" s="599"/>
      <c r="Z53" s="599"/>
      <c r="AA53" s="40"/>
      <c r="AB53" s="40"/>
      <c r="AC53" s="40"/>
      <c r="AD53" s="40"/>
      <c r="AE53" s="40"/>
      <c r="AF53" s="599"/>
      <c r="AG53" s="599"/>
      <c r="AH53" s="40"/>
      <c r="AI53" s="40"/>
      <c r="AJ53" s="40"/>
      <c r="AK53" s="40"/>
      <c r="AL53" s="40"/>
      <c r="AM53" s="599"/>
      <c r="AN53" s="599"/>
      <c r="AO53" s="40"/>
      <c r="AP53" s="40"/>
      <c r="AQ53" s="40"/>
      <c r="AR53" s="40"/>
      <c r="AS53" s="40"/>
      <c r="AT53" s="599"/>
      <c r="AU53" s="599"/>
      <c r="AV53" s="40"/>
      <c r="AW53" s="40"/>
      <c r="AX53" s="40"/>
      <c r="AY53" s="40"/>
      <c r="AZ53" s="40"/>
      <c r="BA53" s="599"/>
      <c r="BB53" s="599"/>
      <c r="BC53" s="40"/>
      <c r="BD53" s="40"/>
      <c r="BE53" s="40"/>
      <c r="BF53" s="40"/>
      <c r="BG53" s="40"/>
      <c r="BH53" s="599"/>
      <c r="BI53" s="599"/>
    </row>
    <row r="54" spans="1:61" ht="15.75">
      <c r="A54" s="648" t="s">
        <v>463</v>
      </c>
      <c r="B54" s="607">
        <f>S.PostEQC.SubmitDASPart2</f>
        <v>42083</v>
      </c>
      <c r="C54" s="607">
        <f>B54</f>
        <v>42083</v>
      </c>
      <c r="D54" s="607"/>
      <c r="E54" s="601">
        <f t="shared" ca="1" si="2"/>
        <v>0</v>
      </c>
      <c r="F54" s="40"/>
      <c r="G54" s="40"/>
      <c r="H54" s="40"/>
      <c r="I54" s="40"/>
      <c r="J54" s="40"/>
      <c r="K54" s="598"/>
      <c r="L54" s="598"/>
      <c r="M54" s="40"/>
      <c r="N54" s="40"/>
      <c r="O54" s="40"/>
      <c r="P54" s="40"/>
      <c r="Q54" s="40"/>
      <c r="R54" s="599"/>
      <c r="S54" s="599"/>
      <c r="T54" s="40"/>
      <c r="U54" s="40"/>
      <c r="V54" s="40"/>
      <c r="W54" s="40"/>
      <c r="X54" s="40"/>
      <c r="Y54" s="599"/>
      <c r="Z54" s="599"/>
      <c r="AA54" s="40"/>
      <c r="AB54" s="40"/>
      <c r="AC54" s="40"/>
      <c r="AD54" s="40"/>
      <c r="AE54" s="40"/>
      <c r="AF54" s="599"/>
      <c r="AG54" s="599"/>
      <c r="AH54" s="40"/>
      <c r="AI54" s="40"/>
      <c r="AJ54" s="40"/>
      <c r="AK54" s="40"/>
      <c r="AL54" s="40"/>
      <c r="AM54" s="599"/>
      <c r="AN54" s="599"/>
      <c r="AO54" s="40"/>
      <c r="AP54" s="40"/>
      <c r="AQ54" s="40"/>
      <c r="AR54" s="40"/>
      <c r="AS54" s="40"/>
      <c r="AT54" s="599"/>
      <c r="AU54" s="599"/>
      <c r="AV54" s="40"/>
      <c r="AW54" s="40"/>
      <c r="AX54" s="40"/>
      <c r="AY54" s="40"/>
      <c r="AZ54" s="40"/>
      <c r="BA54" s="599"/>
      <c r="BB54" s="599"/>
      <c r="BC54" s="40"/>
      <c r="BD54" s="40"/>
      <c r="BE54" s="40"/>
      <c r="BF54" s="40"/>
      <c r="BG54" s="40"/>
      <c r="BH54" s="599"/>
      <c r="BI54" s="599"/>
    </row>
    <row r="55" spans="1:61" ht="15.75">
      <c r="A55" s="648" t="s">
        <v>464</v>
      </c>
      <c r="B55" s="607">
        <f>S.PostEQC.SubmitSIPToEPA</f>
        <v>42138</v>
      </c>
      <c r="C55" s="607">
        <f>B55</f>
        <v>42138</v>
      </c>
      <c r="D55" s="607"/>
      <c r="E55" s="601">
        <f t="shared" ca="1" si="2"/>
        <v>0</v>
      </c>
      <c r="F55" s="40"/>
      <c r="G55" s="40"/>
      <c r="H55" s="40"/>
      <c r="I55" s="40"/>
      <c r="J55" s="40"/>
      <c r="K55" s="598"/>
      <c r="L55" s="598"/>
      <c r="M55" s="40"/>
      <c r="N55" s="40"/>
      <c r="O55" s="40"/>
      <c r="P55" s="40"/>
      <c r="Q55" s="40"/>
      <c r="R55" s="599"/>
      <c r="S55" s="599"/>
      <c r="T55" s="40"/>
      <c r="U55" s="40"/>
      <c r="V55" s="40"/>
      <c r="W55" s="40"/>
      <c r="X55" s="40"/>
      <c r="Y55" s="599"/>
      <c r="Z55" s="599"/>
      <c r="AA55" s="40"/>
      <c r="AB55" s="40"/>
      <c r="AC55" s="40"/>
      <c r="AD55" s="40"/>
      <c r="AE55" s="40"/>
      <c r="AF55" s="599"/>
      <c r="AG55" s="599"/>
      <c r="AH55" s="40"/>
      <c r="AI55" s="40"/>
      <c r="AJ55" s="40"/>
      <c r="AK55" s="40"/>
      <c r="AL55" s="40"/>
      <c r="AM55" s="599"/>
      <c r="AN55" s="599"/>
      <c r="AO55" s="40"/>
      <c r="AP55" s="40"/>
      <c r="AQ55" s="40"/>
      <c r="AR55" s="40"/>
      <c r="AS55" s="40"/>
      <c r="AT55" s="599"/>
      <c r="AU55" s="599"/>
      <c r="AV55" s="40"/>
      <c r="AW55" s="40"/>
      <c r="AX55" s="40"/>
      <c r="AY55" s="40"/>
      <c r="AZ55" s="40"/>
      <c r="BA55" s="599"/>
      <c r="BB55" s="599"/>
      <c r="BC55" s="40"/>
      <c r="BD55" s="40"/>
      <c r="BE55" s="40"/>
      <c r="BF55" s="40"/>
      <c r="BG55" s="40"/>
      <c r="BH55" s="599"/>
      <c r="BI55" s="599"/>
    </row>
    <row r="56" spans="1:61">
      <c r="A56" s="594"/>
      <c r="B56" s="594"/>
      <c r="C56" s="594"/>
      <c r="D56" s="594"/>
      <c r="E56" s="601">
        <f t="shared" ca="1" si="2"/>
        <v>1</v>
      </c>
      <c r="F56" s="40"/>
      <c r="G56" s="40"/>
      <c r="H56" s="40"/>
      <c r="I56" s="40"/>
      <c r="J56" s="40"/>
      <c r="K56" s="598"/>
      <c r="L56" s="598"/>
      <c r="M56" s="40"/>
      <c r="N56" s="40"/>
      <c r="O56" s="40"/>
      <c r="P56" s="40"/>
      <c r="Q56" s="40"/>
      <c r="R56" s="599"/>
      <c r="S56" s="599"/>
      <c r="T56" s="40"/>
      <c r="U56" s="40"/>
      <c r="V56" s="40"/>
      <c r="W56" s="40"/>
      <c r="X56" s="40"/>
      <c r="Y56" s="599"/>
      <c r="Z56" s="599"/>
      <c r="AA56" s="40"/>
      <c r="AB56" s="40"/>
      <c r="AC56" s="40"/>
      <c r="AD56" s="40"/>
      <c r="AE56" s="40"/>
      <c r="AF56" s="599"/>
      <c r="AG56" s="599"/>
      <c r="AH56" s="40"/>
      <c r="AI56" s="40"/>
      <c r="AJ56" s="40"/>
      <c r="AK56" s="40"/>
      <c r="AL56" s="40"/>
      <c r="AM56" s="599"/>
      <c r="AN56" s="599"/>
      <c r="AO56" s="40"/>
      <c r="AP56" s="40"/>
      <c r="AQ56" s="40"/>
      <c r="AR56" s="40"/>
      <c r="AS56" s="40"/>
      <c r="AT56" s="599"/>
      <c r="AU56" s="599"/>
      <c r="AV56" s="40"/>
      <c r="AW56" s="40"/>
      <c r="AX56" s="40"/>
      <c r="AY56" s="40"/>
      <c r="AZ56" s="40"/>
      <c r="BA56" s="599"/>
      <c r="BB56" s="599"/>
      <c r="BC56" s="40"/>
      <c r="BD56" s="40"/>
      <c r="BE56" s="40"/>
      <c r="BF56" s="40"/>
      <c r="BG56" s="40"/>
      <c r="BH56" s="599"/>
      <c r="BI56" s="599"/>
    </row>
    <row r="57" spans="1:61">
      <c r="A57" s="602"/>
      <c r="B57" s="602"/>
      <c r="C57" s="602"/>
      <c r="D57" s="602"/>
      <c r="E57" s="601">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2"/>
      <c r="B58" s="602"/>
      <c r="C58" s="602"/>
      <c r="D58" s="602"/>
      <c r="E58" s="75"/>
      <c r="F58" s="75"/>
      <c r="G58" s="75"/>
      <c r="H58" s="75"/>
      <c r="I58" s="75"/>
      <c r="J58" s="75"/>
      <c r="K58" s="596"/>
      <c r="L58" s="596"/>
      <c r="M58" s="75"/>
      <c r="N58" s="75"/>
      <c r="O58" s="75"/>
      <c r="P58" s="75"/>
      <c r="Q58" s="75"/>
      <c r="R58" s="597"/>
      <c r="S58" s="597"/>
      <c r="T58" s="75"/>
      <c r="U58" s="75"/>
      <c r="V58" s="75"/>
      <c r="W58" s="75"/>
      <c r="X58" s="75"/>
      <c r="Y58" s="75"/>
      <c r="Z58" s="75"/>
      <c r="AA58" s="75"/>
      <c r="AB58" s="75"/>
      <c r="AC58" s="75"/>
      <c r="AD58" s="75"/>
      <c r="AE58" s="75"/>
      <c r="AF58" s="597"/>
      <c r="AG58" s="597"/>
      <c r="AH58" s="75"/>
      <c r="AI58" s="75"/>
      <c r="AJ58" s="75"/>
      <c r="AK58" s="75"/>
      <c r="AL58" s="75"/>
      <c r="AM58" s="75"/>
      <c r="AN58" s="75"/>
      <c r="AO58" s="75"/>
      <c r="AP58" s="75"/>
      <c r="AQ58" s="75"/>
      <c r="AR58" s="75"/>
      <c r="AS58" s="75"/>
      <c r="AT58" s="597"/>
      <c r="AU58" s="597"/>
      <c r="AV58" s="75"/>
      <c r="AW58" s="75"/>
      <c r="AX58" s="75"/>
      <c r="AY58" s="75"/>
      <c r="AZ58" s="75"/>
      <c r="BA58" s="75"/>
      <c r="BB58" s="75"/>
      <c r="BC58" s="75"/>
      <c r="BD58" s="75"/>
      <c r="BE58" s="75"/>
      <c r="BF58" s="75"/>
      <c r="BG58" s="75"/>
      <c r="BH58" s="597"/>
      <c r="BI58" s="597"/>
    </row>
    <row r="59" spans="1:61">
      <c r="A59" s="602"/>
      <c r="B59" s="602"/>
      <c r="C59" s="602"/>
      <c r="D59" s="602"/>
      <c r="E59" s="75"/>
      <c r="F59" s="75"/>
      <c r="G59" s="75"/>
      <c r="H59" s="75"/>
      <c r="I59" s="75"/>
      <c r="J59" s="75"/>
      <c r="K59" s="596"/>
      <c r="L59" s="596"/>
      <c r="M59" s="75"/>
      <c r="N59" s="75"/>
      <c r="O59" s="75"/>
      <c r="P59" s="75"/>
      <c r="Q59" s="75"/>
      <c r="R59" s="597"/>
      <c r="S59" s="597"/>
      <c r="T59" s="75"/>
      <c r="U59" s="75"/>
      <c r="V59" s="75"/>
      <c r="W59" s="75"/>
      <c r="X59" s="75"/>
      <c r="Y59" s="75"/>
      <c r="Z59" s="75"/>
      <c r="AA59" s="75"/>
      <c r="AB59" s="75"/>
      <c r="AC59" s="75"/>
      <c r="AD59" s="75"/>
      <c r="AE59" s="75"/>
      <c r="AF59" s="597"/>
      <c r="AG59" s="597"/>
      <c r="AH59" s="75"/>
      <c r="AI59" s="75"/>
      <c r="AJ59" s="75"/>
      <c r="AK59" s="75"/>
      <c r="AL59" s="75"/>
      <c r="AM59" s="75"/>
      <c r="AN59" s="75"/>
      <c r="AO59" s="75"/>
      <c r="AP59" s="75"/>
      <c r="AQ59" s="75"/>
      <c r="AR59" s="75"/>
      <c r="AS59" s="75"/>
      <c r="AT59" s="597"/>
      <c r="AU59" s="597"/>
      <c r="AV59" s="75"/>
      <c r="AW59" s="75"/>
      <c r="AX59" s="75"/>
      <c r="AY59" s="75"/>
      <c r="AZ59" s="75"/>
      <c r="BA59" s="75"/>
      <c r="BB59" s="75"/>
      <c r="BC59" s="75"/>
      <c r="BD59" s="75"/>
      <c r="BE59" s="75"/>
      <c r="BF59" s="75"/>
      <c r="BG59" s="75"/>
      <c r="BH59" s="597"/>
      <c r="BI59" s="597"/>
    </row>
    <row r="60" spans="1:61">
      <c r="A60" s="75"/>
      <c r="B60" s="75"/>
      <c r="C60" s="75"/>
      <c r="D60" s="75"/>
      <c r="E60" s="75"/>
      <c r="F60" s="75"/>
      <c r="G60" s="75"/>
      <c r="H60" s="75"/>
      <c r="I60" s="75"/>
      <c r="J60" s="75"/>
      <c r="K60" s="596"/>
      <c r="L60" s="596"/>
      <c r="M60" s="75"/>
      <c r="N60" s="75"/>
      <c r="O60" s="75"/>
      <c r="P60" s="75"/>
      <c r="Q60" s="75"/>
      <c r="R60" s="597"/>
      <c r="S60" s="597"/>
      <c r="T60" s="75"/>
      <c r="U60" s="75"/>
      <c r="V60" s="75"/>
      <c r="W60" s="75"/>
      <c r="X60" s="75"/>
      <c r="Y60" s="75"/>
      <c r="Z60" s="75"/>
      <c r="AA60" s="75"/>
      <c r="AB60" s="75"/>
      <c r="AC60" s="75"/>
      <c r="AD60" s="75"/>
      <c r="AE60" s="75"/>
      <c r="AF60" s="597"/>
      <c r="AG60" s="597"/>
      <c r="AH60" s="75"/>
      <c r="AI60" s="75"/>
      <c r="AJ60" s="75"/>
      <c r="AK60" s="75"/>
      <c r="AL60" s="75"/>
      <c r="AM60" s="75"/>
      <c r="AN60" s="75"/>
      <c r="AO60" s="75"/>
      <c r="AP60" s="75"/>
      <c r="AQ60" s="75"/>
      <c r="AR60" s="75"/>
      <c r="AS60" s="75"/>
      <c r="AT60" s="597"/>
      <c r="AU60" s="597"/>
      <c r="AV60" s="75"/>
      <c r="AW60" s="75"/>
      <c r="AX60" s="75"/>
      <c r="AY60" s="75"/>
      <c r="AZ60" s="75"/>
      <c r="BA60" s="75"/>
      <c r="BB60" s="75"/>
      <c r="BC60" s="75"/>
      <c r="BD60" s="75"/>
      <c r="BE60" s="75"/>
      <c r="BF60" s="75"/>
      <c r="BG60" s="75"/>
      <c r="BH60" s="597"/>
      <c r="BI60" s="597"/>
    </row>
    <row r="61" spans="1:61">
      <c r="A61" s="75"/>
      <c r="B61" s="75"/>
      <c r="C61" s="75"/>
      <c r="D61" s="75"/>
      <c r="E61" s="75"/>
      <c r="F61" s="75"/>
      <c r="G61" s="75"/>
      <c r="H61" s="75"/>
      <c r="I61" s="75"/>
      <c r="J61" s="75"/>
      <c r="K61" s="596"/>
      <c r="L61" s="596"/>
      <c r="M61" s="75"/>
      <c r="N61" s="75"/>
      <c r="O61" s="75"/>
      <c r="P61" s="75"/>
      <c r="Q61" s="75"/>
      <c r="R61" s="597"/>
      <c r="S61" s="597"/>
      <c r="T61" s="75"/>
      <c r="U61" s="75"/>
      <c r="V61" s="75"/>
      <c r="W61" s="75"/>
      <c r="X61" s="75"/>
      <c r="Y61" s="75"/>
      <c r="Z61" s="75"/>
      <c r="AA61" s="75"/>
      <c r="AB61" s="75"/>
      <c r="AC61" s="75"/>
      <c r="AD61" s="75"/>
      <c r="AE61" s="75"/>
      <c r="AF61" s="597"/>
      <c r="AG61" s="597"/>
      <c r="AH61" s="75"/>
      <c r="AI61" s="75"/>
      <c r="AJ61" s="75"/>
      <c r="AK61" s="75"/>
      <c r="AL61" s="75"/>
      <c r="AM61" s="75"/>
      <c r="AN61" s="75"/>
      <c r="AO61" s="75"/>
      <c r="AP61" s="75"/>
      <c r="AQ61" s="75"/>
      <c r="AR61" s="75"/>
      <c r="AS61" s="75"/>
      <c r="AT61" s="597"/>
      <c r="AU61" s="597"/>
      <c r="AV61" s="75"/>
      <c r="AW61" s="75"/>
      <c r="AX61" s="75"/>
      <c r="AY61" s="75"/>
      <c r="AZ61" s="75"/>
      <c r="BA61" s="75"/>
      <c r="BB61" s="75"/>
      <c r="BC61" s="75"/>
      <c r="BD61" s="75"/>
      <c r="BE61" s="75"/>
      <c r="BF61" s="75"/>
      <c r="BG61" s="75"/>
      <c r="BH61" s="597"/>
      <c r="BI61" s="597"/>
    </row>
    <row r="62" spans="1:61">
      <c r="A62" s="75"/>
      <c r="B62" s="75"/>
      <c r="C62" s="75"/>
      <c r="D62" s="75"/>
      <c r="E62" s="75"/>
      <c r="F62" s="75"/>
      <c r="G62" s="75"/>
      <c r="H62" s="75"/>
      <c r="I62" s="75"/>
      <c r="J62" s="75"/>
      <c r="K62" s="596"/>
      <c r="L62" s="596"/>
      <c r="M62" s="75"/>
      <c r="N62" s="75"/>
      <c r="O62" s="75"/>
      <c r="P62" s="75"/>
      <c r="Q62" s="75"/>
      <c r="R62" s="597"/>
      <c r="S62" s="597"/>
      <c r="T62" s="75"/>
      <c r="U62" s="75"/>
      <c r="V62" s="75"/>
      <c r="W62" s="75"/>
      <c r="X62" s="75"/>
      <c r="Y62" s="75"/>
      <c r="Z62" s="75"/>
      <c r="AA62" s="75"/>
      <c r="AB62" s="75"/>
      <c r="AC62" s="75"/>
      <c r="AD62" s="75"/>
      <c r="AE62" s="75"/>
      <c r="AF62" s="597"/>
      <c r="AG62" s="597"/>
      <c r="AH62" s="75"/>
      <c r="AI62" s="75"/>
      <c r="AJ62" s="75"/>
      <c r="AK62" s="75"/>
      <c r="AL62" s="75"/>
      <c r="AM62" s="75"/>
      <c r="AN62" s="75"/>
      <c r="AO62" s="75"/>
      <c r="AP62" s="75"/>
      <c r="AQ62" s="75"/>
      <c r="AR62" s="75"/>
      <c r="AS62" s="75"/>
      <c r="AT62" s="597"/>
      <c r="AU62" s="597"/>
      <c r="AV62" s="75"/>
      <c r="AW62" s="75"/>
      <c r="AX62" s="75"/>
      <c r="AY62" s="75"/>
      <c r="AZ62" s="75"/>
      <c r="BA62" s="75"/>
      <c r="BB62" s="75"/>
      <c r="BC62" s="75"/>
      <c r="BD62" s="75"/>
      <c r="BE62" s="75"/>
      <c r="BF62" s="75"/>
      <c r="BG62" s="75"/>
      <c r="BH62" s="597"/>
      <c r="BI62" s="597"/>
    </row>
    <row r="63" spans="1:61">
      <c r="A63" s="75"/>
      <c r="B63" s="75"/>
      <c r="C63" s="75"/>
      <c r="D63" s="75"/>
      <c r="E63" s="75"/>
      <c r="F63" s="75"/>
      <c r="G63" s="75"/>
      <c r="H63" s="75"/>
      <c r="I63" s="75"/>
      <c r="J63" s="75"/>
      <c r="K63" s="596"/>
      <c r="L63" s="596"/>
      <c r="M63" s="75"/>
      <c r="N63" s="75"/>
      <c r="O63" s="75"/>
      <c r="P63" s="75"/>
      <c r="Q63" s="75"/>
      <c r="R63" s="597"/>
      <c r="S63" s="597"/>
      <c r="T63" s="75"/>
      <c r="U63" s="75"/>
      <c r="V63" s="75"/>
      <c r="W63" s="75"/>
      <c r="X63" s="75"/>
      <c r="Y63" s="75"/>
      <c r="Z63" s="75"/>
      <c r="AA63" s="75"/>
      <c r="AB63" s="75"/>
      <c r="AC63" s="75"/>
      <c r="AD63" s="75"/>
      <c r="AE63" s="75"/>
      <c r="AF63" s="597"/>
      <c r="AG63" s="597"/>
      <c r="AH63" s="75"/>
      <c r="AI63" s="75"/>
      <c r="AJ63" s="75"/>
      <c r="AK63" s="75"/>
      <c r="AL63" s="75"/>
      <c r="AM63" s="75"/>
      <c r="AN63" s="75"/>
      <c r="AO63" s="75"/>
      <c r="AP63" s="75"/>
      <c r="AQ63" s="75"/>
      <c r="AR63" s="75"/>
      <c r="AS63" s="75"/>
      <c r="AT63" s="597"/>
      <c r="AU63" s="597"/>
      <c r="AV63" s="75"/>
      <c r="AW63" s="75"/>
      <c r="AX63" s="75"/>
      <c r="AY63" s="75"/>
      <c r="AZ63" s="75"/>
      <c r="BA63" s="75"/>
      <c r="BB63" s="75"/>
      <c r="BC63" s="75"/>
      <c r="BD63" s="75"/>
      <c r="BE63" s="75"/>
      <c r="BF63" s="75"/>
      <c r="BG63" s="75"/>
      <c r="BH63" s="597"/>
      <c r="BI63" s="597"/>
    </row>
    <row r="64" spans="1:61">
      <c r="A64" s="75"/>
      <c r="B64" s="75"/>
      <c r="C64" s="75"/>
      <c r="D64" s="75"/>
      <c r="E64" s="75"/>
      <c r="F64" s="75"/>
      <c r="G64" s="75"/>
      <c r="H64" s="75"/>
      <c r="I64" s="75"/>
      <c r="J64" s="75"/>
      <c r="K64" s="596"/>
      <c r="L64" s="596"/>
      <c r="M64" s="75"/>
      <c r="N64" s="75"/>
      <c r="O64" s="75"/>
      <c r="P64" s="75"/>
      <c r="Q64" s="75"/>
      <c r="R64" s="597"/>
      <c r="S64" s="597"/>
      <c r="T64" s="75"/>
      <c r="U64" s="75"/>
      <c r="V64" s="75"/>
      <c r="W64" s="75"/>
      <c r="X64" s="75"/>
      <c r="Y64" s="75"/>
      <c r="Z64" s="75"/>
      <c r="AA64" s="75"/>
      <c r="AB64" s="75"/>
      <c r="AC64" s="75"/>
      <c r="AD64" s="75"/>
      <c r="AE64" s="75"/>
      <c r="AF64" s="597"/>
      <c r="AG64" s="597"/>
      <c r="AH64" s="75"/>
      <c r="AI64" s="75"/>
      <c r="AJ64" s="75"/>
      <c r="AK64" s="75"/>
      <c r="AL64" s="75"/>
      <c r="AM64" s="75"/>
      <c r="AN64" s="75"/>
      <c r="AO64" s="75"/>
      <c r="AP64" s="75"/>
      <c r="AQ64" s="75"/>
      <c r="AR64" s="75"/>
      <c r="AS64" s="75"/>
      <c r="AT64" s="597"/>
      <c r="AU64" s="597"/>
      <c r="AV64" s="75"/>
      <c r="AW64" s="75"/>
      <c r="AX64" s="75"/>
      <c r="AY64" s="75"/>
      <c r="AZ64" s="75"/>
      <c r="BA64" s="75"/>
      <c r="BB64" s="75"/>
      <c r="BC64" s="75"/>
      <c r="BD64" s="75"/>
      <c r="BE64" s="75"/>
      <c r="BF64" s="75"/>
      <c r="BG64" s="75"/>
      <c r="BH64" s="597"/>
      <c r="BI64" s="597"/>
    </row>
    <row r="65" spans="1:61">
      <c r="A65" s="75"/>
      <c r="B65" s="75"/>
      <c r="C65" s="75"/>
      <c r="D65" s="75"/>
      <c r="E65" s="75"/>
      <c r="F65" s="75"/>
      <c r="G65" s="75"/>
      <c r="H65" s="75"/>
      <c r="I65" s="75"/>
      <c r="J65" s="75"/>
      <c r="K65" s="596"/>
      <c r="L65" s="596"/>
      <c r="M65" s="75"/>
      <c r="N65" s="75"/>
      <c r="O65" s="75"/>
      <c r="P65" s="75"/>
      <c r="Q65" s="75"/>
      <c r="R65" s="597"/>
      <c r="S65" s="597"/>
      <c r="T65" s="75"/>
      <c r="U65" s="75"/>
      <c r="V65" s="75"/>
      <c r="W65" s="75"/>
      <c r="X65" s="75"/>
      <c r="Y65" s="75"/>
      <c r="Z65" s="75"/>
      <c r="AA65" s="75"/>
      <c r="AB65" s="75"/>
      <c r="AC65" s="75"/>
      <c r="AD65" s="75"/>
      <c r="AE65" s="75"/>
      <c r="AF65" s="597"/>
      <c r="AG65" s="597"/>
      <c r="AH65" s="75"/>
      <c r="AI65" s="75"/>
      <c r="AJ65" s="75"/>
      <c r="AK65" s="75"/>
      <c r="AL65" s="75"/>
      <c r="AM65" s="75"/>
      <c r="AN65" s="75"/>
      <c r="AO65" s="75"/>
      <c r="AP65" s="75"/>
      <c r="AQ65" s="75"/>
      <c r="AR65" s="75"/>
      <c r="AS65" s="75"/>
      <c r="AT65" s="597"/>
      <c r="AU65" s="597"/>
      <c r="AV65" s="75"/>
      <c r="AW65" s="75"/>
      <c r="AX65" s="75"/>
      <c r="AY65" s="75"/>
      <c r="AZ65" s="75"/>
      <c r="BA65" s="75"/>
      <c r="BB65" s="75"/>
      <c r="BC65" s="75"/>
      <c r="BD65" s="75"/>
      <c r="BE65" s="75"/>
      <c r="BF65" s="75"/>
      <c r="BG65" s="75"/>
      <c r="BH65" s="597"/>
      <c r="BI65" s="597"/>
    </row>
    <row r="66" spans="1:61">
      <c r="A66" s="75"/>
      <c r="B66" s="75"/>
      <c r="C66" s="75"/>
      <c r="D66" s="75"/>
      <c r="E66" s="75"/>
      <c r="F66" s="75"/>
      <c r="G66" s="75"/>
      <c r="H66" s="75"/>
      <c r="I66" s="75"/>
      <c r="J66" s="75"/>
      <c r="K66" s="596"/>
      <c r="L66" s="596"/>
      <c r="M66" s="75"/>
      <c r="N66" s="75"/>
      <c r="O66" s="75"/>
      <c r="P66" s="75"/>
      <c r="Q66" s="75"/>
      <c r="R66" s="597"/>
      <c r="S66" s="597"/>
      <c r="T66" s="75"/>
      <c r="U66" s="75"/>
      <c r="V66" s="75"/>
      <c r="W66" s="75"/>
      <c r="X66" s="75"/>
      <c r="Y66" s="75"/>
      <c r="Z66" s="75"/>
      <c r="AA66" s="75"/>
      <c r="AB66" s="75"/>
      <c r="AC66" s="75"/>
      <c r="AD66" s="75"/>
      <c r="AE66" s="75"/>
      <c r="AF66" s="597"/>
      <c r="AG66" s="597"/>
      <c r="AH66" s="75"/>
      <c r="AI66" s="75"/>
      <c r="AJ66" s="75"/>
      <c r="AK66" s="75"/>
      <c r="AL66" s="75"/>
      <c r="AM66" s="75"/>
      <c r="AN66" s="75"/>
      <c r="AO66" s="75"/>
      <c r="AP66" s="75"/>
      <c r="AQ66" s="75"/>
      <c r="AR66" s="75"/>
      <c r="AS66" s="75"/>
      <c r="AT66" s="597"/>
      <c r="AU66" s="597"/>
      <c r="AV66" s="75"/>
      <c r="AW66" s="75"/>
      <c r="AX66" s="75"/>
      <c r="AY66" s="75"/>
      <c r="AZ66" s="75"/>
      <c r="BA66" s="75"/>
      <c r="BB66" s="75"/>
      <c r="BC66" s="75"/>
      <c r="BD66" s="75"/>
      <c r="BE66" s="75"/>
      <c r="BF66" s="75"/>
      <c r="BG66" s="75"/>
      <c r="BH66" s="597"/>
      <c r="BI66" s="597"/>
    </row>
    <row r="67" spans="1:61">
      <c r="A67" s="75"/>
      <c r="B67" s="75"/>
      <c r="C67" s="75"/>
      <c r="D67" s="75"/>
      <c r="E67" s="75"/>
      <c r="F67" s="75"/>
      <c r="G67" s="75"/>
      <c r="H67" s="75"/>
      <c r="I67" s="75"/>
      <c r="J67" s="75"/>
      <c r="K67" s="596"/>
      <c r="L67" s="596"/>
      <c r="M67" s="75"/>
      <c r="N67" s="75"/>
      <c r="O67" s="75"/>
      <c r="P67" s="75"/>
      <c r="Q67" s="75"/>
      <c r="R67" s="597"/>
      <c r="S67" s="597"/>
      <c r="T67" s="75"/>
      <c r="U67" s="75"/>
      <c r="V67" s="75"/>
      <c r="W67" s="75"/>
      <c r="X67" s="75"/>
      <c r="Y67" s="75"/>
      <c r="Z67" s="75"/>
      <c r="AA67" s="75"/>
      <c r="AB67" s="75"/>
      <c r="AC67" s="75"/>
      <c r="AD67" s="75"/>
      <c r="AE67" s="75"/>
      <c r="AF67" s="597"/>
      <c r="AG67" s="597"/>
      <c r="AH67" s="75"/>
      <c r="AI67" s="75"/>
      <c r="AJ67" s="75"/>
      <c r="AK67" s="75"/>
      <c r="AL67" s="75"/>
      <c r="AM67" s="75"/>
      <c r="AN67" s="75"/>
      <c r="AO67" s="75"/>
      <c r="AP67" s="75"/>
      <c r="AQ67" s="75"/>
      <c r="AR67" s="75"/>
      <c r="AS67" s="75"/>
      <c r="AT67" s="597"/>
      <c r="AU67" s="597"/>
      <c r="AV67" s="75"/>
      <c r="AW67" s="75"/>
      <c r="AX67" s="75"/>
      <c r="AY67" s="75"/>
      <c r="AZ67" s="75"/>
      <c r="BA67" s="75"/>
      <c r="BB67" s="75"/>
      <c r="BC67" s="75"/>
      <c r="BD67" s="75"/>
      <c r="BE67" s="75"/>
      <c r="BF67" s="75"/>
      <c r="BG67" s="75"/>
      <c r="BH67" s="597"/>
      <c r="BI67" s="75"/>
    </row>
    <row r="68" spans="1:61">
      <c r="A68" s="75"/>
      <c r="B68" s="75"/>
      <c r="C68" s="75"/>
      <c r="D68" s="75"/>
      <c r="E68" s="75"/>
      <c r="F68" s="75"/>
      <c r="G68" s="75"/>
      <c r="H68" s="75"/>
      <c r="I68" s="75"/>
      <c r="J68" s="75"/>
      <c r="K68" s="596"/>
      <c r="L68" s="596"/>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6"/>
      <c r="L69" s="596"/>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6"/>
      <c r="L70" s="596"/>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6"/>
      <c r="L71" s="596"/>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6"/>
      <c r="L72" s="596"/>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6"/>
      <c r="L73" s="596"/>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6"/>
      <c r="L74" s="596"/>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6"/>
      <c r="L75" s="596"/>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6"/>
      <c r="L76" s="596"/>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6"/>
      <c r="L77" s="596"/>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6"/>
      <c r="L78" s="596"/>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6"/>
      <c r="L79" s="59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6"/>
      <c r="L80" s="596"/>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6"/>
      <c r="L81" s="596"/>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6"/>
      <c r="L82" s="59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6"/>
      <c r="L83" s="596"/>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6"/>
      <c r="L84" s="596"/>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6"/>
      <c r="L85" s="59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6"/>
      <c r="L86" s="596"/>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6"/>
      <c r="L87" s="596"/>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6"/>
      <c r="L88" s="596"/>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6"/>
      <c r="L89" s="596"/>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6"/>
      <c r="L90" s="596"/>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6"/>
      <c r="L91" s="596"/>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6"/>
      <c r="L92" s="596"/>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6"/>
      <c r="L93" s="596"/>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6"/>
      <c r="L94" s="596"/>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6"/>
      <c r="L95" s="596"/>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6"/>
      <c r="L96" s="596"/>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6"/>
      <c r="L97" s="596"/>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6"/>
      <c r="L98" s="596"/>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6"/>
      <c r="L99" s="596"/>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6"/>
      <c r="L100" s="596"/>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6"/>
      <c r="L101" s="596"/>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6"/>
      <c r="L102" s="596"/>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6"/>
      <c r="L103" s="596"/>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6"/>
      <c r="L104" s="596"/>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6"/>
      <c r="L105" s="596"/>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6"/>
      <c r="L106" s="596"/>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6"/>
      <c r="L107" s="596"/>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6"/>
      <c r="L108" s="596"/>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workbookViewId="0">
      <selection activeCell="B2" sqref="B2"/>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790</v>
      </c>
      <c r="C2" s="210" t="s">
        <v>788</v>
      </c>
      <c r="D2" s="976" t="str">
        <f>HYPERLINK("\\deqhq1\Rule_Resources\i\4-AQPermittingProgramUpdates.pdf","i")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9" t="s">
        <v>485</v>
      </c>
      <c r="C4" s="1059"/>
      <c r="D4" s="1059"/>
      <c r="E4" s="1059"/>
      <c r="F4" s="1059"/>
      <c r="G4" s="1059"/>
      <c r="H4" s="1059"/>
      <c r="I4" s="75"/>
      <c r="J4" s="75"/>
      <c r="K4" s="75"/>
      <c r="L4"/>
      <c r="M4"/>
      <c r="N4"/>
      <c r="O4"/>
      <c r="P4"/>
      <c r="Q4"/>
      <c r="R4"/>
      <c r="S4"/>
      <c r="T4"/>
      <c r="U4"/>
      <c r="V4"/>
    </row>
    <row r="5" spans="1:22" ht="36" customHeight="1">
      <c r="A5" s="75"/>
      <c r="B5" s="75"/>
      <c r="C5" s="660" t="s">
        <v>480</v>
      </c>
      <c r="D5" s="660" t="s">
        <v>481</v>
      </c>
      <c r="E5" s="212" t="s">
        <v>361</v>
      </c>
      <c r="F5" s="212" t="s">
        <v>362</v>
      </c>
      <c r="G5" s="212" t="s">
        <v>631</v>
      </c>
      <c r="H5" s="75"/>
      <c r="I5" s="75"/>
      <c r="J5" s="75"/>
      <c r="K5" s="75"/>
    </row>
    <row r="6" spans="1:22" ht="18.75">
      <c r="A6" s="75"/>
      <c r="B6" s="211" t="s">
        <v>478</v>
      </c>
      <c r="C6" s="210" t="s">
        <v>782</v>
      </c>
      <c r="D6" s="210" t="s">
        <v>784</v>
      </c>
      <c r="E6" s="570" t="s">
        <v>364</v>
      </c>
      <c r="F6" s="570" t="s">
        <v>496</v>
      </c>
      <c r="G6" s="570" t="s">
        <v>632</v>
      </c>
      <c r="H6" s="75"/>
      <c r="I6" s="75"/>
      <c r="J6" s="75"/>
      <c r="K6" s="75"/>
    </row>
    <row r="7" spans="1:22" ht="18.75">
      <c r="A7" s="75"/>
      <c r="B7" s="211" t="s">
        <v>384</v>
      </c>
      <c r="C7" s="570" t="s">
        <v>783</v>
      </c>
      <c r="D7" s="570" t="s">
        <v>785</v>
      </c>
      <c r="E7" s="570" t="s">
        <v>364</v>
      </c>
      <c r="F7" s="570" t="s">
        <v>496</v>
      </c>
      <c r="G7" s="570" t="s">
        <v>632</v>
      </c>
      <c r="H7" s="75"/>
      <c r="I7" s="75"/>
      <c r="J7" s="75"/>
      <c r="K7" s="75"/>
    </row>
    <row r="8" spans="1:22" s="23" customFormat="1" ht="18.75">
      <c r="A8" s="75"/>
      <c r="B8" s="211" t="s">
        <v>391</v>
      </c>
      <c r="C8" s="210" t="s">
        <v>489</v>
      </c>
      <c r="D8" s="210" t="s">
        <v>497</v>
      </c>
      <c r="E8" s="210" t="s">
        <v>364</v>
      </c>
      <c r="F8" s="210" t="s">
        <v>498</v>
      </c>
      <c r="G8" s="210" t="s">
        <v>633</v>
      </c>
      <c r="H8" s="75"/>
      <c r="I8" s="75"/>
      <c r="J8" s="75"/>
      <c r="K8" s="75"/>
      <c r="L8"/>
      <c r="M8"/>
      <c r="N8"/>
      <c r="O8"/>
      <c r="P8"/>
      <c r="Q8"/>
      <c r="R8"/>
      <c r="S8"/>
      <c r="T8"/>
      <c r="U8"/>
      <c r="V8"/>
    </row>
    <row r="9" spans="1:22" ht="18.75">
      <c r="A9" s="75"/>
      <c r="B9" s="211" t="s">
        <v>482</v>
      </c>
      <c r="C9" s="570" t="s">
        <v>610</v>
      </c>
      <c r="D9" s="570" t="s">
        <v>777</v>
      </c>
      <c r="E9" s="570" t="s">
        <v>364</v>
      </c>
      <c r="F9" s="570" t="s">
        <v>365</v>
      </c>
      <c r="G9" s="570" t="s">
        <v>632</v>
      </c>
      <c r="H9" s="75"/>
      <c r="I9" s="75"/>
      <c r="J9" s="75"/>
      <c r="K9" s="75"/>
    </row>
    <row r="10" spans="1:22" ht="18.75">
      <c r="A10" s="75"/>
      <c r="B10" s="211" t="s">
        <v>483</v>
      </c>
      <c r="C10" s="210" t="s">
        <v>103</v>
      </c>
      <c r="D10" s="75"/>
      <c r="E10" s="75"/>
      <c r="F10" s="823"/>
      <c r="G10" s="75"/>
      <c r="H10" s="75"/>
      <c r="I10" s="75"/>
      <c r="J10" s="75"/>
    </row>
    <row r="11" spans="1:22" ht="19.5" thickBot="1">
      <c r="A11" s="75"/>
      <c r="B11" s="211" t="s">
        <v>628</v>
      </c>
      <c r="C11" s="570" t="s">
        <v>331</v>
      </c>
      <c r="D11" s="75"/>
      <c r="E11" s="75"/>
      <c r="F11" s="823"/>
      <c r="G11" s="75"/>
      <c r="H11" s="75"/>
      <c r="I11" s="75"/>
      <c r="J11" s="75"/>
      <c r="K11" s="75"/>
      <c r="L11" s="75"/>
      <c r="M11" s="75"/>
      <c r="N11" s="75"/>
    </row>
    <row r="12" spans="1:22" ht="18.75">
      <c r="A12" s="75"/>
      <c r="B12" s="211" t="s">
        <v>102</v>
      </c>
      <c r="C12" s="210" t="s">
        <v>609</v>
      </c>
      <c r="D12" s="75"/>
      <c r="E12" s="75"/>
      <c r="F12" s="824" t="s">
        <v>670</v>
      </c>
      <c r="G12" s="75"/>
      <c r="H12" s="75"/>
      <c r="I12" s="75"/>
      <c r="J12" s="75"/>
      <c r="K12" s="75"/>
      <c r="L12" s="75"/>
      <c r="M12" s="75"/>
      <c r="N12" s="75"/>
    </row>
    <row r="13" spans="1:22" ht="18.75">
      <c r="A13" s="75"/>
      <c r="B13" s="211" t="s">
        <v>302</v>
      </c>
      <c r="C13" s="570" t="s">
        <v>610</v>
      </c>
      <c r="D13" s="75"/>
      <c r="E13" s="75"/>
      <c r="F13" s="825" t="s">
        <v>672</v>
      </c>
      <c r="G13" s="75"/>
      <c r="H13" s="75"/>
      <c r="I13" s="75"/>
      <c r="J13" s="75"/>
      <c r="K13" s="75"/>
      <c r="L13" s="75"/>
      <c r="M13" s="75"/>
      <c r="N13" s="75"/>
    </row>
    <row r="14" spans="1:22" ht="18.75">
      <c r="A14" s="75"/>
      <c r="B14" s="211" t="s">
        <v>101</v>
      </c>
      <c r="C14" s="210" t="s">
        <v>294</v>
      </c>
      <c r="D14" s="75"/>
      <c r="E14" s="75"/>
      <c r="F14" s="826"/>
      <c r="G14" s="75"/>
      <c r="H14" s="75"/>
      <c r="I14" s="75"/>
      <c r="J14" s="75"/>
      <c r="K14" s="75"/>
      <c r="L14" s="75"/>
      <c r="M14" s="75"/>
      <c r="N14" s="75"/>
    </row>
    <row r="15" spans="1:22" ht="18.75">
      <c r="A15" s="75"/>
      <c r="B15" s="211" t="s">
        <v>344</v>
      </c>
      <c r="C15" s="570" t="s">
        <v>103</v>
      </c>
      <c r="D15" s="75"/>
      <c r="E15" s="75"/>
      <c r="F15" s="826" t="s">
        <v>671</v>
      </c>
      <c r="G15" s="75"/>
      <c r="H15" s="75"/>
      <c r="I15" s="75"/>
      <c r="J15" s="75"/>
      <c r="K15" s="75"/>
      <c r="L15" s="75"/>
      <c r="M15" s="75"/>
      <c r="N15" s="75"/>
    </row>
    <row r="16" spans="1:22" s="23" customFormat="1" ht="18.75">
      <c r="A16" s="75"/>
      <c r="B16" s="211" t="s">
        <v>173</v>
      </c>
      <c r="C16" s="210" t="s">
        <v>342</v>
      </c>
      <c r="D16" s="75"/>
      <c r="E16" s="75"/>
      <c r="F16" s="825" t="s">
        <v>681</v>
      </c>
      <c r="G16" s="75"/>
      <c r="H16" s="75"/>
      <c r="I16" s="75"/>
      <c r="J16" s="75"/>
      <c r="K16" s="75"/>
      <c r="L16" s="75"/>
      <c r="M16" s="75"/>
      <c r="N16" s="75"/>
    </row>
    <row r="17" spans="1:14" ht="18.75">
      <c r="A17" s="75"/>
      <c r="B17" s="211" t="s">
        <v>104</v>
      </c>
      <c r="C17" s="570" t="s">
        <v>493</v>
      </c>
      <c r="D17" s="75"/>
      <c r="E17" s="75"/>
      <c r="F17" s="825" t="s">
        <v>673</v>
      </c>
      <c r="G17" s="75"/>
      <c r="H17" s="75"/>
      <c r="I17" s="75"/>
      <c r="J17" s="75"/>
      <c r="K17" s="75"/>
      <c r="L17" s="75"/>
      <c r="M17" s="75"/>
      <c r="N17" s="75"/>
    </row>
    <row r="18" spans="1:14" ht="18.75">
      <c r="A18" s="75"/>
      <c r="B18" s="211" t="s">
        <v>303</v>
      </c>
      <c r="C18" s="210" t="s">
        <v>342</v>
      </c>
      <c r="D18" s="75"/>
      <c r="E18" s="23"/>
      <c r="F18" s="825" t="s">
        <v>676</v>
      </c>
      <c r="G18" s="75"/>
      <c r="H18" s="75"/>
      <c r="I18" s="75"/>
      <c r="J18" s="75"/>
      <c r="K18" s="75"/>
      <c r="L18" s="75"/>
      <c r="M18" s="75"/>
      <c r="N18" s="75"/>
    </row>
    <row r="19" spans="1:14" ht="18.75" customHeight="1">
      <c r="A19" s="75"/>
      <c r="B19" s="211" t="s">
        <v>105</v>
      </c>
      <c r="C19" s="570" t="s">
        <v>782</v>
      </c>
      <c r="D19" s="818" t="s">
        <v>484</v>
      </c>
      <c r="E19" s="819"/>
      <c r="F19" s="827" t="s">
        <v>674</v>
      </c>
      <c r="G19" s="75"/>
      <c r="H19" s="75"/>
      <c r="I19" s="75"/>
      <c r="J19" s="75"/>
      <c r="K19" s="75"/>
      <c r="L19" s="75"/>
      <c r="M19" s="75"/>
      <c r="N19" s="75"/>
    </row>
    <row r="20" spans="1:14" s="23" customFormat="1" ht="18.75">
      <c r="A20" s="75"/>
      <c r="B20" s="211" t="s">
        <v>106</v>
      </c>
      <c r="C20" s="210" t="s">
        <v>129</v>
      </c>
      <c r="D20" s="75"/>
      <c r="E20" s="639"/>
      <c r="F20" s="828" t="s">
        <v>675</v>
      </c>
      <c r="G20" s="75"/>
      <c r="H20" s="75"/>
      <c r="I20" s="75"/>
      <c r="J20" s="75"/>
      <c r="K20" s="75"/>
      <c r="L20" s="75"/>
      <c r="M20" s="75"/>
      <c r="N20" s="75"/>
    </row>
    <row r="21" spans="1:14" ht="18.75">
      <c r="A21" s="75"/>
      <c r="B21" s="211" t="s">
        <v>113</v>
      </c>
      <c r="C21" s="570" t="s">
        <v>114</v>
      </c>
      <c r="D21" s="75"/>
      <c r="E21" s="639"/>
      <c r="F21" s="827" t="s">
        <v>677</v>
      </c>
      <c r="G21" s="75"/>
      <c r="H21" s="75"/>
      <c r="I21" s="75"/>
      <c r="J21" s="75"/>
      <c r="K21" s="75"/>
      <c r="L21" s="75"/>
      <c r="M21" s="75"/>
      <c r="N21" s="75"/>
    </row>
    <row r="22" spans="1:14" ht="18.75">
      <c r="A22" s="75"/>
      <c r="B22" s="211" t="s">
        <v>128</v>
      </c>
      <c r="C22" s="210" t="s">
        <v>494</v>
      </c>
      <c r="D22" s="75"/>
      <c r="E22" s="75"/>
      <c r="F22" s="829" t="s">
        <v>680</v>
      </c>
      <c r="G22" s="75"/>
      <c r="H22" s="75"/>
      <c r="I22" s="75"/>
      <c r="J22" s="75"/>
      <c r="K22" s="75"/>
      <c r="L22" s="75"/>
      <c r="M22" s="75"/>
      <c r="N22" s="75"/>
    </row>
    <row r="23" spans="1:14" s="23" customFormat="1" ht="18.75">
      <c r="A23" s="75"/>
      <c r="B23" s="211" t="s">
        <v>532</v>
      </c>
      <c r="C23" s="570" t="s">
        <v>791</v>
      </c>
      <c r="D23" s="75"/>
      <c r="E23" s="75"/>
      <c r="F23" s="830" t="s">
        <v>678</v>
      </c>
      <c r="G23" s="75"/>
      <c r="H23" s="75"/>
      <c r="I23" s="75"/>
      <c r="J23" s="75"/>
      <c r="K23" s="75"/>
      <c r="L23" s="75"/>
      <c r="M23" s="75"/>
      <c r="N23" s="75"/>
    </row>
    <row r="24" spans="1:14" s="23" customFormat="1" ht="18.75">
      <c r="A24" s="75"/>
      <c r="B24" s="211" t="s">
        <v>531</v>
      </c>
      <c r="C24" s="570" t="s">
        <v>488</v>
      </c>
      <c r="D24" s="75"/>
      <c r="E24" s="75"/>
      <c r="F24" s="830" t="s">
        <v>679</v>
      </c>
      <c r="G24" s="75"/>
      <c r="H24" s="75"/>
      <c r="I24" s="75"/>
      <c r="J24" s="75"/>
      <c r="K24" s="75"/>
      <c r="L24" s="75"/>
      <c r="M24" s="75"/>
      <c r="N24" s="75"/>
    </row>
    <row r="25" spans="1:14" ht="18.75">
      <c r="A25" s="75"/>
      <c r="B25" s="211" t="s">
        <v>301</v>
      </c>
      <c r="C25" s="570" t="s">
        <v>495</v>
      </c>
      <c r="D25" s="75"/>
      <c r="E25" s="75"/>
      <c r="F25" s="826"/>
      <c r="G25" s="75"/>
      <c r="H25" s="75"/>
      <c r="I25" s="75"/>
      <c r="J25" s="75"/>
      <c r="K25" s="75"/>
      <c r="L25" s="75"/>
      <c r="M25" s="75"/>
      <c r="N25" s="75"/>
    </row>
    <row r="26" spans="1:14" ht="19.5" thickBot="1">
      <c r="A26" s="75"/>
      <c r="B26" s="211" t="s">
        <v>286</v>
      </c>
      <c r="C26" s="210" t="s">
        <v>352</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57" t="s">
        <v>343</v>
      </c>
      <c r="C31" s="1058"/>
      <c r="D31" s="75"/>
      <c r="E31" s="75"/>
      <c r="F31" s="75"/>
      <c r="G31" s="75"/>
      <c r="H31" s="75"/>
      <c r="I31" s="75"/>
      <c r="J31" s="75"/>
      <c r="K31" s="75"/>
      <c r="L31" s="817"/>
    </row>
    <row r="32" spans="1:14" ht="15.75">
      <c r="A32" s="75"/>
      <c r="B32" s="832" t="s">
        <v>487</v>
      </c>
      <c r="C32" s="833" t="s">
        <v>338</v>
      </c>
      <c r="D32" s="75"/>
      <c r="E32" s="75"/>
      <c r="F32" s="75"/>
      <c r="G32" s="75"/>
      <c r="H32" s="75"/>
      <c r="I32" s="75"/>
      <c r="J32" s="75"/>
      <c r="K32" s="75"/>
      <c r="L32" s="75"/>
    </row>
    <row r="33" spans="1:12" ht="15.75">
      <c r="A33" s="75"/>
      <c r="B33" s="832" t="s">
        <v>488</v>
      </c>
      <c r="C33" s="833" t="s">
        <v>340</v>
      </c>
      <c r="D33" s="75"/>
      <c r="E33" s="75"/>
      <c r="F33" s="75"/>
      <c r="G33" s="75"/>
      <c r="H33" s="75"/>
      <c r="I33" s="75"/>
      <c r="J33" s="75"/>
      <c r="K33" s="75"/>
      <c r="L33" s="75"/>
    </row>
    <row r="34" spans="1:12" ht="16.5" thickBot="1">
      <c r="A34" s="75"/>
      <c r="B34" s="834" t="s">
        <v>489</v>
      </c>
      <c r="C34" s="835"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57" t="s">
        <v>345</v>
      </c>
      <c r="C36" s="1058"/>
      <c r="D36" s="75"/>
      <c r="E36" s="75"/>
      <c r="F36" s="75"/>
      <c r="G36" s="75"/>
      <c r="H36" s="75"/>
      <c r="I36" s="75"/>
      <c r="J36" s="75"/>
      <c r="K36" s="75"/>
    </row>
    <row r="37" spans="1:12" ht="15.75">
      <c r="A37" s="75"/>
      <c r="B37" s="832" t="s">
        <v>329</v>
      </c>
      <c r="C37" s="833" t="s">
        <v>338</v>
      </c>
      <c r="D37" s="75"/>
      <c r="E37" s="75"/>
      <c r="F37" s="75"/>
      <c r="G37" s="75"/>
      <c r="H37" s="75"/>
      <c r="I37" s="75"/>
      <c r="J37" s="75"/>
      <c r="K37" s="75"/>
    </row>
    <row r="38" spans="1:12" ht="15.75">
      <c r="A38" s="75"/>
      <c r="B38" s="832" t="s">
        <v>346</v>
      </c>
      <c r="C38" s="833" t="s">
        <v>340</v>
      </c>
      <c r="D38" s="75"/>
      <c r="E38" s="75"/>
      <c r="F38" s="75"/>
      <c r="G38" s="75"/>
      <c r="H38" s="75"/>
      <c r="I38" s="75"/>
      <c r="J38" s="75"/>
      <c r="K38" s="75"/>
    </row>
    <row r="39" spans="1:12" ht="16.5" thickBot="1">
      <c r="A39" s="75"/>
      <c r="B39" s="834" t="s">
        <v>342</v>
      </c>
      <c r="C39" s="835"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337</v>
      </c>
      <c r="C41" s="837"/>
      <c r="D41" s="75"/>
      <c r="E41" s="75"/>
      <c r="F41" s="75"/>
      <c r="G41" s="75"/>
      <c r="H41" s="75"/>
      <c r="I41" s="75"/>
      <c r="J41" s="75"/>
      <c r="K41" s="75"/>
    </row>
    <row r="42" spans="1:12" ht="15.75">
      <c r="A42" s="75"/>
      <c r="B42" s="832" t="s">
        <v>328</v>
      </c>
      <c r="C42" s="833" t="s">
        <v>338</v>
      </c>
      <c r="D42" s="75"/>
      <c r="E42" s="75"/>
      <c r="F42" s="75"/>
      <c r="G42" s="75"/>
      <c r="H42" s="75"/>
      <c r="I42" s="75"/>
      <c r="J42" s="75"/>
      <c r="K42" s="75"/>
    </row>
    <row r="43" spans="1:12" ht="15.75">
      <c r="A43" s="75"/>
      <c r="B43" s="832" t="s">
        <v>339</v>
      </c>
      <c r="C43" s="833" t="s">
        <v>340</v>
      </c>
      <c r="D43" s="75"/>
      <c r="E43" s="75"/>
      <c r="F43" s="75"/>
      <c r="G43" s="75"/>
      <c r="H43" s="75"/>
      <c r="I43" s="75"/>
      <c r="J43" s="75"/>
      <c r="K43" s="75"/>
    </row>
    <row r="44" spans="1:12" ht="16.5" thickBot="1">
      <c r="A44" s="75"/>
      <c r="B44" s="834" t="s">
        <v>342</v>
      </c>
      <c r="C44" s="835"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63" t="str">
        <f>S.General.RulemakingTitle</f>
        <v>Grants Pass Limited Maintenance Plans for CO and PM10</v>
      </c>
      <c r="C2" s="1063"/>
      <c r="D2" s="1063"/>
      <c r="E2" s="1063"/>
      <c r="F2" s="75"/>
      <c r="G2" s="526">
        <f ca="1">TODAY()</f>
        <v>41907</v>
      </c>
      <c r="H2" s="75"/>
      <c r="I2" s="75"/>
      <c r="J2" s="75"/>
      <c r="K2" s="75"/>
      <c r="L2" s="75"/>
      <c r="M2" s="75"/>
      <c r="N2" s="75"/>
      <c r="O2" s="75"/>
    </row>
    <row r="3" spans="1:15" s="23" customFormat="1" ht="33.75" customHeight="1">
      <c r="A3" s="75"/>
      <c r="B3" s="791" t="s">
        <v>232</v>
      </c>
      <c r="C3" s="787"/>
      <c r="D3" s="787"/>
      <c r="E3" s="75"/>
      <c r="F3" s="75"/>
      <c r="G3" s="526"/>
      <c r="H3" s="75"/>
      <c r="I3" s="75"/>
      <c r="J3" s="75"/>
      <c r="K3" s="75"/>
      <c r="L3" s="75"/>
      <c r="M3" s="75"/>
      <c r="N3" s="75"/>
      <c r="O3" s="75"/>
    </row>
    <row r="4" spans="1:15" ht="18.75" thickBot="1">
      <c r="A4" s="75"/>
      <c r="B4" s="37"/>
      <c r="C4" s="777"/>
      <c r="D4" s="777"/>
      <c r="E4" s="1060" t="s">
        <v>128</v>
      </c>
      <c r="F4" s="75"/>
      <c r="G4" s="453" t="s">
        <v>233</v>
      </c>
      <c r="H4" s="75"/>
      <c r="I4" s="75"/>
      <c r="J4" s="75"/>
      <c r="K4" s="75"/>
      <c r="L4" s="75"/>
      <c r="M4" s="75"/>
      <c r="N4" s="75"/>
      <c r="O4" s="75"/>
    </row>
    <row r="5" spans="1:15" s="23" customFormat="1" ht="18.75" thickBot="1">
      <c r="A5" s="75"/>
      <c r="B5" s="792" t="s">
        <v>644</v>
      </c>
      <c r="C5" s="792" t="s">
        <v>567</v>
      </c>
      <c r="D5" s="792" t="s">
        <v>568</v>
      </c>
      <c r="E5" s="1061"/>
      <c r="F5" s="75"/>
      <c r="G5" s="778"/>
      <c r="H5" s="75"/>
      <c r="I5" s="75"/>
      <c r="J5" s="75"/>
      <c r="K5" s="75"/>
      <c r="L5" s="75"/>
      <c r="M5" s="75"/>
      <c r="N5" s="75"/>
      <c r="O5" s="75"/>
    </row>
    <row r="6" spans="1:15" ht="15" thickTop="1">
      <c r="A6" s="75"/>
      <c r="B6" s="451" t="str">
        <f>S.Hearing.1stCity</f>
        <v>Grants Pass</v>
      </c>
      <c r="C6" s="788">
        <f>S.Hearing.1stDate</f>
        <v>42019</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-blank -</v>
      </c>
      <c r="C7" s="789" t="str">
        <f>IF(S.Hearing.2ndInvolve="N","-blank -",S.Hearing.2ndDate)</f>
        <v>-blank -</v>
      </c>
      <c r="D7" s="789" t="str">
        <f>IF(S.Hearing.2ndInvolve="N","-blank -",S.Hearing.2ndTime)</f>
        <v>-blank -</v>
      </c>
      <c r="E7" s="789" t="str">
        <f>IF(S.Hearing.2ndInvolve="N","-blank -","DEQ Staff")</f>
        <v>-blank -</v>
      </c>
      <c r="F7" s="75"/>
      <c r="G7" s="499"/>
      <c r="H7" s="75"/>
      <c r="I7" s="75"/>
      <c r="J7" s="75"/>
      <c r="K7" s="75"/>
      <c r="L7" s="75"/>
      <c r="M7" s="75"/>
      <c r="N7" s="75"/>
      <c r="O7" s="75"/>
    </row>
    <row r="8" spans="1:15">
      <c r="A8" s="75"/>
      <c r="B8" s="451" t="str">
        <f>IF(S.Hearing.3rdInvolve="N","-blank -",S.Hearing.3rdCity)</f>
        <v>-blank -</v>
      </c>
      <c r="C8" s="789" t="str">
        <f>IF(S.Hearing.3rdInvolve="N","-blank -",S.Hearing.3rdDate)</f>
        <v>-blank -</v>
      </c>
      <c r="D8" s="789" t="str">
        <f>IF(S.Hearing.3rdInvolve="N","-blank -",S.Hearing.3rdTime)</f>
        <v>-blank -</v>
      </c>
      <c r="E8" s="789" t="str">
        <f>IF(S.Hearing.3rdInvolve="N","-blank -","DEQ staff")</f>
        <v>-blank -</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62" t="s">
        <v>231</v>
      </c>
      <c r="C17" s="1062"/>
      <c r="D17" s="778"/>
      <c r="E17" s="75"/>
      <c r="F17" s="75"/>
      <c r="G17" s="454"/>
      <c r="H17" s="75"/>
      <c r="I17" s="75"/>
      <c r="J17" s="75"/>
      <c r="K17" s="75"/>
      <c r="L17" s="75"/>
      <c r="M17" s="75"/>
      <c r="N17" s="75"/>
      <c r="O17" s="75"/>
    </row>
    <row r="18" spans="1:15">
      <c r="A18" s="75"/>
      <c r="B18" s="451" t="str">
        <f>S.Notice.AD.PubID1</f>
        <v>NOTICE.AD1Oregonian</v>
      </c>
      <c r="C18" s="788">
        <f>S.Notice.AD.PubDate1</f>
        <v>41989</v>
      </c>
      <c r="D18" s="452"/>
      <c r="E18" s="75"/>
      <c r="F18" s="75"/>
      <c r="G18" s="499"/>
      <c r="H18" s="75"/>
      <c r="I18" s="75"/>
      <c r="J18" s="75"/>
      <c r="K18" s="75"/>
      <c r="L18" s="75"/>
      <c r="M18" s="75"/>
      <c r="N18" s="75"/>
      <c r="O18" s="75"/>
    </row>
    <row r="19" spans="1:15">
      <c r="A19" s="75"/>
      <c r="B19" s="451" t="str">
        <f>S.Notice.AD.PubID2</f>
        <v>NOTICE.AD2Other</v>
      </c>
      <c r="C19" s="788">
        <f>S.Notice.AD.PubDate2</f>
        <v>41989</v>
      </c>
      <c r="D19" s="452"/>
      <c r="E19" s="75"/>
      <c r="F19" s="75"/>
      <c r="G19" s="499"/>
      <c r="H19" s="75"/>
      <c r="I19" s="75"/>
      <c r="J19" s="75"/>
      <c r="K19" s="75"/>
      <c r="L19" s="75"/>
      <c r="M19" s="75"/>
      <c r="N19" s="75"/>
      <c r="O19" s="75"/>
    </row>
    <row r="20" spans="1:15">
      <c r="A20" s="75"/>
      <c r="B20" s="451" t="str">
        <f>S.Notice.AD.PubID3</f>
        <v>NOTICE.AD3None</v>
      </c>
      <c r="C20" s="788">
        <f>S.Notice.AD.PubDate3</f>
        <v>41989</v>
      </c>
      <c r="D20" s="452"/>
      <c r="E20" s="75"/>
      <c r="F20" s="75"/>
      <c r="G20" s="499"/>
      <c r="H20" s="75"/>
      <c r="I20" s="75"/>
      <c r="J20" s="75"/>
      <c r="K20" s="75"/>
      <c r="L20" s="75"/>
      <c r="M20" s="75"/>
      <c r="N20" s="75"/>
      <c r="O20" s="75"/>
    </row>
    <row r="21" spans="1:15">
      <c r="A21" s="75"/>
      <c r="B21" s="451" t="str">
        <f>S.Notice.AD.PubID4</f>
        <v>NOTICE.AD4None</v>
      </c>
      <c r="C21" s="788">
        <f>S.Notice.AD.PubDate4</f>
        <v>41989</v>
      </c>
      <c r="D21" s="452"/>
      <c r="E21" s="75"/>
      <c r="F21" s="75"/>
      <c r="G21" s="499"/>
      <c r="H21" s="75"/>
      <c r="I21" s="75"/>
      <c r="J21" s="75"/>
      <c r="K21" s="75"/>
      <c r="L21" s="75"/>
      <c r="M21" s="75"/>
      <c r="N21" s="75"/>
      <c r="O21" s="75"/>
    </row>
    <row r="22" spans="1:15">
      <c r="A22" s="75"/>
      <c r="B22" s="451" t="str">
        <f>S.Notice.AD.PubID5</f>
        <v>NOTICE.AD5None</v>
      </c>
      <c r="C22" s="788">
        <f>S.Notice.AD.PubDate5</f>
        <v>41989</v>
      </c>
      <c r="D22" s="452"/>
      <c r="E22" s="75"/>
      <c r="F22" s="75"/>
      <c r="G22" s="499"/>
      <c r="H22" s="75"/>
      <c r="I22" s="75"/>
      <c r="J22" s="75"/>
      <c r="K22" s="75"/>
      <c r="L22" s="75"/>
      <c r="M22" s="75"/>
      <c r="N22" s="75"/>
      <c r="O22" s="75"/>
    </row>
    <row r="23" spans="1:15">
      <c r="A23" s="75"/>
      <c r="B23" s="451" t="str">
        <f>S.Notice.AD.PubID6</f>
        <v>NOTICE.AD6None</v>
      </c>
      <c r="C23" s="788">
        <f>S.Notice.AD.PubDate6</f>
        <v>41989</v>
      </c>
      <c r="D23" s="452"/>
      <c r="E23" s="75"/>
      <c r="F23" s="75"/>
      <c r="G23" s="499"/>
      <c r="H23" s="75"/>
      <c r="I23" s="75"/>
      <c r="J23" s="75"/>
      <c r="K23" s="75"/>
      <c r="L23" s="75"/>
      <c r="M23" s="75"/>
      <c r="N23" s="75"/>
      <c r="O23" s="75"/>
    </row>
    <row r="24" spans="1:15">
      <c r="A24" s="75"/>
      <c r="B24" s="451" t="str">
        <f>S.Notice.AD.PubID7</f>
        <v>NOTICE.AD7None</v>
      </c>
      <c r="C24" s="788">
        <f>S.Notice.AD.PubDate7</f>
        <v>41989</v>
      </c>
      <c r="D24" s="452"/>
      <c r="E24" s="75"/>
      <c r="F24" s="75"/>
      <c r="G24" s="499"/>
      <c r="H24" s="75"/>
      <c r="I24" s="75"/>
      <c r="J24" s="75"/>
      <c r="K24" s="75"/>
      <c r="L24" s="75"/>
      <c r="M24" s="75"/>
      <c r="N24" s="75"/>
      <c r="O24" s="75"/>
    </row>
    <row r="25" spans="1:15">
      <c r="A25" s="75"/>
      <c r="B25" s="451" t="str">
        <f>S.Notice.AD.PubID8</f>
        <v>NOTICE.AD8None</v>
      </c>
      <c r="C25" s="788">
        <f>S.Notice.AD.PubDate8</f>
        <v>41989</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0" workbookViewId="0">
      <selection activeCell="A14" sqref="A14"/>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5"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65" t="s">
        <v>350</v>
      </c>
      <c r="H4" s="1065"/>
      <c r="I4" s="1065"/>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65"/>
      <c r="H5" s="1065"/>
      <c r="I5" s="1065"/>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65"/>
      <c r="H6" s="1065"/>
      <c r="I6" s="1065"/>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65"/>
      <c r="H7" s="1065"/>
      <c r="I7" s="1065"/>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293</v>
      </c>
      <c r="E9" s="107">
        <f>A9+D9</f>
        <v>42011</v>
      </c>
      <c r="F9" s="107">
        <v>41259</v>
      </c>
      <c r="G9" s="48"/>
      <c r="H9" s="567">
        <v>41663</v>
      </c>
      <c r="I9" s="48"/>
      <c r="J9" s="48"/>
      <c r="K9" s="48"/>
      <c r="L9" s="48"/>
      <c r="M9" s="48"/>
      <c r="N9" s="48"/>
      <c r="O9" s="48"/>
      <c r="P9" s="23"/>
      <c r="Q9" s="23"/>
      <c r="R9" s="23"/>
      <c r="S9" s="23"/>
    </row>
    <row r="10" spans="1:20" ht="18.75" customHeight="1">
      <c r="A10" s="107">
        <v>41808</v>
      </c>
      <c r="B10" s="107">
        <v>41771</v>
      </c>
      <c r="C10" s="107">
        <v>41785</v>
      </c>
      <c r="D10" s="111">
        <f t="shared" ref="D10:D19" si="3">A11-A10</f>
        <v>70</v>
      </c>
      <c r="E10" s="107">
        <f t="shared" ref="E10:E24" si="4">A10+D10</f>
        <v>41878</v>
      </c>
      <c r="F10" s="107">
        <f>A10-D9</f>
        <v>41515</v>
      </c>
      <c r="G10" s="48"/>
      <c r="H10" s="567">
        <v>41718</v>
      </c>
      <c r="I10" s="48"/>
      <c r="J10" s="48"/>
      <c r="K10" s="48"/>
      <c r="L10" s="48"/>
      <c r="M10" s="48"/>
      <c r="N10" s="48"/>
      <c r="O10" s="48"/>
      <c r="P10"/>
      <c r="Q10"/>
      <c r="R10"/>
      <c r="S10"/>
    </row>
    <row r="11" spans="1:20" ht="18.75" customHeight="1">
      <c r="A11" s="107">
        <v>41878</v>
      </c>
      <c r="B11" s="107">
        <v>41844</v>
      </c>
      <c r="C11" s="107">
        <v>41855</v>
      </c>
      <c r="D11" s="111">
        <f t="shared" si="3"/>
        <v>70</v>
      </c>
      <c r="E11" s="107">
        <f t="shared" si="4"/>
        <v>41948</v>
      </c>
      <c r="F11" s="107">
        <f t="shared" ref="F11:F24" si="5">A11-D10</f>
        <v>41808</v>
      </c>
      <c r="G11" s="48"/>
      <c r="H11" s="567">
        <v>41808</v>
      </c>
      <c r="I11" s="48"/>
      <c r="J11" s="48"/>
      <c r="K11" s="48"/>
      <c r="L11" s="48"/>
      <c r="M11" s="48"/>
      <c r="N11" s="48"/>
      <c r="O11" s="48"/>
      <c r="P11"/>
      <c r="Q11"/>
      <c r="R11"/>
      <c r="S11"/>
    </row>
    <row r="12" spans="1:20">
      <c r="A12" s="107">
        <v>41948</v>
      </c>
      <c r="B12" s="107">
        <v>41911</v>
      </c>
      <c r="C12" s="107">
        <v>41925</v>
      </c>
      <c r="D12" s="111">
        <f t="shared" si="3"/>
        <v>63</v>
      </c>
      <c r="E12" s="107">
        <f t="shared" si="4"/>
        <v>42011</v>
      </c>
      <c r="F12" s="107">
        <f t="shared" si="5"/>
        <v>41878</v>
      </c>
      <c r="G12" s="48"/>
      <c r="H12" s="567">
        <v>41871</v>
      </c>
      <c r="I12" s="48"/>
      <c r="J12" s="48"/>
      <c r="K12" s="48"/>
      <c r="L12" s="48"/>
      <c r="M12" s="48"/>
      <c r="N12" s="48"/>
      <c r="O12" s="48"/>
      <c r="P12"/>
      <c r="Q12"/>
      <c r="R12"/>
      <c r="S12"/>
    </row>
    <row r="13" spans="1:20">
      <c r="A13" s="107">
        <v>42011</v>
      </c>
      <c r="B13" s="107">
        <v>41975</v>
      </c>
      <c r="C13" s="107">
        <v>41983</v>
      </c>
      <c r="D13" s="111">
        <f t="shared" si="3"/>
        <v>67</v>
      </c>
      <c r="E13" s="107">
        <f t="shared" si="4"/>
        <v>42078</v>
      </c>
      <c r="F13" s="107">
        <f t="shared" si="5"/>
        <v>41948</v>
      </c>
      <c r="G13" s="48"/>
      <c r="H13" s="567">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42011</v>
      </c>
      <c r="G14" s="48"/>
      <c r="H14" s="567">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7">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7">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7">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7">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7">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7">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7">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64" t="s">
        <v>34</v>
      </c>
      <c r="K27" s="1064"/>
      <c r="L27" s="1064"/>
      <c r="M27" s="1064"/>
      <c r="N27" s="1064"/>
      <c r="O27" s="1064"/>
      <c r="P27" s="1064"/>
      <c r="Q27" s="53"/>
      <c r="R27" s="2"/>
      <c r="S27" s="2"/>
      <c r="T27" s="2"/>
    </row>
    <row r="28" spans="1:20">
      <c r="A28" s="22">
        <v>41275</v>
      </c>
      <c r="B28" s="20" t="s">
        <v>5</v>
      </c>
      <c r="C28" s="30">
        <f>A28</f>
        <v>41275</v>
      </c>
      <c r="D28" s="30"/>
      <c r="E28" s="55"/>
      <c r="F28" s="55"/>
      <c r="G28" s="55"/>
      <c r="H28" s="55"/>
      <c r="I28" s="2"/>
      <c r="J28" s="1064"/>
      <c r="K28" s="1064"/>
      <c r="L28" s="1064"/>
      <c r="M28" s="1064"/>
      <c r="N28" s="1064"/>
      <c r="O28" s="1064"/>
      <c r="P28" s="1064"/>
      <c r="Q28" s="53"/>
      <c r="R28" s="2"/>
      <c r="S28" s="2"/>
      <c r="T28" s="2"/>
    </row>
    <row r="29" spans="1:20">
      <c r="A29" s="22">
        <v>41292</v>
      </c>
      <c r="B29" s="20" t="s">
        <v>3</v>
      </c>
      <c r="C29" s="30">
        <f t="shared" ref="C29:C76" si="8">A29</f>
        <v>41292</v>
      </c>
      <c r="D29" s="30"/>
      <c r="E29" s="55"/>
      <c r="F29" s="55"/>
      <c r="G29" s="55"/>
      <c r="H29" s="55"/>
      <c r="I29" s="2"/>
      <c r="J29" s="1064"/>
      <c r="K29" s="1064"/>
      <c r="L29" s="1064"/>
      <c r="M29" s="1064"/>
      <c r="N29" s="1064"/>
      <c r="O29" s="1064"/>
      <c r="P29" s="1064"/>
      <c r="Q29" s="53"/>
      <c r="R29" s="2"/>
      <c r="S29" s="2"/>
      <c r="T29" s="2"/>
    </row>
    <row r="30" spans="1:20">
      <c r="A30" s="22">
        <v>41295</v>
      </c>
      <c r="B30" s="20" t="s">
        <v>6</v>
      </c>
      <c r="C30" s="30">
        <f t="shared" si="8"/>
        <v>41295</v>
      </c>
      <c r="D30" s="30"/>
      <c r="E30" s="55"/>
      <c r="F30" s="55"/>
      <c r="G30" s="55"/>
      <c r="H30" s="55"/>
      <c r="I30" s="2"/>
      <c r="J30" s="1064"/>
      <c r="K30" s="1064"/>
      <c r="L30" s="1064"/>
      <c r="M30" s="1064"/>
      <c r="N30" s="1064"/>
      <c r="O30" s="1064"/>
      <c r="P30" s="1064"/>
      <c r="Q30" s="53"/>
      <c r="R30" s="2"/>
      <c r="S30" s="2"/>
      <c r="T30" s="2"/>
    </row>
    <row r="31" spans="1:20">
      <c r="A31" s="22">
        <v>41323</v>
      </c>
      <c r="B31" s="20" t="s">
        <v>7</v>
      </c>
      <c r="C31" s="30">
        <f t="shared" si="8"/>
        <v>41323</v>
      </c>
      <c r="D31" s="30"/>
      <c r="E31" s="55"/>
      <c r="F31" s="55"/>
      <c r="G31" s="55"/>
      <c r="H31" s="55"/>
      <c r="I31" s="2"/>
      <c r="J31" s="1064"/>
      <c r="K31" s="1064"/>
      <c r="L31" s="1064"/>
      <c r="M31" s="1064"/>
      <c r="N31" s="1064"/>
      <c r="O31" s="1064"/>
      <c r="P31" s="1064"/>
      <c r="Q31" s="53"/>
      <c r="R31" s="2"/>
      <c r="S31" s="2"/>
      <c r="T31" s="2"/>
    </row>
    <row r="32" spans="1:20">
      <c r="A32" s="22">
        <v>41383</v>
      </c>
      <c r="B32" s="20" t="s">
        <v>3</v>
      </c>
      <c r="C32" s="30">
        <f t="shared" si="8"/>
        <v>41383</v>
      </c>
      <c r="D32" s="30"/>
      <c r="E32" s="55"/>
      <c r="F32" s="55"/>
      <c r="G32" s="55"/>
      <c r="H32" s="55"/>
      <c r="I32" s="2"/>
      <c r="J32" s="1064"/>
      <c r="K32" s="1064"/>
      <c r="L32" s="1064"/>
      <c r="M32" s="1064"/>
      <c r="N32" s="1064"/>
      <c r="O32" s="1064"/>
      <c r="P32" s="1064"/>
      <c r="Q32" s="53"/>
      <c r="R32" s="2"/>
      <c r="S32" s="2"/>
      <c r="T32" s="2"/>
    </row>
    <row r="33" spans="1:20">
      <c r="A33" s="22">
        <v>41418</v>
      </c>
      <c r="B33" s="20" t="s">
        <v>3</v>
      </c>
      <c r="C33" s="30">
        <f t="shared" si="8"/>
        <v>41418</v>
      </c>
      <c r="D33" s="30"/>
      <c r="E33" s="55"/>
      <c r="F33" s="55"/>
      <c r="G33" s="55"/>
      <c r="H33" s="55"/>
      <c r="I33" s="2"/>
      <c r="J33" s="1064"/>
      <c r="K33" s="1064"/>
      <c r="L33" s="1064"/>
      <c r="M33" s="1064"/>
      <c r="N33" s="1064"/>
      <c r="O33" s="1064"/>
      <c r="P33" s="1064"/>
      <c r="Q33" s="53"/>
      <c r="R33" s="2"/>
      <c r="S33" s="2"/>
      <c r="T33" s="2"/>
    </row>
    <row r="34" spans="1:20">
      <c r="A34" s="22">
        <v>41421</v>
      </c>
      <c r="B34" s="20" t="s">
        <v>8</v>
      </c>
      <c r="C34" s="30">
        <f t="shared" si="8"/>
        <v>41421</v>
      </c>
      <c r="D34" s="30"/>
      <c r="E34" s="55"/>
      <c r="F34" s="55"/>
      <c r="G34" s="55"/>
      <c r="H34" s="55"/>
      <c r="I34" s="2"/>
      <c r="J34" s="1064"/>
      <c r="K34" s="1064"/>
      <c r="L34" s="1064"/>
      <c r="M34" s="1064"/>
      <c r="N34" s="1064"/>
      <c r="O34" s="1064"/>
      <c r="P34" s="1064"/>
      <c r="Q34" s="53"/>
      <c r="R34" s="2"/>
      <c r="S34" s="2"/>
      <c r="T34" s="2"/>
    </row>
    <row r="35" spans="1:20">
      <c r="A35" s="22">
        <v>41459</v>
      </c>
      <c r="B35" s="20" t="s">
        <v>9</v>
      </c>
      <c r="C35" s="30">
        <f t="shared" si="8"/>
        <v>41459</v>
      </c>
      <c r="D35" s="30"/>
      <c r="E35" s="55"/>
      <c r="F35" s="55"/>
      <c r="G35" s="55"/>
      <c r="H35" s="55"/>
      <c r="I35" s="2"/>
      <c r="J35" s="1064"/>
      <c r="K35" s="1064"/>
      <c r="L35" s="1064"/>
      <c r="M35" s="1064"/>
      <c r="N35" s="1064"/>
      <c r="O35" s="1064"/>
      <c r="P35" s="1064"/>
      <c r="Q35" s="53"/>
      <c r="R35" s="2"/>
      <c r="S35" s="2"/>
      <c r="T35" s="2"/>
    </row>
    <row r="36" spans="1:20">
      <c r="A36" s="22">
        <v>41519</v>
      </c>
      <c r="B36" s="20" t="s">
        <v>10</v>
      </c>
      <c r="C36" s="30">
        <f t="shared" si="8"/>
        <v>41519</v>
      </c>
      <c r="D36" s="30"/>
      <c r="E36" s="55"/>
      <c r="F36" s="55"/>
      <c r="G36" s="55"/>
      <c r="H36" s="55"/>
      <c r="I36" s="2"/>
      <c r="J36" s="1064"/>
      <c r="K36" s="1064"/>
      <c r="L36" s="1064"/>
      <c r="M36" s="1064"/>
      <c r="N36" s="1064"/>
      <c r="O36" s="1064"/>
      <c r="P36" s="1064"/>
      <c r="Q36" s="53"/>
      <c r="R36" s="2"/>
      <c r="S36" s="2"/>
      <c r="T36" s="2"/>
    </row>
    <row r="37" spans="1:20">
      <c r="A37" s="22">
        <v>41589</v>
      </c>
      <c r="B37" s="20" t="s">
        <v>1</v>
      </c>
      <c r="C37" s="30">
        <f t="shared" si="8"/>
        <v>41589</v>
      </c>
      <c r="D37" s="30"/>
      <c r="E37" s="55"/>
      <c r="F37" s="55"/>
      <c r="G37" s="55"/>
      <c r="H37" s="55"/>
      <c r="I37" s="2"/>
      <c r="J37" s="1064"/>
      <c r="K37" s="1064"/>
      <c r="L37" s="1064"/>
      <c r="M37" s="1064"/>
      <c r="N37" s="1064"/>
      <c r="O37" s="1064"/>
      <c r="P37" s="1064"/>
      <c r="Q37" s="53"/>
      <c r="R37" s="2"/>
      <c r="S37" s="2"/>
      <c r="T37" s="2"/>
    </row>
    <row r="38" spans="1:20">
      <c r="A38" s="22">
        <v>41606</v>
      </c>
      <c r="B38" s="20" t="s">
        <v>2</v>
      </c>
      <c r="C38" s="30">
        <f t="shared" si="8"/>
        <v>41606</v>
      </c>
      <c r="D38" s="30"/>
      <c r="E38" s="55"/>
      <c r="F38" s="55"/>
      <c r="G38" s="55"/>
      <c r="H38" s="55"/>
      <c r="I38" s="2"/>
      <c r="J38" s="1064"/>
      <c r="K38" s="1064"/>
      <c r="L38" s="1064"/>
      <c r="M38" s="1064"/>
      <c r="N38" s="1064"/>
      <c r="O38" s="1064"/>
      <c r="P38" s="1064"/>
      <c r="Q38" s="53"/>
      <c r="R38" s="2"/>
      <c r="S38" s="2"/>
      <c r="T38" s="2"/>
    </row>
    <row r="39" spans="1:20">
      <c r="A39" s="22">
        <v>41633</v>
      </c>
      <c r="B39" s="20" t="s">
        <v>4</v>
      </c>
      <c r="C39" s="30">
        <f t="shared" si="8"/>
        <v>41633</v>
      </c>
      <c r="D39" s="30"/>
      <c r="E39" s="55"/>
      <c r="F39" s="55"/>
      <c r="G39" s="55"/>
      <c r="H39" s="55"/>
      <c r="I39" s="2"/>
      <c r="J39" s="1064"/>
      <c r="K39" s="1064"/>
      <c r="L39" s="1064"/>
      <c r="M39" s="1064"/>
      <c r="N39" s="1064"/>
      <c r="O39" s="1064"/>
      <c r="P39" s="1064"/>
      <c r="Q39" s="53"/>
      <c r="R39" s="2"/>
      <c r="S39" s="2"/>
      <c r="T39" s="2"/>
    </row>
    <row r="40" spans="1:20">
      <c r="A40" s="22">
        <v>41640</v>
      </c>
      <c r="B40" s="20" t="s">
        <v>5</v>
      </c>
      <c r="C40" s="30">
        <f t="shared" si="8"/>
        <v>41640</v>
      </c>
      <c r="D40" s="30"/>
      <c r="E40" s="55"/>
      <c r="F40" s="55"/>
      <c r="G40" s="55"/>
      <c r="H40" s="55"/>
      <c r="I40" s="2"/>
      <c r="J40" s="1064"/>
      <c r="K40" s="1064"/>
      <c r="L40" s="1064"/>
      <c r="M40" s="1064"/>
      <c r="N40" s="1064"/>
      <c r="O40" s="1064"/>
      <c r="P40" s="1064"/>
      <c r="Q40" s="53"/>
      <c r="R40" s="2"/>
      <c r="S40" s="2"/>
      <c r="T40" s="2"/>
    </row>
    <row r="41" spans="1:20">
      <c r="A41" s="22">
        <v>41659</v>
      </c>
      <c r="B41" s="20" t="s">
        <v>6</v>
      </c>
      <c r="C41" s="30">
        <f t="shared" si="8"/>
        <v>41659</v>
      </c>
      <c r="D41" s="30"/>
      <c r="E41" s="55"/>
      <c r="F41" s="55"/>
      <c r="G41" s="55"/>
      <c r="H41" s="55"/>
      <c r="I41" s="2"/>
      <c r="J41" s="1064"/>
      <c r="K41" s="1064"/>
      <c r="L41" s="1064"/>
      <c r="M41" s="1064"/>
      <c r="N41" s="1064"/>
      <c r="O41" s="1064"/>
      <c r="P41" s="1064"/>
      <c r="Q41" s="53"/>
      <c r="R41" s="2"/>
      <c r="S41" s="2"/>
      <c r="T41" s="2"/>
    </row>
    <row r="42" spans="1:20">
      <c r="A42" s="22">
        <v>41687</v>
      </c>
      <c r="B42" s="20" t="s">
        <v>7</v>
      </c>
      <c r="C42" s="30">
        <f t="shared" si="8"/>
        <v>41687</v>
      </c>
      <c r="D42" s="30"/>
      <c r="E42" s="55"/>
      <c r="F42" s="55"/>
      <c r="G42" s="55"/>
      <c r="H42" s="55"/>
      <c r="I42" s="2"/>
      <c r="J42" s="1064"/>
      <c r="K42" s="1064"/>
      <c r="L42" s="1064"/>
      <c r="M42" s="1064"/>
      <c r="N42" s="1064"/>
      <c r="O42" s="1064"/>
      <c r="P42" s="1064"/>
      <c r="Q42" s="53"/>
      <c r="R42" s="2"/>
      <c r="S42" s="2"/>
      <c r="T42" s="2"/>
    </row>
    <row r="43" spans="1:20">
      <c r="A43" s="22">
        <v>41785</v>
      </c>
      <c r="B43" s="20" t="s">
        <v>8</v>
      </c>
      <c r="C43" s="30">
        <f t="shared" si="8"/>
        <v>41785</v>
      </c>
      <c r="D43" s="30"/>
      <c r="E43" s="55"/>
      <c r="F43" s="55"/>
      <c r="G43" s="55"/>
      <c r="H43" s="55"/>
      <c r="I43" s="2"/>
      <c r="J43" s="1064"/>
      <c r="K43" s="1064"/>
      <c r="L43" s="1064"/>
      <c r="M43" s="1064"/>
      <c r="N43" s="1064"/>
      <c r="O43" s="1064"/>
      <c r="P43" s="1064"/>
      <c r="Q43" s="53"/>
      <c r="R43" s="2"/>
      <c r="S43" s="2"/>
      <c r="T43" s="2"/>
    </row>
    <row r="44" spans="1:20">
      <c r="A44" s="22">
        <v>41824</v>
      </c>
      <c r="B44" s="20" t="s">
        <v>9</v>
      </c>
      <c r="C44" s="30">
        <f t="shared" si="8"/>
        <v>41824</v>
      </c>
      <c r="D44" s="30"/>
      <c r="E44" s="55"/>
      <c r="F44" s="55"/>
      <c r="G44" s="55"/>
      <c r="H44" s="55"/>
      <c r="I44" s="2"/>
      <c r="J44" s="1064"/>
      <c r="K44" s="1064"/>
      <c r="L44" s="1064"/>
      <c r="M44" s="1064"/>
      <c r="N44" s="1064"/>
      <c r="O44" s="1064"/>
      <c r="P44" s="1064"/>
      <c r="Q44" s="53"/>
      <c r="R44" s="2"/>
      <c r="S44" s="2"/>
      <c r="T44" s="2"/>
    </row>
    <row r="45" spans="1:20">
      <c r="A45" s="22">
        <v>41884</v>
      </c>
      <c r="B45" s="20" t="s">
        <v>10</v>
      </c>
      <c r="C45" s="30">
        <f t="shared" si="8"/>
        <v>41884</v>
      </c>
      <c r="D45" s="30"/>
      <c r="E45" s="55"/>
      <c r="F45" s="55"/>
      <c r="G45" s="55"/>
      <c r="H45" s="55"/>
      <c r="I45" s="2"/>
      <c r="J45" s="1064"/>
      <c r="K45" s="1064"/>
      <c r="L45" s="1064"/>
      <c r="M45" s="1064"/>
      <c r="N45" s="1064"/>
      <c r="O45" s="1064"/>
      <c r="P45" s="1064"/>
      <c r="Q45" s="53"/>
      <c r="R45" s="2"/>
      <c r="S45" s="2"/>
      <c r="T45" s="2"/>
    </row>
    <row r="46" spans="1:20">
      <c r="A46" s="22">
        <v>41954</v>
      </c>
      <c r="B46" s="20" t="s">
        <v>1</v>
      </c>
      <c r="C46" s="30">
        <f t="shared" si="8"/>
        <v>41954</v>
      </c>
      <c r="D46" s="30"/>
      <c r="E46" s="55"/>
      <c r="F46" s="55"/>
      <c r="G46" s="55"/>
      <c r="H46" s="55"/>
      <c r="I46" s="2"/>
      <c r="J46" s="1064"/>
      <c r="K46" s="1064"/>
      <c r="L46" s="1064"/>
      <c r="M46" s="1064"/>
      <c r="N46" s="1064"/>
      <c r="O46" s="1064"/>
      <c r="P46" s="1064"/>
      <c r="Q46" s="53"/>
      <c r="R46" s="2"/>
      <c r="S46" s="2"/>
      <c r="T46" s="2"/>
    </row>
    <row r="47" spans="1:20">
      <c r="A47" s="22">
        <v>41970</v>
      </c>
      <c r="B47" s="20" t="s">
        <v>2</v>
      </c>
      <c r="C47" s="30">
        <f t="shared" si="8"/>
        <v>41970</v>
      </c>
      <c r="D47" s="30"/>
      <c r="E47" s="55"/>
      <c r="F47" s="55"/>
      <c r="G47" s="55"/>
      <c r="H47" s="55"/>
      <c r="I47" s="2"/>
      <c r="J47" s="1064"/>
      <c r="K47" s="1064"/>
      <c r="L47" s="1064"/>
      <c r="M47" s="1064"/>
      <c r="N47" s="1064"/>
      <c r="O47" s="1064"/>
      <c r="P47" s="1064"/>
      <c r="Q47" s="53"/>
      <c r="R47" s="2"/>
      <c r="S47" s="2"/>
      <c r="T47" s="2"/>
    </row>
    <row r="48" spans="1:20">
      <c r="A48" s="22">
        <v>41998</v>
      </c>
      <c r="B48" s="20" t="s">
        <v>4</v>
      </c>
      <c r="C48" s="30">
        <f t="shared" si="8"/>
        <v>41998</v>
      </c>
      <c r="D48" s="30"/>
      <c r="E48" s="55"/>
      <c r="F48" s="55"/>
      <c r="G48" s="55"/>
      <c r="H48" s="55"/>
      <c r="I48" s="2"/>
      <c r="J48" s="1064"/>
      <c r="K48" s="1064"/>
      <c r="L48" s="1064"/>
      <c r="M48" s="1064"/>
      <c r="N48" s="1064"/>
      <c r="O48" s="1064"/>
      <c r="P48" s="1064"/>
      <c r="Q48" s="53"/>
      <c r="R48" s="2"/>
      <c r="S48" s="2"/>
      <c r="T48" s="2"/>
    </row>
    <row r="49" spans="1:20">
      <c r="A49" s="22">
        <v>42005</v>
      </c>
      <c r="B49" s="20" t="s">
        <v>5</v>
      </c>
      <c r="C49" s="30">
        <f t="shared" si="8"/>
        <v>42005</v>
      </c>
      <c r="D49" s="30"/>
      <c r="E49" s="55"/>
      <c r="F49" s="55"/>
      <c r="G49" s="55"/>
      <c r="H49" s="55"/>
      <c r="I49" s="2"/>
      <c r="J49" s="1064"/>
      <c r="K49" s="1064"/>
      <c r="L49" s="1064"/>
      <c r="M49" s="1064"/>
      <c r="N49" s="1064"/>
      <c r="O49" s="1064"/>
      <c r="P49" s="1064"/>
      <c r="Q49" s="53"/>
      <c r="R49" s="2"/>
      <c r="S49" s="2"/>
      <c r="T49" s="2"/>
    </row>
    <row r="50" spans="1:20">
      <c r="A50" s="22">
        <v>42023</v>
      </c>
      <c r="B50" s="20" t="s">
        <v>6</v>
      </c>
      <c r="C50" s="30">
        <f t="shared" si="8"/>
        <v>42023</v>
      </c>
      <c r="D50" s="30"/>
      <c r="E50" s="55"/>
      <c r="F50" s="55"/>
      <c r="G50" s="55"/>
      <c r="H50" s="55"/>
      <c r="I50" s="2"/>
      <c r="J50" s="1064"/>
      <c r="K50" s="1064"/>
      <c r="L50" s="1064"/>
      <c r="M50" s="1064"/>
      <c r="N50" s="1064"/>
      <c r="O50" s="1064"/>
      <c r="P50" s="1064"/>
      <c r="Q50" s="53"/>
      <c r="R50" s="2"/>
      <c r="S50" s="2"/>
      <c r="T50" s="2"/>
    </row>
    <row r="51" spans="1:20">
      <c r="A51" s="22">
        <v>42051</v>
      </c>
      <c r="B51" s="20" t="s">
        <v>7</v>
      </c>
      <c r="C51" s="30">
        <f t="shared" si="8"/>
        <v>42051</v>
      </c>
      <c r="D51" s="30"/>
      <c r="E51" s="55"/>
      <c r="F51" s="55"/>
      <c r="G51" s="55"/>
      <c r="H51" s="55"/>
      <c r="I51" s="2"/>
      <c r="J51" s="1064"/>
      <c r="K51" s="1064"/>
      <c r="L51" s="1064"/>
      <c r="M51" s="1064"/>
      <c r="N51" s="1064"/>
      <c r="O51" s="1064"/>
      <c r="P51" s="1064"/>
      <c r="Q51" s="53"/>
      <c r="R51" s="2"/>
      <c r="S51" s="2"/>
      <c r="T51" s="2"/>
    </row>
    <row r="52" spans="1:20">
      <c r="A52" s="22">
        <v>42149</v>
      </c>
      <c r="B52" s="20" t="s">
        <v>8</v>
      </c>
      <c r="C52" s="30">
        <f t="shared" si="8"/>
        <v>42149</v>
      </c>
      <c r="D52" s="30"/>
      <c r="E52" s="55"/>
      <c r="F52" s="55"/>
      <c r="G52" s="55"/>
      <c r="H52" s="55"/>
      <c r="I52" s="2"/>
      <c r="J52" s="1064"/>
      <c r="K52" s="1064"/>
      <c r="L52" s="1064"/>
      <c r="M52" s="1064"/>
      <c r="N52" s="1064"/>
      <c r="O52" s="1064"/>
      <c r="P52" s="1064"/>
      <c r="Q52" s="53"/>
      <c r="R52" s="2"/>
      <c r="S52" s="2"/>
      <c r="T52" s="2"/>
    </row>
    <row r="53" spans="1:20">
      <c r="A53" s="22">
        <v>42188</v>
      </c>
      <c r="B53" s="20" t="s">
        <v>9</v>
      </c>
      <c r="C53" s="30">
        <f t="shared" si="8"/>
        <v>42188</v>
      </c>
      <c r="D53" s="30"/>
      <c r="E53" s="55"/>
      <c r="F53" s="55"/>
      <c r="G53" s="55"/>
      <c r="H53" s="55"/>
      <c r="I53" s="2"/>
      <c r="J53" s="1064"/>
      <c r="K53" s="1064"/>
      <c r="L53" s="1064"/>
      <c r="M53" s="1064"/>
      <c r="N53" s="1064"/>
      <c r="O53" s="1064"/>
      <c r="P53" s="1064"/>
      <c r="Q53" s="53"/>
      <c r="R53" s="2"/>
      <c r="S53" s="2"/>
      <c r="T53" s="2"/>
    </row>
    <row r="54" spans="1:20">
      <c r="A54" s="22">
        <v>42254</v>
      </c>
      <c r="B54" s="20" t="s">
        <v>10</v>
      </c>
      <c r="C54" s="30">
        <f t="shared" si="8"/>
        <v>42254</v>
      </c>
      <c r="D54" s="30"/>
      <c r="E54" s="55"/>
      <c r="F54" s="55"/>
      <c r="G54" s="55"/>
      <c r="H54" s="55"/>
      <c r="I54" s="2"/>
      <c r="J54" s="1064"/>
      <c r="K54" s="1064"/>
      <c r="L54" s="1064"/>
      <c r="M54" s="1064"/>
      <c r="N54" s="1064"/>
      <c r="O54" s="1064"/>
      <c r="P54" s="1064"/>
      <c r="Q54" s="53"/>
      <c r="R54" s="2"/>
      <c r="S54" s="2"/>
      <c r="T54" s="2"/>
    </row>
    <row r="55" spans="1:20">
      <c r="A55" s="22">
        <v>42319</v>
      </c>
      <c r="B55" s="20" t="s">
        <v>1</v>
      </c>
      <c r="C55" s="30">
        <f t="shared" si="8"/>
        <v>42319</v>
      </c>
      <c r="D55" s="30"/>
      <c r="E55" s="55"/>
      <c r="F55" s="55"/>
      <c r="G55" s="55"/>
      <c r="H55" s="55"/>
      <c r="I55" s="2"/>
      <c r="J55" s="1064"/>
      <c r="K55" s="1064"/>
      <c r="L55" s="1064"/>
      <c r="M55" s="1064"/>
      <c r="N55" s="1064"/>
      <c r="O55" s="1064"/>
      <c r="P55" s="1064"/>
      <c r="Q55" s="53"/>
      <c r="R55" s="2"/>
      <c r="S55" s="2"/>
      <c r="T55" s="2"/>
    </row>
    <row r="56" spans="1:20">
      <c r="A56" s="22">
        <v>42334</v>
      </c>
      <c r="B56" s="20" t="s">
        <v>2</v>
      </c>
      <c r="C56" s="30">
        <f t="shared" si="8"/>
        <v>42334</v>
      </c>
      <c r="D56" s="30"/>
      <c r="E56" s="55"/>
      <c r="F56" s="55"/>
      <c r="G56" s="55"/>
      <c r="H56" s="55"/>
      <c r="I56" s="2"/>
      <c r="J56" s="1064"/>
      <c r="K56" s="1064"/>
      <c r="L56" s="1064"/>
      <c r="M56" s="1064"/>
      <c r="N56" s="1064"/>
      <c r="O56" s="1064"/>
      <c r="P56" s="1064"/>
      <c r="Q56" s="53"/>
      <c r="R56" s="2"/>
      <c r="S56" s="2"/>
      <c r="T56" s="2"/>
    </row>
    <row r="57" spans="1:20">
      <c r="A57" s="22">
        <v>42363</v>
      </c>
      <c r="B57" s="20" t="s">
        <v>4</v>
      </c>
      <c r="C57" s="30">
        <f t="shared" si="8"/>
        <v>42363</v>
      </c>
      <c r="D57" s="30"/>
      <c r="E57" s="55"/>
      <c r="F57" s="55"/>
      <c r="G57" s="55"/>
      <c r="H57" s="55"/>
      <c r="I57" s="2"/>
      <c r="J57" s="1064"/>
      <c r="K57" s="1064"/>
      <c r="L57" s="1064"/>
      <c r="M57" s="1064"/>
      <c r="N57" s="1064"/>
      <c r="O57" s="1064"/>
      <c r="P57" s="1064"/>
      <c r="Q57" s="53"/>
      <c r="R57" s="2"/>
      <c r="S57" s="2"/>
      <c r="T57" s="2"/>
    </row>
    <row r="58" spans="1:20">
      <c r="A58" s="22">
        <v>42370</v>
      </c>
      <c r="B58" s="20" t="s">
        <v>5</v>
      </c>
      <c r="C58" s="30">
        <f t="shared" ref="C58:C66" si="9">A58</f>
        <v>42370</v>
      </c>
      <c r="D58" s="30"/>
      <c r="E58" s="55"/>
      <c r="F58" s="55"/>
      <c r="G58" s="55"/>
      <c r="H58" s="55"/>
      <c r="I58" s="2"/>
      <c r="J58" s="1064"/>
      <c r="K58" s="1064"/>
      <c r="L58" s="1064"/>
      <c r="M58" s="1064"/>
      <c r="N58" s="1064"/>
      <c r="O58" s="1064"/>
      <c r="P58" s="1064"/>
      <c r="Q58" s="53"/>
      <c r="R58" s="2"/>
      <c r="S58" s="2"/>
      <c r="T58" s="2"/>
    </row>
    <row r="59" spans="1:20">
      <c r="A59" s="22">
        <v>42387</v>
      </c>
      <c r="B59" s="20" t="s">
        <v>6</v>
      </c>
      <c r="C59" s="30">
        <f t="shared" si="9"/>
        <v>42387</v>
      </c>
      <c r="D59" s="30"/>
      <c r="E59" s="55"/>
      <c r="F59" s="55"/>
      <c r="G59" s="55"/>
      <c r="H59" s="55"/>
      <c r="I59" s="2"/>
      <c r="J59" s="1064"/>
      <c r="K59" s="1064"/>
      <c r="L59" s="1064"/>
      <c r="M59" s="1064"/>
      <c r="N59" s="1064"/>
      <c r="O59" s="1064"/>
      <c r="P59" s="1064"/>
      <c r="Q59" s="53"/>
      <c r="R59" s="2"/>
      <c r="S59" s="2"/>
      <c r="T59" s="2"/>
    </row>
    <row r="60" spans="1:20">
      <c r="A60" s="22">
        <v>42415</v>
      </c>
      <c r="B60" s="20" t="s">
        <v>7</v>
      </c>
      <c r="C60" s="30">
        <f t="shared" si="9"/>
        <v>42415</v>
      </c>
      <c r="D60" s="30"/>
      <c r="E60" s="55"/>
      <c r="F60" s="55"/>
      <c r="G60" s="55"/>
      <c r="H60" s="55"/>
      <c r="I60" s="2"/>
      <c r="J60" s="1064"/>
      <c r="K60" s="1064"/>
      <c r="L60" s="1064"/>
      <c r="M60" s="1064"/>
      <c r="N60" s="1064"/>
      <c r="O60" s="1064"/>
      <c r="P60" s="1064"/>
      <c r="Q60" s="53"/>
      <c r="R60" s="2"/>
      <c r="S60" s="2"/>
      <c r="T60" s="2"/>
    </row>
    <row r="61" spans="1:20">
      <c r="A61" s="22">
        <v>42520</v>
      </c>
      <c r="B61" s="20" t="s">
        <v>8</v>
      </c>
      <c r="C61" s="30">
        <f t="shared" si="9"/>
        <v>42520</v>
      </c>
      <c r="D61" s="30"/>
      <c r="E61" s="55"/>
      <c r="F61" s="55"/>
      <c r="G61" s="55"/>
      <c r="H61" s="55"/>
      <c r="I61" s="2"/>
      <c r="J61" s="1064"/>
      <c r="K61" s="1064"/>
      <c r="L61" s="1064"/>
      <c r="M61" s="1064"/>
      <c r="N61" s="1064"/>
      <c r="O61" s="1064"/>
      <c r="P61" s="1064"/>
      <c r="Q61" s="53"/>
      <c r="R61" s="2"/>
      <c r="S61" s="2"/>
      <c r="T61" s="2"/>
    </row>
    <row r="62" spans="1:20">
      <c r="A62" s="22">
        <v>42555</v>
      </c>
      <c r="B62" s="20" t="s">
        <v>9</v>
      </c>
      <c r="C62" s="30">
        <f t="shared" si="9"/>
        <v>42555</v>
      </c>
      <c r="D62" s="30"/>
      <c r="E62" s="55"/>
      <c r="F62" s="55"/>
      <c r="G62" s="55"/>
      <c r="H62" s="55"/>
      <c r="I62" s="2"/>
      <c r="J62" s="1064"/>
      <c r="K62" s="1064"/>
      <c r="L62" s="1064"/>
      <c r="M62" s="1064"/>
      <c r="N62" s="1064"/>
      <c r="O62" s="1064"/>
      <c r="P62" s="1064"/>
      <c r="Q62" s="53"/>
      <c r="R62" s="2"/>
      <c r="S62" s="2"/>
      <c r="T62" s="2"/>
    </row>
    <row r="63" spans="1:20">
      <c r="A63" s="22">
        <v>42618</v>
      </c>
      <c r="B63" s="20" t="s">
        <v>10</v>
      </c>
      <c r="C63" s="30">
        <f t="shared" si="9"/>
        <v>42618</v>
      </c>
      <c r="D63" s="30"/>
      <c r="E63" s="55"/>
      <c r="F63" s="55"/>
      <c r="G63" s="55"/>
      <c r="H63" s="55"/>
      <c r="I63" s="2"/>
      <c r="J63" s="1064"/>
      <c r="K63" s="1064"/>
      <c r="L63" s="1064"/>
      <c r="M63" s="1064"/>
      <c r="N63" s="1064"/>
      <c r="O63" s="1064"/>
      <c r="P63" s="1064"/>
      <c r="Q63" s="53"/>
      <c r="R63" s="2"/>
      <c r="S63" s="2"/>
      <c r="T63" s="2"/>
    </row>
    <row r="64" spans="1:20">
      <c r="A64" s="22">
        <v>42685</v>
      </c>
      <c r="B64" s="20" t="s">
        <v>1</v>
      </c>
      <c r="C64" s="30">
        <f t="shared" si="9"/>
        <v>42685</v>
      </c>
      <c r="D64" s="30"/>
      <c r="E64" s="55"/>
      <c r="F64" s="55"/>
      <c r="G64" s="55"/>
      <c r="H64" s="55"/>
      <c r="I64" s="2"/>
      <c r="J64" s="1064"/>
      <c r="K64" s="1064"/>
      <c r="L64" s="1064"/>
      <c r="M64" s="1064"/>
      <c r="N64" s="1064"/>
      <c r="O64" s="1064"/>
      <c r="P64" s="1064"/>
      <c r="Q64" s="53"/>
      <c r="R64" s="2"/>
      <c r="S64" s="2"/>
      <c r="T64" s="2"/>
    </row>
    <row r="65" spans="1:20">
      <c r="A65" s="22">
        <v>42698</v>
      </c>
      <c r="B65" s="20" t="s">
        <v>2</v>
      </c>
      <c r="C65" s="30">
        <f t="shared" si="9"/>
        <v>42698</v>
      </c>
      <c r="D65" s="30"/>
      <c r="E65" s="55"/>
      <c r="F65" s="55"/>
      <c r="G65" s="55"/>
      <c r="H65" s="55"/>
      <c r="I65" s="2"/>
      <c r="J65" s="1064"/>
      <c r="K65" s="1064"/>
      <c r="L65" s="1064"/>
      <c r="M65" s="1064"/>
      <c r="N65" s="1064"/>
      <c r="O65" s="1064"/>
      <c r="P65" s="1064"/>
      <c r="Q65" s="53"/>
      <c r="R65" s="2"/>
      <c r="S65" s="2"/>
      <c r="T65" s="2"/>
    </row>
    <row r="66" spans="1:20">
      <c r="A66" s="22">
        <v>42730</v>
      </c>
      <c r="B66" s="20" t="s">
        <v>4</v>
      </c>
      <c r="C66" s="30">
        <f t="shared" si="9"/>
        <v>42730</v>
      </c>
      <c r="D66" s="30"/>
      <c r="E66" s="55"/>
      <c r="F66" s="55"/>
      <c r="G66" s="55"/>
      <c r="H66" s="55"/>
      <c r="I66" s="2"/>
      <c r="J66" s="1064"/>
      <c r="K66" s="1064"/>
      <c r="L66" s="1064"/>
      <c r="M66" s="1064"/>
      <c r="N66" s="1064"/>
      <c r="O66" s="1064"/>
      <c r="P66" s="1064"/>
      <c r="Q66" s="53"/>
      <c r="R66" s="2"/>
      <c r="S66" s="2"/>
      <c r="T66" s="2"/>
    </row>
    <row r="67" spans="1:20">
      <c r="A67" s="22">
        <v>42737</v>
      </c>
      <c r="B67" s="20" t="s">
        <v>5</v>
      </c>
      <c r="C67" s="30">
        <f t="shared" ref="C67:C75" si="10">A67</f>
        <v>42737</v>
      </c>
      <c r="D67" s="30"/>
      <c r="E67" s="55"/>
      <c r="F67" s="55"/>
      <c r="G67" s="55"/>
      <c r="H67" s="55"/>
      <c r="I67" s="2"/>
      <c r="J67" s="1064"/>
      <c r="K67" s="1064"/>
      <c r="L67" s="1064"/>
      <c r="M67" s="1064"/>
      <c r="N67" s="1064"/>
      <c r="O67" s="1064"/>
      <c r="P67" s="1064"/>
      <c r="Q67" s="53"/>
      <c r="R67" s="2"/>
      <c r="S67" s="2"/>
      <c r="T67" s="2"/>
    </row>
    <row r="68" spans="1:20">
      <c r="A68" s="22">
        <v>42751</v>
      </c>
      <c r="B68" s="20" t="s">
        <v>6</v>
      </c>
      <c r="C68" s="30">
        <f t="shared" si="10"/>
        <v>42751</v>
      </c>
      <c r="D68" s="30"/>
      <c r="E68" s="55"/>
      <c r="F68" s="55"/>
      <c r="G68" s="55"/>
      <c r="H68" s="55"/>
      <c r="I68" s="2"/>
      <c r="J68" s="1064"/>
      <c r="K68" s="1064"/>
      <c r="L68" s="1064"/>
      <c r="M68" s="1064"/>
      <c r="N68" s="1064"/>
      <c r="O68" s="1064"/>
      <c r="P68" s="1064"/>
      <c r="Q68" s="53"/>
      <c r="R68" s="2"/>
      <c r="S68" s="2"/>
      <c r="T68" s="2"/>
    </row>
    <row r="69" spans="1:20">
      <c r="A69" s="22">
        <v>42786</v>
      </c>
      <c r="B69" s="20" t="s">
        <v>7</v>
      </c>
      <c r="C69" s="30">
        <f t="shared" si="10"/>
        <v>42786</v>
      </c>
      <c r="D69" s="30"/>
      <c r="E69" s="55"/>
      <c r="F69" s="55"/>
      <c r="G69" s="55"/>
      <c r="H69" s="55"/>
      <c r="I69" s="2"/>
      <c r="J69" s="1064"/>
      <c r="K69" s="1064"/>
      <c r="L69" s="1064"/>
      <c r="M69" s="1064"/>
      <c r="N69" s="1064"/>
      <c r="O69" s="1064"/>
      <c r="P69" s="1064"/>
      <c r="Q69" s="53"/>
      <c r="R69" s="2"/>
      <c r="S69" s="2"/>
      <c r="T69" s="2"/>
    </row>
    <row r="70" spans="1:20">
      <c r="A70" s="22">
        <v>42884</v>
      </c>
      <c r="B70" s="20" t="s">
        <v>8</v>
      </c>
      <c r="C70" s="30">
        <f t="shared" si="10"/>
        <v>42884</v>
      </c>
      <c r="D70" s="30"/>
      <c r="E70" s="55"/>
      <c r="F70" s="55"/>
      <c r="G70" s="55"/>
      <c r="H70" s="55"/>
      <c r="I70" s="2"/>
      <c r="J70" s="1064"/>
      <c r="K70" s="1064"/>
      <c r="L70" s="1064"/>
      <c r="M70" s="1064"/>
      <c r="N70" s="1064"/>
      <c r="O70" s="1064"/>
      <c r="P70" s="1064"/>
      <c r="Q70" s="53"/>
      <c r="R70" s="2"/>
      <c r="S70" s="2"/>
      <c r="T70" s="2"/>
    </row>
    <row r="71" spans="1:20">
      <c r="A71" s="22">
        <v>42920</v>
      </c>
      <c r="B71" s="20" t="s">
        <v>9</v>
      </c>
      <c r="C71" s="30">
        <f t="shared" si="10"/>
        <v>42920</v>
      </c>
      <c r="D71" s="30"/>
      <c r="E71" s="55"/>
      <c r="F71" s="55"/>
      <c r="G71" s="55"/>
      <c r="H71" s="55"/>
      <c r="I71" s="2"/>
      <c r="J71" s="1064"/>
      <c r="K71" s="1064"/>
      <c r="L71" s="1064"/>
      <c r="M71" s="1064"/>
      <c r="N71" s="1064"/>
      <c r="O71" s="1064"/>
      <c r="P71" s="1064"/>
      <c r="Q71" s="53"/>
      <c r="R71" s="2"/>
      <c r="S71" s="2"/>
      <c r="T71" s="2"/>
    </row>
    <row r="72" spans="1:20">
      <c r="A72" s="22">
        <v>42982</v>
      </c>
      <c r="B72" s="20" t="s">
        <v>10</v>
      </c>
      <c r="C72" s="30">
        <f t="shared" si="10"/>
        <v>42982</v>
      </c>
      <c r="D72" s="30"/>
      <c r="E72" s="55"/>
      <c r="F72" s="55"/>
      <c r="G72" s="55"/>
      <c r="H72" s="55"/>
      <c r="I72" s="2"/>
      <c r="J72" s="1064"/>
      <c r="K72" s="1064"/>
      <c r="L72" s="1064"/>
      <c r="M72" s="1064"/>
      <c r="N72" s="1064"/>
      <c r="O72" s="1064"/>
      <c r="P72" s="1064"/>
      <c r="Q72" s="53"/>
      <c r="R72" s="2"/>
      <c r="S72" s="2"/>
      <c r="T72" s="2"/>
    </row>
    <row r="73" spans="1:20">
      <c r="A73" s="22">
        <v>43049</v>
      </c>
      <c r="B73" s="20" t="s">
        <v>1</v>
      </c>
      <c r="C73" s="30">
        <f t="shared" si="10"/>
        <v>43049</v>
      </c>
      <c r="D73" s="30"/>
      <c r="E73" s="55"/>
      <c r="F73" s="55"/>
      <c r="G73" s="55"/>
      <c r="H73" s="55"/>
      <c r="I73" s="2"/>
      <c r="J73" s="1064"/>
      <c r="K73" s="1064"/>
      <c r="L73" s="1064"/>
      <c r="M73" s="1064"/>
      <c r="N73" s="1064"/>
      <c r="O73" s="1064"/>
      <c r="P73" s="1064"/>
      <c r="Q73" s="53"/>
      <c r="R73" s="2"/>
      <c r="S73" s="2"/>
      <c r="T73" s="2"/>
    </row>
    <row r="74" spans="1:20">
      <c r="A74" s="22">
        <v>43062</v>
      </c>
      <c r="B74" s="20" t="s">
        <v>2</v>
      </c>
      <c r="C74" s="30">
        <f t="shared" si="10"/>
        <v>43062</v>
      </c>
      <c r="D74" s="30"/>
      <c r="E74" s="55"/>
      <c r="F74" s="55"/>
      <c r="G74" s="55"/>
      <c r="H74" s="55"/>
      <c r="I74" s="2"/>
      <c r="J74" s="1064"/>
      <c r="K74" s="1064"/>
      <c r="L74" s="1064"/>
      <c r="M74" s="1064"/>
      <c r="N74" s="1064"/>
      <c r="O74" s="1064"/>
      <c r="P74" s="1064"/>
      <c r="Q74" s="53"/>
      <c r="R74" s="2"/>
      <c r="S74" s="2"/>
      <c r="T74" s="2"/>
    </row>
    <row r="75" spans="1:20">
      <c r="A75" s="22">
        <v>43094</v>
      </c>
      <c r="B75" s="20" t="s">
        <v>4</v>
      </c>
      <c r="C75" s="30">
        <f t="shared" si="10"/>
        <v>43094</v>
      </c>
      <c r="D75" s="30"/>
      <c r="E75" s="55"/>
      <c r="F75" s="55"/>
      <c r="G75" s="55"/>
      <c r="H75" s="55"/>
      <c r="I75" s="2"/>
      <c r="J75" s="1064"/>
      <c r="K75" s="1064"/>
      <c r="L75" s="1064"/>
      <c r="M75" s="1064"/>
      <c r="N75" s="1064"/>
      <c r="O75" s="1064"/>
      <c r="P75" s="1064"/>
      <c r="Q75" s="53"/>
      <c r="R75" s="2"/>
      <c r="S75" s="2"/>
      <c r="T75" s="2"/>
    </row>
    <row r="76" spans="1:20">
      <c r="A76" s="22">
        <v>43101</v>
      </c>
      <c r="B76" s="20" t="s">
        <v>5</v>
      </c>
      <c r="C76" s="30">
        <f t="shared" si="8"/>
        <v>43101</v>
      </c>
      <c r="D76" s="30"/>
      <c r="E76" s="55"/>
      <c r="F76" s="55"/>
      <c r="G76" s="55"/>
      <c r="H76" s="55"/>
      <c r="I76" s="2"/>
      <c r="J76" s="1064"/>
      <c r="K76" s="1064"/>
      <c r="L76" s="1064"/>
      <c r="M76" s="1064"/>
      <c r="N76" s="1064"/>
      <c r="O76" s="1064"/>
      <c r="P76" s="1064"/>
      <c r="Q76" s="53"/>
      <c r="R76" s="2"/>
      <c r="S76" s="2"/>
      <c r="T76" s="2"/>
    </row>
    <row r="77" spans="1:20">
      <c r="A77" s="18" t="s">
        <v>17</v>
      </c>
      <c r="B77" s="19"/>
      <c r="C77" s="7"/>
      <c r="D77" s="7"/>
      <c r="E77" s="56"/>
      <c r="F77" s="56"/>
      <c r="G77" s="56"/>
      <c r="H77" s="56"/>
      <c r="I77" s="2"/>
      <c r="J77" s="1064"/>
      <c r="K77" s="1064"/>
      <c r="L77" s="1064"/>
      <c r="M77" s="1064"/>
      <c r="N77" s="1064"/>
      <c r="O77" s="1064"/>
      <c r="P77" s="1064"/>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597</v>
      </c>
      <c r="C193" s="21" t="s">
        <v>776</v>
      </c>
      <c r="D193" s="15"/>
      <c r="E193" s="56"/>
      <c r="F193" s="56"/>
      <c r="G193" s="56"/>
      <c r="H193" s="56"/>
      <c r="I193" s="56"/>
      <c r="J193" s="2"/>
      <c r="K193" s="2"/>
      <c r="L193" s="15"/>
      <c r="M193" s="15"/>
      <c r="N193" s="2"/>
      <c r="O193" s="2"/>
      <c r="P193" s="53"/>
      <c r="Q193" s="53"/>
      <c r="R193" s="2"/>
      <c r="S193" s="2"/>
      <c r="T193" s="2"/>
    </row>
    <row r="194" spans="1:20">
      <c r="A194" s="726" t="s">
        <v>0</v>
      </c>
      <c r="B194" s="756" t="s">
        <v>599</v>
      </c>
      <c r="C194" s="7"/>
      <c r="D194" s="7"/>
      <c r="E194" s="56"/>
      <c r="F194" s="56"/>
      <c r="G194" s="56"/>
      <c r="H194" s="56"/>
      <c r="I194" s="56"/>
      <c r="J194" s="2"/>
      <c r="K194" s="2"/>
      <c r="L194" s="7"/>
      <c r="M194" s="7"/>
      <c r="N194" s="2"/>
      <c r="O194" s="2"/>
      <c r="P194" s="53"/>
      <c r="Q194" s="53"/>
      <c r="R194" s="2"/>
      <c r="S194" s="2"/>
      <c r="T194" s="2"/>
    </row>
    <row r="195" spans="1:20">
      <c r="A195" s="14"/>
      <c r="B195" s="756" t="s">
        <v>600</v>
      </c>
      <c r="C195" s="15"/>
      <c r="D195" s="15"/>
      <c r="E195" s="56"/>
      <c r="F195" s="56"/>
      <c r="G195" s="56"/>
      <c r="H195" s="56"/>
      <c r="I195" s="56"/>
      <c r="J195" s="2"/>
      <c r="K195" s="2"/>
      <c r="L195" s="15"/>
      <c r="M195" s="15"/>
      <c r="N195" s="2"/>
      <c r="O195" s="2"/>
      <c r="P195" s="53"/>
      <c r="Q195" s="53"/>
      <c r="R195" s="2"/>
      <c r="S195" s="2"/>
      <c r="T195" s="2"/>
    </row>
    <row r="196" spans="1:20">
      <c r="A196" s="3"/>
      <c r="B196" s="756" t="s">
        <v>601</v>
      </c>
      <c r="C196" s="2"/>
      <c r="D196" s="2"/>
      <c r="E196" s="56"/>
      <c r="F196" s="56"/>
      <c r="G196" s="56"/>
      <c r="H196" s="56"/>
      <c r="I196" s="56"/>
      <c r="J196" s="2"/>
      <c r="K196" s="2"/>
      <c r="L196" s="2"/>
      <c r="M196" s="2"/>
      <c r="N196" s="2"/>
      <c r="O196" s="2"/>
      <c r="P196" s="53"/>
      <c r="Q196" s="53"/>
      <c r="R196" s="2"/>
      <c r="S196" s="2"/>
      <c r="T196" s="2"/>
    </row>
    <row r="197" spans="1:20">
      <c r="A197" s="3"/>
      <c r="B197" s="756" t="s">
        <v>602</v>
      </c>
      <c r="C197" s="2"/>
      <c r="D197" s="2"/>
      <c r="E197" s="56"/>
      <c r="F197" s="56"/>
      <c r="G197" s="56"/>
      <c r="H197" s="56"/>
      <c r="I197" s="56"/>
      <c r="J197" s="2"/>
      <c r="K197" s="2"/>
      <c r="L197" s="2"/>
      <c r="M197" s="2"/>
      <c r="N197" s="2"/>
      <c r="O197" s="2"/>
      <c r="P197" s="53"/>
      <c r="Q197" s="53"/>
      <c r="R197" s="2"/>
      <c r="S197" s="2"/>
      <c r="T197" s="2"/>
    </row>
    <row r="198" spans="1:20">
      <c r="A198" s="3"/>
      <c r="B198" s="756" t="s">
        <v>598</v>
      </c>
      <c r="C198" s="2"/>
      <c r="D198" s="2"/>
      <c r="E198" s="56"/>
      <c r="F198" s="56"/>
      <c r="G198" s="56"/>
      <c r="H198" s="56"/>
      <c r="I198" s="56"/>
      <c r="J198" s="2"/>
      <c r="K198" s="2"/>
      <c r="L198" s="2"/>
      <c r="M198" s="2"/>
      <c r="N198" s="2"/>
      <c r="O198" s="2"/>
      <c r="P198" s="53"/>
      <c r="Q198" s="53"/>
      <c r="R198" s="2"/>
      <c r="S198" s="2"/>
      <c r="T198" s="2"/>
    </row>
    <row r="199" spans="1:20">
      <c r="A199" s="3"/>
      <c r="B199" s="756" t="s">
        <v>603</v>
      </c>
      <c r="C199" s="2"/>
      <c r="D199" s="2"/>
      <c r="E199" s="56"/>
      <c r="F199" s="56"/>
      <c r="G199" s="56"/>
      <c r="H199" s="56"/>
      <c r="I199" s="56"/>
      <c r="J199" s="2"/>
      <c r="K199" s="2"/>
      <c r="L199" s="2"/>
      <c r="M199" s="2"/>
      <c r="N199" s="2"/>
      <c r="O199" s="2"/>
      <c r="P199" s="53"/>
      <c r="Q199" s="53"/>
      <c r="R199" s="2"/>
      <c r="S199" s="2"/>
      <c r="T199" s="2"/>
    </row>
    <row r="200" spans="1:20">
      <c r="A200" s="3"/>
      <c r="B200" s="755" t="s">
        <v>604</v>
      </c>
      <c r="C200" s="2"/>
      <c r="D200" s="2"/>
      <c r="E200" s="56"/>
      <c r="F200" s="56"/>
      <c r="G200" s="56"/>
      <c r="H200" s="56"/>
      <c r="I200" s="56"/>
      <c r="J200" s="2"/>
      <c r="K200" s="2"/>
      <c r="L200" s="2"/>
      <c r="M200" s="2"/>
      <c r="N200" s="2"/>
      <c r="O200" s="2"/>
      <c r="P200" s="53"/>
      <c r="Q200" s="53"/>
      <c r="R200" s="2"/>
      <c r="S200" s="2"/>
      <c r="T200" s="2"/>
    </row>
    <row r="201" spans="1:20">
      <c r="A201" s="3"/>
      <c r="B201" s="755" t="s">
        <v>606</v>
      </c>
      <c r="C201" s="2"/>
      <c r="D201" s="2"/>
      <c r="E201" s="56"/>
      <c r="F201" s="56"/>
      <c r="G201" s="56"/>
      <c r="H201" s="56"/>
      <c r="I201" s="56"/>
      <c r="J201" s="2"/>
      <c r="K201" s="2"/>
      <c r="L201" s="2"/>
      <c r="M201" s="2"/>
      <c r="N201" s="2"/>
      <c r="O201" s="2"/>
      <c r="P201" s="53"/>
      <c r="Q201" s="53"/>
      <c r="R201" s="2"/>
      <c r="S201" s="2"/>
      <c r="T201" s="2"/>
    </row>
    <row r="202" spans="1:20">
      <c r="A202" s="3"/>
      <c r="B202" s="755" t="s">
        <v>605</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66" t="s">
        <v>363</v>
      </c>
      <c r="C2" s="1066"/>
      <c r="D2" s="1066"/>
      <c r="E2" s="1066"/>
      <c r="F2" s="640"/>
      <c r="G2" s="609"/>
      <c r="H2" s="609"/>
      <c r="I2" s="609"/>
      <c r="J2" s="609"/>
      <c r="K2" s="609"/>
      <c r="L2" s="75"/>
      <c r="M2" s="75"/>
      <c r="N2" s="75"/>
    </row>
    <row r="3" spans="1:14" ht="27" customHeight="1">
      <c r="A3" s="610" t="str">
        <f>S.General.RulemakingTitle</f>
        <v>Grants Pass Limited Maintenance Plans for CO and PM10</v>
      </c>
      <c r="B3" s="75"/>
      <c r="D3" s="610"/>
      <c r="E3" s="610"/>
      <c r="F3" s="610"/>
      <c r="G3" s="75"/>
      <c r="H3" s="75"/>
      <c r="I3" s="75"/>
      <c r="J3" s="75"/>
      <c r="K3" s="75"/>
      <c r="L3" s="75"/>
      <c r="M3" s="75"/>
      <c r="N3" s="75"/>
    </row>
    <row r="4" spans="1:14" ht="21" customHeight="1">
      <c r="A4" s="646" t="str">
        <f>"Code: "&amp;S.General.CodeName</f>
        <v>Code: GPLMP</v>
      </c>
      <c r="B4" s="611"/>
      <c r="C4" s="611"/>
      <c r="E4" s="611"/>
      <c r="F4" s="75"/>
      <c r="G4" s="611"/>
      <c r="H4" s="75"/>
      <c r="I4" s="75"/>
      <c r="J4" s="75"/>
      <c r="K4" s="75"/>
      <c r="L4" s="75"/>
      <c r="M4" s="75"/>
      <c r="N4" s="75"/>
    </row>
    <row r="5" spans="1:14" s="23" customFormat="1" ht="31.5" customHeight="1">
      <c r="A5" s="75"/>
      <c r="B5" s="612" t="s">
        <v>366</v>
      </c>
      <c r="C5" s="75"/>
      <c r="D5" s="75"/>
      <c r="E5" s="75"/>
      <c r="F5" s="75"/>
      <c r="G5" s="75"/>
      <c r="H5" s="75"/>
      <c r="I5" s="75"/>
      <c r="J5" s="75"/>
      <c r="K5" s="75"/>
      <c r="L5" s="75"/>
      <c r="M5" s="75"/>
      <c r="N5" s="75"/>
    </row>
    <row r="6" spans="1:14" ht="27.75" customHeight="1">
      <c r="A6" s="75"/>
      <c r="B6" s="613" t="s">
        <v>376</v>
      </c>
      <c r="C6" s="614"/>
      <c r="D6" s="614"/>
      <c r="E6" s="614"/>
      <c r="F6" s="75"/>
      <c r="G6" s="614"/>
      <c r="H6" s="614"/>
      <c r="I6" s="614"/>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2" t="s">
        <v>367</v>
      </c>
      <c r="C8" s="75"/>
      <c r="D8" s="75"/>
      <c r="E8" s="75"/>
      <c r="F8" s="75"/>
      <c r="G8" s="75"/>
      <c r="H8" s="75"/>
      <c r="I8" s="75"/>
      <c r="J8" s="75"/>
      <c r="K8" s="75"/>
      <c r="L8" s="75"/>
      <c r="M8" s="75"/>
      <c r="N8" s="75"/>
    </row>
    <row r="9" spans="1:14" s="23" customFormat="1" ht="25.5" customHeight="1">
      <c r="A9" s="75"/>
      <c r="B9" s="613" t="s">
        <v>377</v>
      </c>
      <c r="C9" s="614"/>
      <c r="D9" s="614"/>
      <c r="E9" s="614"/>
      <c r="F9" s="75"/>
      <c r="G9" s="614"/>
      <c r="H9" s="614"/>
      <c r="I9" s="614"/>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2" t="s">
        <v>368</v>
      </c>
      <c r="C11" s="75"/>
      <c r="D11" s="75"/>
      <c r="E11" s="75"/>
      <c r="F11" s="75"/>
      <c r="G11" s="75"/>
      <c r="H11" s="75"/>
      <c r="I11" s="75"/>
      <c r="J11" s="75"/>
      <c r="K11" s="75"/>
      <c r="L11" s="75"/>
      <c r="M11" s="75"/>
      <c r="N11" s="75"/>
    </row>
    <row r="12" spans="1:14" s="23" customFormat="1" ht="25.5" customHeight="1">
      <c r="A12" s="75"/>
      <c r="B12" s="613" t="s">
        <v>378</v>
      </c>
      <c r="C12" s="614"/>
      <c r="D12" s="614"/>
      <c r="E12" s="614"/>
      <c r="F12" s="75"/>
      <c r="G12" s="614"/>
      <c r="H12" s="614"/>
      <c r="I12" s="614"/>
      <c r="J12" s="75"/>
      <c r="K12" s="75"/>
      <c r="L12" s="75"/>
      <c r="M12" s="75"/>
      <c r="N12" s="75"/>
    </row>
    <row r="13" spans="1:14">
      <c r="A13" s="75"/>
      <c r="B13" s="75"/>
      <c r="C13" s="75"/>
      <c r="D13" s="75"/>
      <c r="E13" s="75"/>
      <c r="F13" s="75"/>
      <c r="G13" s="75"/>
      <c r="H13" s="75"/>
      <c r="I13" s="75"/>
      <c r="J13" s="75"/>
      <c r="K13" s="75"/>
      <c r="L13" s="75"/>
      <c r="M13" s="75"/>
      <c r="N13" s="75"/>
    </row>
    <row r="14" spans="1:14" ht="20.25">
      <c r="A14" s="610" t="s">
        <v>359</v>
      </c>
      <c r="B14" s="75"/>
      <c r="C14" s="75"/>
      <c r="D14" s="75"/>
      <c r="E14" s="75"/>
      <c r="F14" s="75"/>
      <c r="G14" s="75"/>
      <c r="H14" s="75"/>
      <c r="I14" s="75"/>
      <c r="J14" s="75"/>
      <c r="K14" s="75"/>
      <c r="L14" s="75"/>
      <c r="M14" s="75"/>
      <c r="N14" s="75"/>
    </row>
    <row r="15" spans="1:14" ht="33" customHeight="1">
      <c r="A15" s="75"/>
      <c r="B15" s="1068" t="s">
        <v>414</v>
      </c>
      <c r="C15" s="1068"/>
      <c r="D15" s="1068"/>
      <c r="E15" s="1068"/>
      <c r="F15" s="1068"/>
      <c r="G15" s="75"/>
      <c r="H15" s="75"/>
      <c r="I15" s="75"/>
      <c r="J15" s="75"/>
      <c r="K15" s="75"/>
      <c r="L15" s="75"/>
      <c r="M15" s="75"/>
      <c r="N15" s="75"/>
    </row>
    <row r="16" spans="1:14" s="23" customFormat="1" ht="21" customHeight="1">
      <c r="A16" s="75"/>
      <c r="B16" s="675"/>
      <c r="C16" s="75"/>
      <c r="D16" s="75"/>
      <c r="E16" s="75"/>
      <c r="F16" s="75"/>
      <c r="G16" s="75"/>
      <c r="H16" s="75"/>
      <c r="I16" s="75"/>
      <c r="J16" s="75"/>
      <c r="K16" s="75"/>
      <c r="L16" s="75"/>
      <c r="M16" s="75"/>
      <c r="N16" s="75"/>
    </row>
    <row r="17" spans="1:14" ht="25.5" customHeight="1">
      <c r="B17" s="612" t="s">
        <v>384</v>
      </c>
      <c r="C17" s="1067" t="str">
        <f>S.Staff.Program.Mgr.FullName&amp;", "&amp;S.Staff.Program.Mgr.Div&amp;": "&amp;S.Staff.Program.Mgr.SectionName&amp;""</f>
        <v>David Collier, OP: Air Quality Planning</v>
      </c>
      <c r="D17" s="1067"/>
      <c r="E17" s="1067"/>
      <c r="F17" s="75"/>
      <c r="G17" s="75"/>
      <c r="H17" s="75"/>
      <c r="I17" s="75"/>
      <c r="J17" s="75"/>
      <c r="K17" s="75"/>
      <c r="L17" s="75"/>
      <c r="M17" s="75"/>
      <c r="N17" s="75"/>
    </row>
    <row r="18" spans="1:14" ht="25.5" customHeight="1">
      <c r="B18" s="612" t="s">
        <v>478</v>
      </c>
      <c r="C18" s="1067" t="str">
        <f>S.Staff.Subject.Expert.FullName&amp;", "&amp;S.Staff.Program.Mgr.Div&amp;": "&amp;S.Staff.Program.Mgr.SectionName&amp;""</f>
        <v>Brian Finneran, OP: Air Quality Planning</v>
      </c>
      <c r="D18" s="1067"/>
      <c r="E18" s="1067"/>
      <c r="F18" s="75"/>
      <c r="G18" s="75"/>
      <c r="H18" s="75"/>
      <c r="I18" s="75"/>
      <c r="J18" s="75"/>
      <c r="K18" s="75"/>
      <c r="L18" s="75"/>
      <c r="M18" s="75"/>
      <c r="N18" s="75"/>
    </row>
    <row r="19" spans="1:14" ht="25.5" customHeight="1">
      <c r="B19" s="612" t="s">
        <v>479</v>
      </c>
      <c r="C19" s="1067" t="str">
        <f>S.Staff.RG.Lead.Full.Name&amp;", "&amp;S.Staff.RG.Lead.Div&amp;": "&amp;S.Staff.RG.Lead.SectionName&amp;""</f>
        <v>Andrea Gartenbaum, OP: Agency Rules</v>
      </c>
      <c r="D19" s="1067"/>
      <c r="E19" s="1067"/>
      <c r="F19" s="75"/>
      <c r="G19" s="75"/>
      <c r="H19" s="75"/>
      <c r="I19" s="75"/>
      <c r="J19" s="75"/>
      <c r="K19" s="75"/>
      <c r="L19" s="75"/>
      <c r="M19" s="75"/>
      <c r="N19" s="75"/>
    </row>
    <row r="20" spans="1:14" ht="12" customHeight="1">
      <c r="B20" s="1069" t="s">
        <v>519</v>
      </c>
      <c r="C20" s="1069"/>
      <c r="D20" s="1069"/>
      <c r="E20" s="1069"/>
      <c r="F20" s="75"/>
      <c r="G20" s="75"/>
      <c r="H20" s="75"/>
      <c r="I20" s="75"/>
      <c r="J20" s="75"/>
      <c r="K20" s="75"/>
      <c r="L20" s="75"/>
      <c r="M20" s="75"/>
      <c r="N20" s="75"/>
    </row>
    <row r="21" spans="1:14" ht="29.25" customHeight="1">
      <c r="A21" s="610" t="s">
        <v>369</v>
      </c>
      <c r="B21" s="75"/>
      <c r="C21" s="617"/>
      <c r="D21" s="617"/>
      <c r="E21" s="617"/>
      <c r="F21" s="75"/>
      <c r="G21" s="75"/>
      <c r="H21" s="75"/>
      <c r="I21" s="75"/>
      <c r="J21" s="75"/>
      <c r="K21" s="75"/>
      <c r="L21" s="75"/>
      <c r="M21" s="75"/>
      <c r="N21" s="75"/>
    </row>
    <row r="22" spans="1:14" s="173" customFormat="1" ht="40.5" customHeight="1">
      <c r="A22" s="653" t="s">
        <v>467</v>
      </c>
      <c r="B22" s="654"/>
      <c r="C22" s="655"/>
      <c r="D22" s="655"/>
      <c r="E22" s="655"/>
      <c r="F22" s="655"/>
      <c r="G22" s="656"/>
      <c r="H22" s="656"/>
      <c r="I22" s="656"/>
      <c r="J22" s="656"/>
      <c r="K22" s="656"/>
      <c r="L22" s="656"/>
      <c r="M22" s="656"/>
      <c r="N22" s="656"/>
    </row>
    <row r="23" spans="1:14" s="641" customFormat="1" ht="24" customHeight="1">
      <c r="A23" s="620" t="s">
        <v>370</v>
      </c>
      <c r="B23" s="620" t="s">
        <v>392</v>
      </c>
      <c r="C23" s="620" t="s">
        <v>372</v>
      </c>
      <c r="D23" s="620" t="s">
        <v>375</v>
      </c>
      <c r="E23" s="620" t="s">
        <v>475</v>
      </c>
      <c r="F23" s="620" t="s">
        <v>374</v>
      </c>
      <c r="G23" s="645"/>
      <c r="H23" s="645"/>
    </row>
    <row r="24" spans="1:14" s="631" customFormat="1" ht="36" customHeight="1">
      <c r="A24" s="664">
        <f>S.PlanningKickoff</f>
        <v>41820</v>
      </c>
      <c r="B24" s="661" t="str">
        <f>"Rules Group Partner: "&amp;S.Staff.RG.Lead.Full.Name</f>
        <v>Rules Group Partner: Andrea Gartenbaum</v>
      </c>
      <c r="C24" s="661" t="s">
        <v>477</v>
      </c>
      <c r="D24" s="661" t="s">
        <v>476</v>
      </c>
      <c r="E24" s="661" t="str">
        <f>S.Staff.Program.Mgr.FullName</f>
        <v>David Collier</v>
      </c>
      <c r="F24" s="679" t="s">
        <v>206</v>
      </c>
      <c r="G24" s="75"/>
      <c r="H24" s="647"/>
    </row>
    <row r="25" spans="1:14" s="631" customFormat="1" ht="51" customHeight="1">
      <c r="A25" s="665">
        <f>S.Planning.DraftWorkbooksEnd</f>
        <v>41820</v>
      </c>
      <c r="B25" s="662" t="str">
        <f>"Sponsoring Partner: "&amp;S.Staff.Program.Mgr.FullName</f>
        <v>Sponsoring Partner: David Collier</v>
      </c>
      <c r="C25" s="662" t="s">
        <v>424</v>
      </c>
      <c r="D25" s="662" t="s">
        <v>385</v>
      </c>
      <c r="E25" s="663" t="str">
        <f>S.Staff.Assistant.DA.LongName&amp;" and "&amp;
S.Staff.RG.Lead.FirstName</f>
        <v>Uri Papish and AndreaG</v>
      </c>
      <c r="F25" s="678" t="s">
        <v>206</v>
      </c>
      <c r="G25" s="75"/>
      <c r="H25" s="75"/>
    </row>
    <row r="26" spans="1:14" s="631" customFormat="1" ht="66" customHeight="1">
      <c r="A26" s="685">
        <f>S.Planning.AddConceptToPlanDate</f>
        <v>41820</v>
      </c>
      <c r="B26" s="643" t="str">
        <f>"Sponsoring Partner's Manager: "&amp;S.Staff.Assistant.DA.ShortName</f>
        <v>Sponsoring Partner's Manager: Uri</v>
      </c>
      <c r="C26" s="642" t="s">
        <v>425</v>
      </c>
      <c r="D26" s="642" t="s">
        <v>385</v>
      </c>
      <c r="E26" s="642" t="str">
        <f>S.Staff.Program.Mgr.FirstName&amp;" and "&amp;S.Staff.RG.Lead.FirstName</f>
        <v>DavidC and AndreaG</v>
      </c>
      <c r="F26" s="625" t="s">
        <v>206</v>
      </c>
      <c r="G26" s="75"/>
      <c r="H26" s="75"/>
    </row>
    <row r="27" spans="1:14" s="631" customFormat="1" ht="52.5" customHeight="1">
      <c r="A27" s="664"/>
      <c r="B27" s="661" t="str">
        <f>"Rules Group Partner: "&amp;S.Staff.RG.Lead.FirstName</f>
        <v>Rules Group Partner: AndreaG</v>
      </c>
      <c r="C27" s="661" t="s">
        <v>490</v>
      </c>
      <c r="D27" s="661" t="str">
        <f>"Determine capacity
Prioritize rulemakings
Validate with "&amp;S.Staff.Program.Mgr.FirstName</f>
        <v>Determine capacity
Prioritize rulemakings
Validate with DavidC</v>
      </c>
      <c r="E27" s="661" t="s">
        <v>394</v>
      </c>
      <c r="F27" s="679" t="s">
        <v>206</v>
      </c>
      <c r="G27" s="75"/>
      <c r="H27" s="647"/>
    </row>
    <row r="28" spans="1:14" s="631" customFormat="1" ht="48" customHeight="1">
      <c r="A28" s="664" t="s">
        <v>0</v>
      </c>
      <c r="B28" s="661" t="str">
        <f>"Rules Group Partner: "&amp;S.Staff.RG.Lead.FirstName</f>
        <v>Rules Group Partner: AndreaG</v>
      </c>
      <c r="C28" s="661" t="s">
        <v>426</v>
      </c>
      <c r="D28" s="661" t="s">
        <v>427</v>
      </c>
      <c r="E28" s="661" t="str">
        <f>S.Staff.Director</f>
        <v>Dick</v>
      </c>
      <c r="F28" s="679" t="s">
        <v>206</v>
      </c>
      <c r="G28" s="75"/>
      <c r="H28" s="75"/>
    </row>
    <row r="29" spans="1:14" s="669" customFormat="1" ht="40.5" customHeight="1">
      <c r="A29" s="666" t="s">
        <v>491</v>
      </c>
      <c r="B29" s="667"/>
      <c r="C29" s="668"/>
      <c r="D29" s="668"/>
      <c r="E29" s="668"/>
      <c r="F29" s="667"/>
      <c r="G29" s="667"/>
      <c r="H29" s="667"/>
      <c r="I29" s="667"/>
      <c r="J29" s="667"/>
      <c r="K29" s="667"/>
      <c r="L29" s="667"/>
      <c r="M29" s="667"/>
      <c r="N29" s="667"/>
    </row>
    <row r="30" spans="1:14" s="39" customFormat="1" ht="25.5">
      <c r="A30" s="657" t="s">
        <v>370</v>
      </c>
      <c r="B30" s="658" t="s">
        <v>371</v>
      </c>
      <c r="C30" s="657" t="s">
        <v>372</v>
      </c>
      <c r="D30" s="657" t="s">
        <v>375</v>
      </c>
      <c r="E30" s="657" t="s">
        <v>492</v>
      </c>
      <c r="F30" s="657" t="s">
        <v>374</v>
      </c>
      <c r="G30" s="659"/>
      <c r="H30" s="659"/>
      <c r="I30" s="659"/>
      <c r="J30" s="659"/>
      <c r="K30" s="659"/>
      <c r="L30" s="659"/>
      <c r="M30" s="659"/>
      <c r="N30" s="659"/>
    </row>
    <row r="31" spans="1:14" s="23" customFormat="1" ht="57">
      <c r="A31" s="662"/>
      <c r="B31" s="662" t="str">
        <f>"Sponsoring Partner: "&amp;S.Staff.Program.Mgr.FirstName</f>
        <v>Sponsoring Partner: DavidC</v>
      </c>
      <c r="C31" s="662" t="s">
        <v>423</v>
      </c>
      <c r="D31" s="662" t="s">
        <v>387</v>
      </c>
      <c r="E31" s="671" t="s">
        <v>388</v>
      </c>
      <c r="F31" s="678" t="s">
        <v>206</v>
      </c>
      <c r="G31" s="75"/>
      <c r="H31" s="75"/>
      <c r="I31" s="75"/>
      <c r="J31" s="75"/>
      <c r="K31" s="75"/>
      <c r="L31" s="75"/>
      <c r="M31" s="75"/>
      <c r="N31" s="75"/>
    </row>
    <row r="32" spans="1:14" s="23" customFormat="1" ht="48.75" customHeight="1">
      <c r="A32" s="662"/>
      <c r="B32" s="662" t="str">
        <f>"Sponsoring Partner: "&amp;S.Staff.Program.Mgr.FirstName</f>
        <v>Sponsoring Partner: DavidC</v>
      </c>
      <c r="C32" s="672" t="s">
        <v>420</v>
      </c>
      <c r="D32" s="673" t="s">
        <v>507</v>
      </c>
      <c r="E32" s="671" t="s">
        <v>388</v>
      </c>
      <c r="F32" s="678" t="s">
        <v>206</v>
      </c>
      <c r="G32" s="75"/>
      <c r="H32" s="75"/>
      <c r="I32" s="75"/>
      <c r="J32" s="75"/>
      <c r="K32" s="75"/>
      <c r="L32" s="75"/>
      <c r="M32" s="75"/>
      <c r="N32" s="75"/>
    </row>
    <row r="34" spans="1:14" s="23" customFormat="1" ht="20.25">
      <c r="A34" s="612" t="s">
        <v>379</v>
      </c>
      <c r="B34" s="75"/>
      <c r="C34" s="617"/>
      <c r="D34" s="617"/>
      <c r="E34" s="617"/>
      <c r="F34" s="75"/>
      <c r="G34" s="75"/>
      <c r="H34" s="75"/>
      <c r="I34" s="75"/>
      <c r="J34" s="75"/>
      <c r="K34" s="75"/>
      <c r="L34" s="75"/>
      <c r="M34" s="75"/>
      <c r="N34" s="75"/>
    </row>
    <row r="35" spans="1:14" s="23" customFormat="1" ht="14.25" customHeight="1">
      <c r="A35" s="616"/>
      <c r="B35" s="618" t="s">
        <v>380</v>
      </c>
      <c r="C35" s="617"/>
      <c r="D35" s="617"/>
      <c r="E35" s="617"/>
      <c r="F35" s="75"/>
      <c r="G35" s="75"/>
      <c r="H35" s="75"/>
      <c r="I35" s="75"/>
      <c r="J35" s="75"/>
      <c r="K35" s="75"/>
      <c r="L35" s="75"/>
      <c r="M35" s="75"/>
      <c r="N35" s="75"/>
    </row>
    <row r="36" spans="1:14" s="23" customFormat="1" ht="13.5" customHeight="1">
      <c r="A36" s="616"/>
      <c r="B36" s="618" t="s">
        <v>382</v>
      </c>
      <c r="C36" s="617"/>
      <c r="D36" s="617"/>
      <c r="E36" s="617"/>
      <c r="F36" s="75"/>
      <c r="G36" s="75"/>
      <c r="H36" s="75"/>
      <c r="I36" s="75"/>
      <c r="J36" s="75"/>
      <c r="K36" s="75"/>
      <c r="L36" s="75"/>
      <c r="M36" s="75"/>
      <c r="N36" s="75"/>
    </row>
    <row r="37" spans="1:14" s="23" customFormat="1" ht="13.5" customHeight="1">
      <c r="A37" s="616"/>
      <c r="B37" s="618" t="s">
        <v>381</v>
      </c>
      <c r="C37" s="617"/>
      <c r="D37" s="617"/>
      <c r="E37" s="617"/>
      <c r="F37" s="75"/>
      <c r="G37" s="75"/>
      <c r="H37" s="75"/>
      <c r="I37" s="75"/>
      <c r="J37" s="75"/>
      <c r="K37" s="75"/>
      <c r="L37" s="75"/>
      <c r="M37" s="75"/>
      <c r="N37" s="75"/>
    </row>
    <row r="38" spans="1:14" s="23" customFormat="1" ht="13.5" customHeight="1">
      <c r="A38" s="617"/>
      <c r="B38" s="618" t="s">
        <v>383</v>
      </c>
      <c r="C38" s="617"/>
      <c r="D38" s="617"/>
      <c r="E38" s="617"/>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9" t="s">
        <v>370</v>
      </c>
      <c r="B40" s="620" t="s">
        <v>371</v>
      </c>
      <c r="C40" s="619" t="s">
        <v>372</v>
      </c>
      <c r="D40" s="619" t="s">
        <v>375</v>
      </c>
      <c r="E40" s="620" t="s">
        <v>492</v>
      </c>
      <c r="F40" s="621" t="s">
        <v>374</v>
      </c>
      <c r="G40" s="75"/>
      <c r="H40" s="75"/>
      <c r="I40" s="75"/>
      <c r="J40" s="75"/>
      <c r="K40" s="75"/>
      <c r="L40" s="75"/>
      <c r="M40" s="75"/>
      <c r="N40" s="75"/>
    </row>
    <row r="41" spans="1:14" ht="32.25" customHeight="1">
      <c r="A41" s="682" t="e">
        <f>S.Notice.StartInvolveResources</f>
        <v>#REF!</v>
      </c>
      <c r="B41" s="662" t="str">
        <f>"Sponsoring Partner: "&amp;S.Staff.Program.Mgr.FirstName</f>
        <v>Sponsoring Partner: DavidC</v>
      </c>
      <c r="C41" s="671" t="s">
        <v>386</v>
      </c>
      <c r="D41" s="683" t="s">
        <v>387</v>
      </c>
      <c r="E41" s="671" t="s">
        <v>388</v>
      </c>
      <c r="F41" s="678" t="s">
        <v>206</v>
      </c>
      <c r="G41" s="75"/>
      <c r="H41" s="75"/>
      <c r="I41" s="75"/>
      <c r="J41" s="75"/>
      <c r="K41" s="75"/>
      <c r="L41" s="75"/>
      <c r="M41" s="75"/>
      <c r="N41" s="75"/>
    </row>
    <row r="42" spans="1:14" s="23" customFormat="1" ht="31.5" customHeight="1">
      <c r="A42" s="626" t="e">
        <f>S.Notice.EndInvolveResources</f>
        <v>#REF!</v>
      </c>
      <c r="B42" s="688" t="s">
        <v>388</v>
      </c>
      <c r="C42" s="624" t="s">
        <v>385</v>
      </c>
      <c r="D42" s="623" t="s">
        <v>389</v>
      </c>
      <c r="E42" s="687" t="str">
        <f>S.Staff.Program.Mgr.FirstName</f>
        <v>DavidC</v>
      </c>
      <c r="F42" s="625" t="s">
        <v>206</v>
      </c>
      <c r="G42" s="75"/>
      <c r="H42" s="75"/>
      <c r="I42" s="75"/>
      <c r="J42" s="75"/>
      <c r="K42" s="75"/>
      <c r="L42" s="75"/>
      <c r="M42" s="75"/>
      <c r="N42" s="75"/>
    </row>
    <row r="43" spans="1:14" s="23" customFormat="1" ht="30.75" customHeight="1">
      <c r="A43" s="673"/>
      <c r="B43" s="662" t="str">
        <f>"Sponsoring Partner: "&amp;S.Staff.Program.Mgr.FirstName</f>
        <v>Sponsoring Partner: DavidC</v>
      </c>
      <c r="C43" s="671" t="s">
        <v>386</v>
      </c>
      <c r="D43" s="671" t="s">
        <v>500</v>
      </c>
      <c r="E43" s="671" t="str">
        <f>S.Staff.RG.Lead.FirstName</f>
        <v>AndreaG</v>
      </c>
      <c r="F43" s="678" t="s">
        <v>206</v>
      </c>
      <c r="G43" s="75"/>
      <c r="H43" s="75"/>
      <c r="I43" s="75"/>
      <c r="J43" s="75"/>
      <c r="K43" s="75"/>
      <c r="L43" s="75"/>
      <c r="M43" s="75"/>
      <c r="N43" s="75"/>
    </row>
    <row r="44" spans="1:14" ht="121.5" customHeight="1">
      <c r="A44" s="686"/>
      <c r="B44" s="661" t="str">
        <f>"Rules Group Partner: "&amp;S.Staff.RG.Lead.FirstName</f>
        <v>Rules Group Partner: AndreaG</v>
      </c>
      <c r="C44" s="661" t="s">
        <v>386</v>
      </c>
      <c r="D44" s="670" t="s">
        <v>390</v>
      </c>
      <c r="E44" s="687" t="str">
        <f>S.Staff.Program.Mgr.FirstName</f>
        <v>DavidC</v>
      </c>
      <c r="F44" s="679" t="s">
        <v>206</v>
      </c>
      <c r="G44" s="75"/>
      <c r="H44" s="75"/>
      <c r="I44" s="75"/>
      <c r="J44" s="75"/>
      <c r="K44" s="75"/>
      <c r="L44" s="75"/>
      <c r="M44" s="75"/>
      <c r="N44" s="75"/>
    </row>
    <row r="45" spans="1:14" s="23" customFormat="1" ht="62.25" customHeight="1">
      <c r="A45" s="673"/>
      <c r="B45" s="662" t="str">
        <f>"Sponsoring Partner: "&amp;S.Staff.Program.Mgr.FirstName</f>
        <v>Sponsoring Partner: DavidC</v>
      </c>
      <c r="C45" s="671" t="s">
        <v>501</v>
      </c>
      <c r="D45" s="671" t="s">
        <v>508</v>
      </c>
      <c r="E45" s="671" t="str">
        <f>S.Staff.RG.Lead.FirstName</f>
        <v>AndreaG</v>
      </c>
      <c r="F45" s="678" t="s">
        <v>206</v>
      </c>
      <c r="G45" s="75"/>
      <c r="H45" s="75"/>
      <c r="I45" s="75"/>
      <c r="J45" s="75"/>
      <c r="K45" s="75"/>
      <c r="L45" s="75"/>
      <c r="M45" s="75"/>
      <c r="N45" s="75"/>
    </row>
    <row r="46" spans="1:14" ht="61.5" customHeight="1">
      <c r="A46" s="673">
        <f>S.Notice.PreviewBegin</f>
        <v>41967</v>
      </c>
      <c r="B46" s="662" t="str">
        <f>"Sponsoring Partner: "&amp;S.Staff.Program.Mgr.FirstName</f>
        <v>Sponsoring Partner: DavidC</v>
      </c>
      <c r="C46" s="671" t="s">
        <v>502</v>
      </c>
      <c r="D46" s="683" t="s">
        <v>98</v>
      </c>
      <c r="E46" s="671" t="str">
        <f>S.Staff.Assistant.DA.ShortName</f>
        <v>Uri</v>
      </c>
      <c r="F46" s="678" t="s">
        <v>206</v>
      </c>
      <c r="G46" s="75"/>
      <c r="H46" s="75"/>
      <c r="I46" s="75"/>
      <c r="J46" s="75"/>
      <c r="K46" s="75"/>
      <c r="L46" s="75"/>
      <c r="M46" s="75"/>
      <c r="N46" s="75"/>
    </row>
    <row r="47" spans="1:14" s="23" customFormat="1" ht="35.25" customHeight="1">
      <c r="A47" s="626">
        <f>CodeName.ScheduleOfTasks!AH593</f>
        <v>41974</v>
      </c>
      <c r="B47" s="643" t="str">
        <f>"Sponsoring Partner's Manager: "&amp;S.Staff.Assistant.DA.ShortName</f>
        <v>Sponsoring Partner's Manager: Uri</v>
      </c>
      <c r="C47" s="643" t="s">
        <v>501</v>
      </c>
      <c r="D47" s="643" t="s">
        <v>395</v>
      </c>
      <c r="E47" s="687" t="str">
        <f>S.Staff.Program.Mgr.FirstName</f>
        <v>DavidC</v>
      </c>
      <c r="F47" s="643"/>
      <c r="G47" s="75"/>
      <c r="H47" s="75"/>
      <c r="I47" s="75"/>
      <c r="J47" s="75"/>
      <c r="K47" s="75"/>
      <c r="L47" s="75"/>
      <c r="M47" s="75"/>
      <c r="N47" s="75"/>
    </row>
    <row r="48" spans="1:14" s="23" customFormat="1" ht="34.5" customHeight="1">
      <c r="A48" s="643"/>
      <c r="B48" s="643" t="str">
        <f>"Division Administrator "&amp;S.Staff.DA.ForProgram.FirstName</f>
        <v>Division Administrator Wendy</v>
      </c>
      <c r="C48" s="643" t="s">
        <v>415</v>
      </c>
      <c r="D48" s="643" t="s">
        <v>393</v>
      </c>
      <c r="E48" s="687" t="str">
        <f>S.Staff.Program.Mgr.FirstName</f>
        <v>DavidC</v>
      </c>
      <c r="F48" s="643"/>
      <c r="G48" s="75"/>
      <c r="H48" s="75"/>
      <c r="I48" s="75"/>
      <c r="J48" s="75"/>
      <c r="K48" s="75"/>
      <c r="L48" s="75"/>
      <c r="M48" s="75"/>
      <c r="N48" s="75"/>
    </row>
    <row r="49" spans="1:14" s="23" customFormat="1" ht="46.5" customHeight="1">
      <c r="A49" s="643"/>
      <c r="B49" s="643" t="str">
        <f>"Sponsoring Partner's Manager: "&amp;S.Staff.Assistant.DA.ShortName</f>
        <v>Sponsoring Partner's Manager: Uri</v>
      </c>
      <c r="C49" s="643" t="s">
        <v>396</v>
      </c>
      <c r="D49" s="643" t="s">
        <v>397</v>
      </c>
      <c r="E49" s="643" t="str">
        <f>S.Staff.RG.Lead.FirstName</f>
        <v>AndreaG</v>
      </c>
      <c r="F49" s="643"/>
      <c r="G49" s="75"/>
      <c r="H49" s="75"/>
      <c r="I49" s="75"/>
      <c r="J49" s="75"/>
      <c r="K49" s="75"/>
      <c r="L49" s="75"/>
      <c r="M49" s="75"/>
      <c r="N49" s="75"/>
    </row>
    <row r="50" spans="1:14" s="23" customFormat="1" ht="33" customHeight="1">
      <c r="A50" s="681"/>
      <c r="B50" s="681" t="str">
        <f>"Rules Group Partner: "&amp;S.Staff.RG.Lead.FirstName</f>
        <v>Rules Group Partner: AndreaG</v>
      </c>
      <c r="C50" s="681" t="s">
        <v>398</v>
      </c>
      <c r="D50" s="681" t="s">
        <v>399</v>
      </c>
      <c r="E50" s="681" t="s">
        <v>400</v>
      </c>
      <c r="F50" s="681"/>
      <c r="G50" s="75"/>
      <c r="H50" s="75"/>
      <c r="I50" s="75"/>
      <c r="J50" s="75"/>
      <c r="K50" s="75"/>
      <c r="L50" s="75"/>
      <c r="M50" s="75"/>
      <c r="N50" s="75"/>
    </row>
    <row r="51" spans="1:14" s="23" customFormat="1" ht="28.5">
      <c r="A51" s="684"/>
      <c r="B51" s="662" t="str">
        <f>"Sponsoring Partner: "&amp;S.Staff.Program.Mgr.FirstName</f>
        <v>Sponsoring Partner: DavidC</v>
      </c>
      <c r="C51" s="684" t="s">
        <v>401</v>
      </c>
      <c r="D51" s="684" t="s">
        <v>98</v>
      </c>
      <c r="E51" s="671" t="str">
        <f>S.Staff.RG.Lead.FirstName</f>
        <v>AndreaG</v>
      </c>
      <c r="F51" s="684"/>
      <c r="G51" s="75"/>
      <c r="H51" s="75"/>
      <c r="I51" s="75"/>
      <c r="J51" s="75"/>
      <c r="K51" s="75"/>
      <c r="L51" s="75"/>
      <c r="M51" s="75"/>
      <c r="N51" s="75"/>
    </row>
    <row r="52" spans="1:14" s="23" customFormat="1" ht="85.5">
      <c r="A52" s="684"/>
      <c r="B52" s="662" t="str">
        <f>"Sponsoring Partner: "&amp;S.Staff.Program.Mgr.FirstName</f>
        <v>Sponsoring Partner: DavidC</v>
      </c>
      <c r="C52" s="684" t="s">
        <v>416</v>
      </c>
      <c r="D52" s="671" t="s">
        <v>500</v>
      </c>
      <c r="E52" s="684" t="e">
        <f>S.Staff.Subject.Expert.FirstName&amp;", "&amp;S.Staff.HearingsOfficer&amp;" and "&amp;S.Staff.RG.Lead.FirstName</f>
        <v>#NAME?</v>
      </c>
      <c r="F52" s="684"/>
      <c r="G52" s="75"/>
      <c r="H52" s="75"/>
      <c r="I52" s="75"/>
      <c r="J52" s="75"/>
      <c r="K52" s="75"/>
      <c r="L52" s="75"/>
      <c r="M52" s="75"/>
      <c r="N52" s="75"/>
    </row>
    <row r="53" spans="1:14" s="23" customFormat="1">
      <c r="A53" s="676"/>
      <c r="B53" s="676"/>
      <c r="C53" s="676"/>
      <c r="D53" s="676"/>
      <c r="E53" s="676"/>
      <c r="F53" s="676"/>
      <c r="G53" s="75"/>
    </row>
    <row r="54" spans="1:14" s="23" customFormat="1" ht="15">
      <c r="A54" s="612" t="s">
        <v>402</v>
      </c>
      <c r="B54" s="75"/>
      <c r="C54" s="75"/>
      <c r="D54" s="75"/>
      <c r="E54" s="75"/>
      <c r="F54" s="75"/>
      <c r="G54" s="75"/>
    </row>
    <row r="55" spans="1:14" s="23" customFormat="1">
      <c r="A55" s="616"/>
      <c r="B55" s="75"/>
      <c r="C55" s="75"/>
      <c r="D55" s="75"/>
      <c r="E55" s="75"/>
      <c r="F55" s="75"/>
      <c r="G55" s="75"/>
    </row>
    <row r="56" spans="1:14" s="631" customFormat="1" ht="25.5">
      <c r="A56" s="620" t="s">
        <v>370</v>
      </c>
      <c r="B56" s="620" t="s">
        <v>392</v>
      </c>
      <c r="C56" s="620" t="s">
        <v>372</v>
      </c>
      <c r="D56" s="620" t="s">
        <v>375</v>
      </c>
      <c r="E56" s="620" t="s">
        <v>492</v>
      </c>
      <c r="F56" s="620" t="s">
        <v>374</v>
      </c>
    </row>
    <row r="57" spans="1:14" s="631" customFormat="1" ht="99.75">
      <c r="A57" s="671"/>
      <c r="B57" s="662" t="str">
        <f>"Sponsoring Partner: "&amp;S.Staff.Program.Mgr.FirstName</f>
        <v>Sponsoring Partner: DavidC</v>
      </c>
      <c r="C57" s="671" t="s">
        <v>421</v>
      </c>
      <c r="D57" s="671" t="s">
        <v>500</v>
      </c>
      <c r="E57" s="671" t="str">
        <f>S.Staff.RG.Lead.FirstName</f>
        <v>AndreaG</v>
      </c>
      <c r="F57" s="678" t="s">
        <v>206</v>
      </c>
    </row>
    <row r="58" spans="1:14" s="631" customFormat="1" ht="85.5">
      <c r="A58" s="680"/>
      <c r="B58" s="681" t="str">
        <f>"Rules Group Partner: "&amp;S.Staff.RG.Lead.FirstName</f>
        <v>Rules Group Partner: AndreaG</v>
      </c>
      <c r="C58" s="681" t="s">
        <v>503</v>
      </c>
      <c r="D58" s="680" t="s">
        <v>403</v>
      </c>
      <c r="E58" s="681" t="str">
        <f>S.Staff.DA.Support.ForProgram.FirstName&amp;", Legislative staff and Web staff"</f>
        <v>Carol, Legislative staff and Web staff</v>
      </c>
      <c r="F58" s="680" t="s">
        <v>206</v>
      </c>
    </row>
    <row r="59" spans="1:14" s="631" customFormat="1">
      <c r="A59" s="676"/>
      <c r="B59" s="676"/>
      <c r="C59" s="676"/>
      <c r="D59" s="676"/>
      <c r="E59" s="676"/>
      <c r="F59" s="676"/>
      <c r="G59" s="75"/>
    </row>
    <row r="60" spans="1:14" s="631" customFormat="1" ht="15">
      <c r="A60" s="612" t="s">
        <v>404</v>
      </c>
      <c r="B60" s="75"/>
      <c r="C60" s="75"/>
      <c r="D60" s="75"/>
      <c r="E60" s="75"/>
      <c r="F60" s="75"/>
      <c r="G60" s="75"/>
    </row>
    <row r="61" spans="1:14" s="631" customFormat="1">
      <c r="A61" s="75"/>
      <c r="B61" s="618" t="s">
        <v>405</v>
      </c>
      <c r="C61" s="75"/>
      <c r="D61" s="75"/>
      <c r="E61" s="75"/>
      <c r="F61" s="75"/>
      <c r="G61" s="75"/>
    </row>
    <row r="62" spans="1:14" s="631" customFormat="1">
      <c r="A62" s="75"/>
      <c r="B62" s="618" t="s">
        <v>381</v>
      </c>
      <c r="C62" s="75"/>
      <c r="D62" s="75"/>
      <c r="E62" s="75"/>
      <c r="F62" s="75"/>
      <c r="G62" s="75"/>
    </row>
    <row r="63" spans="1:14" s="631" customFormat="1">
      <c r="A63" s="677"/>
      <c r="B63" s="75"/>
      <c r="C63" s="75"/>
      <c r="D63" s="75"/>
      <c r="E63" s="75"/>
      <c r="F63" s="75"/>
      <c r="G63" s="75"/>
    </row>
    <row r="64" spans="1:14" s="641" customFormat="1" ht="25.5">
      <c r="A64" s="620" t="s">
        <v>370</v>
      </c>
      <c r="B64" s="620" t="s">
        <v>392</v>
      </c>
      <c r="C64" s="620" t="s">
        <v>372</v>
      </c>
      <c r="D64" s="620" t="s">
        <v>375</v>
      </c>
      <c r="E64" s="620" t="s">
        <v>492</v>
      </c>
      <c r="F64" s="620" t="s">
        <v>374</v>
      </c>
    </row>
    <row r="65" spans="1:7" s="631" customFormat="1" ht="42.75">
      <c r="A65" s="684"/>
      <c r="B65" s="662" t="str">
        <f>"Sponsoring Partner: "&amp;S.Staff.Program.Mgr.FirstName</f>
        <v>Sponsoring Partner: DavidC</v>
      </c>
      <c r="C65" s="684" t="s">
        <v>406</v>
      </c>
      <c r="D65" s="683" t="s">
        <v>387</v>
      </c>
      <c r="E65" s="671" t="s">
        <v>388</v>
      </c>
      <c r="F65" s="678" t="s">
        <v>206</v>
      </c>
    </row>
    <row r="66" spans="1:7" s="631" customFormat="1" ht="34.5" customHeight="1">
      <c r="A66" s="679"/>
      <c r="B66" s="681" t="str">
        <f>"Rules Group Partner: "&amp;S.Staff.RG.Lead.FirstName</f>
        <v>Rules Group Partner: AndreaG</v>
      </c>
      <c r="C66" s="681" t="s">
        <v>506</v>
      </c>
      <c r="D66" s="681" t="s">
        <v>500</v>
      </c>
      <c r="E66" s="680" t="str">
        <f>S.Staff.Program.Mgr.FirstName</f>
        <v>DavidC</v>
      </c>
      <c r="F66" s="679" t="s">
        <v>206</v>
      </c>
    </row>
    <row r="67" spans="1:7" s="631" customFormat="1" ht="27.75" customHeight="1">
      <c r="A67" s="643"/>
      <c r="B67" s="643" t="s">
        <v>407</v>
      </c>
      <c r="C67" s="643" t="s">
        <v>506</v>
      </c>
      <c r="D67" s="643" t="s">
        <v>504</v>
      </c>
      <c r="E67" s="643" t="str">
        <f>S.Staff.Program.Mgr.FirstName</f>
        <v>DavidC</v>
      </c>
      <c r="F67" s="625" t="s">
        <v>206</v>
      </c>
    </row>
    <row r="68" spans="1:7" s="631" customFormat="1" ht="28.5">
      <c r="A68" s="684"/>
      <c r="B68" s="662" t="str">
        <f>"Sponsoring Partner: "&amp;S.Staff.Program.Mgr.FirstName</f>
        <v>Sponsoring Partner: DavidC</v>
      </c>
      <c r="C68" s="684" t="s">
        <v>408</v>
      </c>
      <c r="D68" s="684" t="s">
        <v>395</v>
      </c>
      <c r="E68" s="684" t="str">
        <f>S.Staff.Assistant.DA.ShortName</f>
        <v>Uri</v>
      </c>
      <c r="F68" s="678" t="s">
        <v>206</v>
      </c>
    </row>
    <row r="69" spans="1:7" s="631" customFormat="1" ht="32.25" customHeight="1">
      <c r="A69" s="643"/>
      <c r="B69" s="643" t="str">
        <f>"Division Administrator: "&amp;S.Staff.DA.ForProgram.FirstName</f>
        <v>Division Administrator: Wendy</v>
      </c>
      <c r="C69" s="643" t="s">
        <v>422</v>
      </c>
      <c r="D69" s="643" t="s">
        <v>393</v>
      </c>
      <c r="E69" s="643" t="str">
        <f>S.Staff.Program.Mgr.FirstName</f>
        <v>DavidC</v>
      </c>
      <c r="F69" s="625" t="s">
        <v>206</v>
      </c>
    </row>
    <row r="70" spans="1:7" s="631" customFormat="1" ht="28.5">
      <c r="A70" s="684"/>
      <c r="B70" s="662" t="str">
        <f>"Sponsoring Partner: "&amp;S.Staff.Program.Mgr.FirstName</f>
        <v>Sponsoring Partner: DavidC</v>
      </c>
      <c r="C70" s="684" t="s">
        <v>409</v>
      </c>
      <c r="D70" s="684" t="s">
        <v>397</v>
      </c>
      <c r="E70" s="671" t="str">
        <f>S.Staff.RG.Lead.FirstName</f>
        <v>AndreaG</v>
      </c>
      <c r="F70" s="678" t="s">
        <v>206</v>
      </c>
    </row>
    <row r="71" spans="1:7" s="631" customFormat="1" ht="28.5">
      <c r="A71" s="680"/>
      <c r="B71" s="681" t="str">
        <f>"Rules Group Partner: "&amp;S.Staff.RG.Lead.FirstName</f>
        <v>Rules Group Partner: AndreaG</v>
      </c>
      <c r="C71" s="680" t="s">
        <v>398</v>
      </c>
      <c r="D71" s="680" t="s">
        <v>410</v>
      </c>
      <c r="E71" s="680" t="str">
        <f>S.Staff.EQCAssistant</f>
        <v>StephanieC</v>
      </c>
      <c r="F71" s="679" t="s">
        <v>206</v>
      </c>
    </row>
    <row r="72" spans="1:7" s="631" customFormat="1">
      <c r="A72" s="75"/>
      <c r="B72" s="75"/>
      <c r="C72" s="75"/>
      <c r="D72" s="75"/>
      <c r="E72" s="75"/>
      <c r="F72" s="75"/>
      <c r="G72" s="75"/>
    </row>
    <row r="73" spans="1:7" s="631" customFormat="1">
      <c r="A73" s="75"/>
      <c r="B73" s="75"/>
      <c r="C73" s="75"/>
      <c r="D73" s="75"/>
      <c r="E73" s="75"/>
      <c r="F73" s="75"/>
      <c r="G73" s="75"/>
    </row>
    <row r="74" spans="1:7" s="631" customFormat="1" ht="15">
      <c r="A74" s="612" t="s">
        <v>411</v>
      </c>
      <c r="B74" s="75"/>
      <c r="C74" s="75"/>
      <c r="D74" s="75"/>
      <c r="E74" s="75"/>
      <c r="F74" s="75"/>
      <c r="G74" s="75"/>
    </row>
    <row r="75" spans="1:7" s="631" customFormat="1">
      <c r="A75" s="677"/>
      <c r="B75" s="75"/>
      <c r="C75" s="75"/>
      <c r="D75" s="75"/>
      <c r="E75" s="75"/>
      <c r="F75" s="75"/>
      <c r="G75" s="75"/>
    </row>
    <row r="76" spans="1:7" s="631" customFormat="1" ht="25.5">
      <c r="A76" s="620" t="s">
        <v>370</v>
      </c>
      <c r="B76" s="620" t="s">
        <v>392</v>
      </c>
      <c r="C76" s="620" t="s">
        <v>372</v>
      </c>
      <c r="D76" s="620" t="s">
        <v>375</v>
      </c>
      <c r="E76" s="620" t="s">
        <v>373</v>
      </c>
      <c r="F76" s="620" t="s">
        <v>374</v>
      </c>
    </row>
    <row r="77" spans="1:7" s="631" customFormat="1" ht="85.5">
      <c r="A77" s="671"/>
      <c r="B77" s="662" t="str">
        <f>"Sponsoring Partner: "&amp;S.Staff.Program.Mgr.FirstName</f>
        <v>Sponsoring Partner: DavidC</v>
      </c>
      <c r="C77" s="671" t="s">
        <v>417</v>
      </c>
      <c r="D77" s="671" t="s">
        <v>500</v>
      </c>
      <c r="E77" s="671" t="str">
        <f>S.Staff.RG.Lead.FirstName</f>
        <v>AndreaG</v>
      </c>
      <c r="F77" s="678" t="s">
        <v>206</v>
      </c>
    </row>
    <row r="78" spans="1:7" s="631" customFormat="1" ht="32.25" customHeight="1">
      <c r="A78" s="670"/>
      <c r="B78" s="661" t="str">
        <f>"Rules Group Partner: "&amp;S.Staff.RG.Lead.FirstName</f>
        <v>Rules Group Partner: AndreaG</v>
      </c>
      <c r="C78" s="670" t="s">
        <v>499</v>
      </c>
      <c r="D78" s="670" t="s">
        <v>410</v>
      </c>
      <c r="E78" s="680" t="str">
        <f>S.Staff.EQCAssistant</f>
        <v>StephanieC</v>
      </c>
      <c r="F78" s="679" t="s">
        <v>206</v>
      </c>
    </row>
    <row r="79" spans="1:7" s="631" customFormat="1" ht="75" customHeight="1">
      <c r="A79" s="670"/>
      <c r="B79" s="661" t="str">
        <f>"Rules Group Partner: "&amp;S.Staff.RG.Lead.FirstName</f>
        <v>Rules Group Partner: AndreaG</v>
      </c>
      <c r="C79" s="670" t="s">
        <v>505</v>
      </c>
      <c r="D79" s="670" t="s">
        <v>412</v>
      </c>
      <c r="E79" s="670" t="s">
        <v>418</v>
      </c>
      <c r="F79" s="679" t="s">
        <v>206</v>
      </c>
    </row>
    <row r="80" spans="1:7" s="631" customFormat="1">
      <c r="A80" s="633"/>
    </row>
    <row r="81" spans="1:14" s="631" customFormat="1">
      <c r="A81" s="632"/>
    </row>
    <row r="82" spans="1:14" s="631" customFormat="1" ht="15">
      <c r="A82" s="612" t="s">
        <v>413</v>
      </c>
    </row>
    <row r="83" spans="1:14" s="631" customFormat="1">
      <c r="A83" s="633"/>
    </row>
    <row r="84" spans="1:14" s="631" customFormat="1" ht="25.5">
      <c r="A84" s="620" t="s">
        <v>370</v>
      </c>
      <c r="B84" s="620" t="s">
        <v>392</v>
      </c>
      <c r="C84" s="620" t="s">
        <v>372</v>
      </c>
      <c r="D84" s="620" t="s">
        <v>375</v>
      </c>
      <c r="E84" s="620" t="s">
        <v>373</v>
      </c>
      <c r="F84" s="620" t="s">
        <v>374</v>
      </c>
    </row>
    <row r="85" spans="1:14" s="631" customFormat="1" ht="71.25">
      <c r="A85" s="684"/>
      <c r="B85" s="662" t="str">
        <f>"Sponsoring Partner: "&amp;S.Staff.Program.Mgr.FirstName</f>
        <v>Sponsoring Partner: DavidC</v>
      </c>
      <c r="C85" s="662" t="s">
        <v>510</v>
      </c>
      <c r="D85" s="684" t="s">
        <v>98</v>
      </c>
      <c r="E85" s="671" t="str">
        <f>S.Staff.RG.Lead.FirstName</f>
        <v>AndreaG</v>
      </c>
      <c r="F85" s="678" t="s">
        <v>206</v>
      </c>
    </row>
    <row r="86" spans="1:14" s="631" customFormat="1" ht="71.25">
      <c r="A86" s="681"/>
      <c r="B86" s="661" t="str">
        <f>"Rules Group Partner: "&amp;S.Staff.RG.Lead.FirstName</f>
        <v>Rules Group Partner: AndreaG</v>
      </c>
      <c r="C86" s="670" t="s">
        <v>509</v>
      </c>
      <c r="D86" s="670" t="s">
        <v>511</v>
      </c>
      <c r="E86" s="670" t="s">
        <v>284</v>
      </c>
      <c r="F86" s="679" t="s">
        <v>206</v>
      </c>
    </row>
    <row r="87" spans="1:14" s="631" customFormat="1" ht="15.75">
      <c r="A87" s="634"/>
    </row>
    <row r="88" spans="1:14" s="23" customFormat="1" ht="20.25">
      <c r="A88" s="628"/>
    </row>
    <row r="89" spans="1:14" ht="184.5" customHeight="1">
      <c r="A89" s="629" t="s">
        <v>0</v>
      </c>
    </row>
    <row r="92" spans="1:14">
      <c r="A92" s="630"/>
    </row>
    <row r="94" spans="1:14" s="23" customFormat="1" ht="15">
      <c r="A94" s="612" t="s">
        <v>419</v>
      </c>
      <c r="B94" s="644"/>
      <c r="C94" s="644"/>
      <c r="D94" s="644"/>
      <c r="E94" s="644"/>
      <c r="F94" s="644"/>
      <c r="G94" s="75"/>
      <c r="H94" s="342"/>
      <c r="I94" s="75"/>
      <c r="J94" s="75"/>
      <c r="K94" s="75"/>
      <c r="L94" s="75"/>
      <c r="M94" s="75"/>
      <c r="N94" s="75"/>
    </row>
    <row r="95" spans="1:14" s="23" customFormat="1" ht="15">
      <c r="A95" s="612"/>
      <c r="B95" s="644"/>
      <c r="C95" s="644"/>
      <c r="D95" s="644"/>
      <c r="E95" s="644"/>
      <c r="F95" s="644"/>
      <c r="G95" s="75"/>
      <c r="H95" s="652"/>
      <c r="I95" s="75"/>
      <c r="J95" s="75"/>
      <c r="K95" s="75"/>
      <c r="L95" s="75"/>
      <c r="M95" s="75"/>
      <c r="N95" s="75"/>
    </row>
    <row r="96" spans="1:14" s="23" customFormat="1" ht="25.5">
      <c r="A96" s="619" t="s">
        <v>370</v>
      </c>
      <c r="B96" s="620" t="s">
        <v>371</v>
      </c>
      <c r="C96" s="619" t="s">
        <v>372</v>
      </c>
      <c r="D96" s="619" t="s">
        <v>375</v>
      </c>
      <c r="E96" s="621" t="s">
        <v>373</v>
      </c>
      <c r="F96" s="621" t="s">
        <v>374</v>
      </c>
      <c r="G96" s="75"/>
      <c r="H96" s="342"/>
      <c r="I96" s="75"/>
      <c r="J96" s="75"/>
      <c r="K96" s="75"/>
      <c r="L96" s="75"/>
      <c r="M96" s="75"/>
      <c r="N96" s="75"/>
    </row>
    <row r="97" spans="1:14" s="23" customFormat="1">
      <c r="A97" s="626"/>
      <c r="B97" s="627"/>
      <c r="C97" s="626"/>
      <c r="D97" s="626"/>
      <c r="E97" s="626"/>
      <c r="F97" s="626"/>
      <c r="G97" s="75"/>
      <c r="H97" s="652"/>
      <c r="I97" s="75"/>
      <c r="J97" s="75"/>
      <c r="K97" s="75"/>
      <c r="L97" s="75"/>
      <c r="M97" s="75"/>
      <c r="N97" s="75"/>
    </row>
    <row r="98" spans="1:14" s="23" customFormat="1">
      <c r="A98" s="626"/>
      <c r="B98" s="622"/>
      <c r="C98" s="626"/>
      <c r="D98" s="626"/>
      <c r="E98" s="626"/>
      <c r="F98" s="626"/>
      <c r="G98" s="75"/>
      <c r="H98" s="652"/>
      <c r="I98" s="75"/>
      <c r="J98" s="75"/>
      <c r="K98" s="75"/>
      <c r="L98" s="75"/>
      <c r="M98" s="75"/>
      <c r="N98" s="75"/>
    </row>
    <row r="99" spans="1:14" s="23" customFormat="1">
      <c r="A99" s="626"/>
      <c r="B99" s="626"/>
      <c r="C99" s="626"/>
      <c r="D99" s="626"/>
      <c r="E99" s="626"/>
      <c r="F99" s="626"/>
      <c r="G99" s="75"/>
      <c r="H99" s="75"/>
      <c r="I99" s="75"/>
      <c r="J99" s="75"/>
      <c r="K99" s="75"/>
      <c r="L99" s="75"/>
      <c r="M99" s="75"/>
      <c r="N99" s="75"/>
    </row>
    <row r="100" spans="1:14" s="23" customFormat="1">
      <c r="A100" s="626"/>
      <c r="B100" s="626"/>
      <c r="C100" s="626"/>
      <c r="D100" s="626"/>
      <c r="E100" s="626"/>
      <c r="F100" s="626"/>
      <c r="G100" s="75"/>
      <c r="H100" s="75"/>
      <c r="I100" s="75"/>
      <c r="J100" s="75"/>
      <c r="K100" s="75"/>
      <c r="L100" s="75"/>
      <c r="M100" s="75"/>
      <c r="N100" s="75"/>
    </row>
    <row r="101" spans="1:14" s="23" customFormat="1">
      <c r="A101" s="644"/>
      <c r="B101" s="644"/>
      <c r="C101" s="644"/>
      <c r="D101" s="644"/>
      <c r="E101" s="644"/>
      <c r="F101" s="644"/>
      <c r="G101" s="75"/>
      <c r="H101" s="75"/>
      <c r="I101" s="75"/>
      <c r="J101" s="75"/>
      <c r="K101" s="75"/>
      <c r="L101" s="75"/>
      <c r="M101" s="75"/>
      <c r="N101" s="75"/>
    </row>
    <row r="103" spans="1:14" s="23" customFormat="1" ht="15" thickBot="1">
      <c r="A103" s="1070" t="s">
        <v>360</v>
      </c>
      <c r="B103" s="1070"/>
      <c r="C103" s="615"/>
      <c r="D103" s="615"/>
      <c r="E103" s="615"/>
      <c r="F103" s="75"/>
      <c r="G103" s="75"/>
      <c r="H103" s="75"/>
      <c r="I103" s="75"/>
      <c r="J103" s="75"/>
      <c r="K103" s="75"/>
      <c r="L103" s="75"/>
      <c r="M103" s="75"/>
      <c r="N103" s="75"/>
    </row>
    <row r="104" spans="1:14" s="23" customFormat="1" ht="20.25">
      <c r="A104" s="616"/>
      <c r="B104" s="75"/>
      <c r="C104" s="1071" t="str">
        <f>S.Staff.Program.Mgr.FullName&amp;", "&amp;S.Staff.Program.Mgr.Div&amp;": "&amp;S.Staff.Program.Mgr.SectionName&amp;"     DATE"</f>
        <v>David Collier, OP: Air Quality Planning     DATE</v>
      </c>
      <c r="D104" s="1071"/>
      <c r="E104" s="1071"/>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70" t="s">
        <v>479</v>
      </c>
      <c r="B106" s="1070"/>
      <c r="C106" s="615"/>
      <c r="D106" s="615"/>
      <c r="E106" s="615"/>
      <c r="F106" s="75"/>
      <c r="G106" s="75"/>
      <c r="H106" s="75"/>
      <c r="I106" s="75"/>
      <c r="J106" s="75"/>
      <c r="K106" s="75"/>
      <c r="L106" s="75"/>
      <c r="M106" s="75"/>
      <c r="N106" s="75"/>
    </row>
    <row r="107" spans="1:14" s="23" customFormat="1" ht="30.75" customHeight="1">
      <c r="A107" s="75"/>
      <c r="B107" s="75"/>
      <c r="C107" s="1072" t="str">
        <f>S.Staff.RG.Lead.Full.Name&amp;", "&amp;S.Staff.RG.Lead.Div&amp;": "&amp;S.Staff.RG.Lead.SectionName&amp;"     DATE"</f>
        <v>Andrea Gartenbaum, OP: Agency Rules     DATE</v>
      </c>
      <c r="D107" s="1072"/>
      <c r="E107" s="1072"/>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512</v>
      </c>
    </row>
    <row r="2" spans="1:1">
      <c r="A2" t="s">
        <v>513</v>
      </c>
    </row>
    <row r="3" spans="1:1">
      <c r="A3" t="s">
        <v>514</v>
      </c>
    </row>
    <row r="4" spans="1:1">
      <c r="A4" t="s">
        <v>515</v>
      </c>
    </row>
    <row r="5" spans="1:1">
      <c r="A5" t="s">
        <v>516</v>
      </c>
    </row>
    <row r="6" spans="1:1">
      <c r="A6" t="s">
        <v>517</v>
      </c>
    </row>
    <row r="7" spans="1:1">
      <c r="A7" t="s">
        <v>518</v>
      </c>
    </row>
    <row r="9" spans="1:1">
      <c r="A9" t="s">
        <v>520</v>
      </c>
    </row>
    <row r="10" spans="1:1">
      <c r="A10" t="s">
        <v>521</v>
      </c>
    </row>
    <row r="11" spans="1:1">
      <c r="A11" t="s">
        <v>522</v>
      </c>
    </row>
    <row r="12" spans="1:1">
      <c r="A12" t="s">
        <v>523</v>
      </c>
    </row>
    <row r="13" spans="1:1">
      <c r="A13" t="s">
        <v>524</v>
      </c>
    </row>
    <row r="14" spans="1:1">
      <c r="A14" t="s">
        <v>525</v>
      </c>
    </row>
    <row r="15" spans="1:1">
      <c r="A15" t="s">
        <v>526</v>
      </c>
    </row>
    <row r="16" spans="1:1">
      <c r="A16" t="s">
        <v>527</v>
      </c>
    </row>
    <row r="17" spans="1:1">
      <c r="A17" t="s">
        <v>528</v>
      </c>
    </row>
    <row r="18" spans="1:1">
      <c r="A18" t="s">
        <v>529</v>
      </c>
    </row>
    <row r="19" spans="1:1">
      <c r="A19"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AC2F10D1-4645-4724-8989-DBFB5A2E7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2014-05-14T17:00:39Z</cp:lastPrinted>
  <dcterms:created xsi:type="dcterms:W3CDTF">2012-04-11T21:44:01Z</dcterms:created>
  <dcterms:modified xsi:type="dcterms:W3CDTF">2014-09-25T16:07:46Z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