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AG755"/>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AG23" s="1"/>
  <c r="AH569" l="1"/>
  <c r="H569" s="1"/>
  <c r="AH504"/>
  <c r="AG573"/>
  <c r="G573" s="1"/>
  <c r="G755"/>
  <c r="AH493"/>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<sst xmlns="http://schemas.openxmlformats.org/spreadsheetml/2006/main" count="2000" uniqueCount="794">
  <si>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</si>
  <si>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</si>
  <si>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</si>
  <si>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</si>
  <si>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</si>
  <si>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</si>
  <si>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</si>
  <si>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</si>
  <si>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</si>
  <si>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</si>
  <si>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</si>
  <si>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</si>
  <si>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</si>
  <si>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</si>
  <si>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</si>
  <si>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</si>
  <si>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</si>
  <si>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</si>
  <si>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</si>
  <si>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</si>
  <si>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</si>
  <si>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</si>
  <si>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</si>
  <si>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</si>
  <si>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</si>
  <si>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</si>
  <si>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</si>
  <si>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</si>
  <si>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</si>
  <si>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</si>
  <si>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</si>
  <si>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</si>
  <si>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</si>
  <si>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</si>
  <si>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</si>
  <si>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</si>
  <si>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</si>
  <si>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</si>
  <si>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</si>
  <si>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</si>
  <si>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</si>
  <si>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</si>
  <si>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</si>
  <si>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</si>
  <si>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</si>
  <si>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</si>
  <si>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</si>
  <si>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</si>
  <si>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</si>
  <si>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</si>
  <si>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</si>
  <si>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</si>
  <si>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</si>
  <si>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</si>
  <si>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</si>
  <si>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</si>
  <si>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</si>
  <si>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</si>
  <si>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</si>
  <si>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</si>
  <si>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</si>
  <si>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</si>
  <si>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</si>
  <si>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</si>
  <si>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</si>
  <si>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</si>
  <si>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</si>
  <si>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</si>
  <si>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</si>
  <si>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</si>
  <si>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</si>
  <si>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</si>
  <si>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</si>
  <si>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</si>
  <si>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</si>
  <si>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</si>
  <si>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</si>
  <si>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</si>
  <si>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</si>
  <si>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</si>
  <si>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</si>
  <si>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</si>
  <si>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</si>
  <si>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</si>
  <si>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</si>
  <si>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</si>
  <si>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</si>
  <si>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</si>
  <si>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</si>
  <si>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</si>
  <si>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</si>
  <si>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</si>
  <si>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</si>
  <si>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</si>
  <si>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</si>
  <si>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</si>
  <si>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</si>
  <si>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</si>
  <si>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</si>
  <si>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</si>
  <si>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</si>
  <si>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</si>
  <si>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</si>
  <si>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</si>
  <si>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</si>
  <si>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</si>
  <si>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</si>
  <si>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</si>
  <si>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</si>
  <si>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</si>
  <si>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</si>
  <si>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</si>
  <si>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</si>
  <si>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</si>
  <si>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</si>
  <si>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</si>
  <si>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</si>
  <si>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</si>
  <si>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</si>
  <si>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</si>
  <si>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</si>
  <si>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</si>
  <si>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</si>
  <si>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</si>
  <si>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</si>
  <si>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</si>
  <si>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</si>
  <si>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</si>
  <si>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</si>
  <si>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</si>
  <si>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</si>
  <si>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</si>
  <si>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</si>
  <si>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</si>
  <si>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</si>
  <si>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</si>
  <si>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</si>
  <si>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</si>
  <si>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</si>
  <si>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</si>
  <si>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</si>
  <si>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</si>
  <si>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</si>
  <si>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</si>
  <si>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</si>
  <si>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</si>
  <si>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</si>
  <si>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</si>
  <si>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</si>
  <si>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</si>
  <si>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</si>
  <si>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</si>
  <si>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</si>
  <si>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</si>
  <si>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</si>
  <si>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</si>
  <si>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</si>
  <si>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</si>
  <si>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</si>
  <si>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</si>
  <si>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</si>
  <si>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</si>
  <si>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</si>
  <si>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</si>
  <si>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</si>
  <si>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</si>
  <si>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</si>
  <si>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</si>
  <si>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</si>
  <si>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</si>
  <si>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</si>
  <si>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</si>
  <si>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</si>
  <si>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</si>
  <si>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</si>
  <si>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</si>
  <si>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</si>
  <si>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</si>
  <si>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</si>
  <si>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</si>
  <si>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</si>
  <si>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</si>
  <si>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</si>
  <si>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</si>
  <si>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</si>
  <si>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</si>
  <si>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</si>
  <si>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</si>
  <si>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</si>
  <si>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</si>
  <si>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</si>
  <si>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</si>
  <si>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</si>
  <si>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</si>
  <si>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</si>
  <si>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</si>
  <si>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</si>
  <si>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</si>
  <si>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</si>
  <si>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</si>
  <si>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</si>
  <si>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</si>
  <si>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</si>
  <si>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</si>
  <si>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</si>
  <si>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</si>
  <si>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</si>
  <si>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</si>
  <si>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</si>
  <si>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</si>
  <si>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</si>
  <si>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</si>
  <si>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</si>
  <si>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</si>
  <si>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</si>
  <si>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</si>
  <si>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</si>
  <si>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</si>
  <si>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</si>
  <si>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</si>
  <si>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</si>
  <si>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</si>
  <si>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</si>
  <si>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</si>
  <si>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</si>
  <si>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</si>
  <si>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</si>
  <si>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</si>
  <si>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</si>
  <si>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</si>
  <si>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</si>
  <si>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</si>
  <si>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</si>
  <si>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</si>
  <si>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</si>
  <si>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</si>
  <si>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</si>
  <si>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</si>
  <si>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</si>
  <si>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</si>
  <si>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</si>
  <si>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</si>
  <si>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</si>
  <si>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</si>
  <si>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</si>
  <si>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</si>
  <si>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</si>
  <si>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</si>
  <si>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</si>
  <si>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</si>
  <si>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</si>
  <si>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</si>
  <si>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</si>
  <si>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</si>
  <si>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</si>
  <si>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</si>
  <si>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</si>
  <si>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</si>
  <si>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</si>
  <si>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</si>
  <si>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</si>
  <si>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</si>
  <si>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</si>
  <si>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</si>
  <si>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</si>
  <si>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</si>
  <si>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</si>
  <si>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</si>
  <si>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</si>
  <si>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</si>
  <si>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</si>
  <si>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</si>
  <si>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</si>
  <si>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</si>
  <si>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</si>
  <si>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</si>
  <si>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</si>
  <si>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</si>
  <si>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</si>
  <si>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</si>
  <si>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</si>
  <si>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</si>
  <si>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</si>
  <si>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</si>
  <si>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</si>
  <si>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</si>
  <si>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</si>
  <si>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</si>
  <si>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</si>
  <si>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</si>
  <si>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</si>
  <si>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</si>
  <si>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</si>
  <si>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</si>
  <si>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</si>
  <si>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</si>
  <si>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</si>
  <si>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</si>
  <si>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</si>
  <si>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</si>
  <si>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</si>
  <si>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</si>
  <si>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</si>
  <si>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</si>
  <si>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</si>
  <si>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</si>
  <si>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</si>
  <si>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</si>
  <si>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</si>
  <si>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</si>
  <si>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</si>
  <si>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</si>
  <si>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</si>
  <si>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</si>
  <si>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</si>
  <si>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</si>
  <si>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</si>
  <si>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</si>
  <si>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</si>
  <si>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</si>
  <si>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</si>
  <si>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</si>
  <si>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</si>
  <si>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</si>
  <si>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</si>
  <si>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</si>
  <si>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</si>
  <si>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</si>
  <si>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</si>
  <si>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</si>
  <si>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</si>
  <si>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</si>
  <si>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</si>
  <si>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</si>
  <si>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</si>
  <si>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</si>
  <si>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</si>
  <si>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</si>
  <si>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</si>
  <si>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</si>
  <si>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</si>
  <si>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</si>
  <si>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</si>
  <si>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</si>
  <si>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</si>
  <si>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</si>
  <si>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</si>
  <si>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</si>
  <si>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</si>
  <si>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</si>
  <si>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</si>
  <si>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</si>
  <si>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</si>
  <si>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</si>
  <si>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</si>
  <si>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</si>
  <si>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</si>
  <si>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</si>
  <si>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</si>
  <si>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</si>
  <si>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</si>
  <si>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</si>
  <si>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</si>
  <si>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</si>
  <si>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</si>
  <si>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</si>
  <si>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</si>
  <si>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</si>
  <si>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</si>
  <si>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</si>
  <si>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</si>
  <si>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</si>
  <si>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</si>
  <si>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</si>
  <si>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</si>
  <si>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</si>
  <si>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</si>
  <si>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</si>
  <si>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</si>
  <si>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</si>
  <si>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</si>
  <si>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</si>
  <si>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</si>
  <si>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</si>
  <si>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</si>
  <si>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</si>
  <si>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</si>
  <si>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</si>
  <si>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</si>
  <si>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</si>
  <si>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</si>
  <si>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</si>
  <si>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</si>
  <si>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</si>
  <si>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</si>
  <si>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</si>
  <si>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</si>
  <si>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</si>
  <si>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</si>
  <si>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</si>
  <si>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</si>
  <si>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</si>
  <si>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</si>
  <si>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</si>
  <si>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</si>
  <si>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</si>
  <si>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</si>
  <si>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</si>
  <si>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</si>
  <si>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</si>
  <si>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</si>
  <si>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</si>
  <si>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</si>
  <si>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</si>
  <si>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</si>
  <si>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</si>
  <si>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</si>
  <si>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</si>
  <si>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</si>
  <si>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</si>
  <si>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</si>
  <si>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</si>
  <si>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</si>
  <si>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</si>
  <si>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</si>
  <si>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</si>
  <si>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</si>
  <si>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</si>
  <si>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</si>
  <si>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</si>
  <si>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</si>
  <si>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</si>
  <si>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</si>
  <si>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</si>
  <si>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</si>
  <si>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</si>
  <si>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</si>
  <si>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</si>
  <si>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</si>
  <si>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</si>
  <si>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</si>
  <si>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</si>
  <si>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</si>
  <si>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</si>
  <si>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</si>
  <si>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</si>
  <si>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</si>
  <si>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</si>
  <si>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</si>
  <si>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</si>
  <si>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</si>
  <si>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</si>
  <si>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</si>
  <si>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</si>
  <si>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</si>
  <si>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</si>
  <si>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</si>
  <si>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</si>
  <si>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</si>
  <si>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</si>
  <si>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</si>
  <si>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</si>
  <si>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</si>
  <si>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</si>
  <si>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</si>
  <si>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</si>
  <si>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</si>
  <si>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</si>
  <si>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</si>
  <si>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</si>
  <si>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</si>
  <si>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</si>
  <si>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</si>
  <si>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</si>
  <si>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</si>
  <si>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</si>
  <si>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</si>
  <si>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</si>
  <si>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</si>
  <si>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</si>
  <si>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</si>
  <si>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</si>
  <si>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</si>
  <si>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</si>
  <si>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</si>
  <si>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</si>
  <si>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</si>
  <si>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</si>
  <si>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</si>
  <si>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</si>
  <si>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</si>
  <si>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</si>
  <si>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</si>
  <si>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</si>
  <si>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</si>
  <si>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</si>
  <si>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</si>
  <si>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</si>
  <si>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</si>
  <si>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</si>
  <si>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</si>
  <si>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</si>
  <si>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</si>
  <si>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</si>
  <si>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</si>
  <si>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</si>
  <si>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</si>
  <si>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</si>
  <si>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</si>
  <si>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</si>
  <si>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</si>
  <si>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</si>
  <si>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</si>
  <si>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</si>
  <si>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</si>
  <si>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</si>
  <si>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</si>
  <si>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</si>
  <si>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</si>
  <si>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</si>
  <si>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</si>
  <si>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</si>
  <si>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</si>
  <si>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</si>
  <si>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</si>
  <si>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</si>
  <si>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</si>
  <si>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</si>
  <si>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</si>
  <si>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</si>
  <si>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</si>
  <si>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</si>
  <si>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</si>
  <si>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</si>
  <si>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</si>
  <si>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</si>
  <si>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</si>
  <si>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</si>
  <si>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</si>
  <si>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</si>
  <si>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</si>
  <si>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</si>
  <si>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</si>
  <si>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</si>
  <si>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</si>
  <si>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</si>
  <si>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</si>
  <si>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</si>
  <si>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</si>
  <si>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</si>
  <si>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</si>
  <si>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</si>
  <si>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</si>
  <si>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</si>
  <si>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</si>
  <si>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</si>
  <si>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</si>
  <si>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</si>
  <si>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</si>
  <si>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</si>
  <si>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</si>
  <si>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</si>
  <si>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</si>
  <si>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</si>
  <si>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</si>
  <si>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</si>
  <si>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</si>
  <si>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</si>
  <si>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</si>
  <si>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</si>
  <si>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</si>
  <si>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</si>
  <si>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</si>
  <si>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</si>
  <si>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</si>
  <si>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</si>
  <si>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</si>
  <si>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</si>
  <si>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</si>
  <si>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</si>
  <si>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</si>
  <si>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</si>
  <si>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</si>
  <si>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</si>
  <si>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</si>
  <si>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</si>
  <si>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</si>
  <si>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</si>
  <si>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</si>
  <si>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</si>
  <si>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</si>
  <si>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</si>
  <si>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</si>
  <si>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</si>
  <si>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</si>
  <si>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</si>
  <si>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</si>
  <si>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</si>
  <si>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</si>
  <si>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</si>
  <si>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</si>
  <si>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</si>
  <si>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</si>
  <si>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</si>
  <si>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</si>
  <si>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</si>
  <si>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</si>
  <si>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</si>
  <si>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</si>
  <si>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</si>
  <si>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</si>
  <si>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</si>
  <si>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</si>
  <si>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</si>
  <si>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</si>
  <si>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</si>
  <si>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</si>
  <si>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</si>
  <si>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</si>
  <si>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</si>
  <si>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</si>
  <si>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</si>
  <si>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</si>
  <si>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</si>
  <si>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</si>
  <si>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</si>
  <si>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</si>
  <si>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</si>
  <si>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</si>
  <si>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</si>
  <si>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</si>
  <si>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</si>
  <si>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</si>
  <si>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</si>
  <si>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</si>
  <si>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</si>
  <si>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</si>
  <si>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</si>
  <si>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</si>
  <si>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</si>
  <si>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</si>
  <si>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</si>
  <si>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</si>
  <si>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</si>
  <si>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</si>
  <si>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</si>
  <si>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</si>
  <si>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</si>
  <si>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</si>
  <si>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</si>
  <si>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</si>
  <si>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</si>
  <si>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</si>
  <si>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</si>
  <si>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</si>
  <si>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</si>
  <si>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</si>
  <si>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</si>
  <si>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</si>
  <si>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</si>
  <si>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</si>
  <si>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</si>
  <si>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</si>
  <si>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</si>
  <si>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</si>
  <si>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</si>
  <si>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</si>
  <si>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</si>
  <si>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</si>
  <si>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</si>
  <si>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</si>
  <si>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</si>
  <si>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</si>
  <si>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</si>
  <si>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</si>
  <si>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</si>
  <si>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</si>
  <si>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</si>
  <si>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</si>
  <si>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</si>
  <si>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</si>
  <si>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</si>
  <si>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</si>
  <si>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</si>
  <si>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</si>
  <si>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</si>
  <si>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</si>
  <si>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</si>
  <si>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</si>
  <si>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</si>
  <si>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</si>
  <si>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</si>
  <si>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</si>
  <si>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</si>
  <si>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</si>
  <si>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</si>
  <si>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</si>
  <si>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</si>
  <si>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</si>
  <si>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</si>
  <si>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</si>
  <si>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</si>
  <si>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</si>
  <si>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</si>
  <si>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</si>
  <si>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</si>
  <si>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</si>
  <si>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</si>
  <si>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</si>
  <si>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</si>
  <si>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</si>
  <si>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</si>
  <si>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</si>
  <si>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</si>
  <si>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</si>
  <si>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</si>
  <si>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</si>
  <si>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</si>
  <si>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</si>
  <si>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</si>
  <si>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</si>
  <si>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</si>
  <si>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</si>
  <si>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</si>
  <si>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</si>
  <si>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</si>
  <si>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</si>
  <si>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</si>
  <si>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</si>
  <si>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</si>
  <si>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</si>
  <si>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</si>
  <si>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</si>
  <si>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</si>
  <si>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</si>
  <si>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</si>
  <si>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</si>
  <si>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</si>
  <si>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</si>
  <si>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</si>
  <si>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</si>
  <si>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</si>
  <si>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</si>
  <si>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</si>
  <si>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</si>
  <si>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</si>
  <si>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</si>
  <si>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</si>
  <si>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</si>
  <si>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</si>
  <si>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</si>
  <si>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</si>
  <si>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</si>
  <si>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</si>
  <si>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</si>
  <si>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</si>
  <si>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</si>
  <si>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</si>
  <si>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</si>
  <si>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</si>
  <si>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</si>
  <si>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</si>
  <si>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</si>
  <si>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</si>
  <si>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</si>
  <si>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</si>
  <si>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</si>
  <si>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</si>
  <si>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</si>
  <si>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</si>
  <si>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</si>
  <si>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</si>
  <si>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</si>
  <si>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</si>
  <si>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</si>
  <si>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</si>
  <si>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</si>
  <si>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</si>
  <si>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</si>
  <si>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</si>
  <si>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</si>
  <si>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</si>
  <si>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</si>
  <si>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</si>
  <si>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</si>
  <si>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</si>
  <si>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</si>
  <si>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</si>
  <si>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</si>
  <si>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</si>
  <si>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</si>
  <si>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</si>
  <si>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</si>
  <si>
    <t>&amp;</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</si>
</sst>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7" fontId="110" fillId="35" borderId="31" xfId="1" applyNumberFormat="1" applyAlignment="1" applyProtection="1">
      <alignment horizontal="left" vertical="center" wrapText="1" indent="2"/>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B25" sqref="B25"/>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09" t="s">
        <v>0</v>
      </c>
      <c r="H1" s="1009"/>
      <c r="I1" s="745"/>
      <c r="AF1" s="361" t="s">
        <v>21</v>
      </c>
      <c r="AG1" s="59"/>
      <c r="AH1" s="76"/>
      <c r="AI1" s="816"/>
      <c r="AJ1" s="1007"/>
      <c r="AK1" s="1007"/>
      <c r="AL1" s="1007"/>
      <c r="AM1" s="1007"/>
      <c r="AN1" s="1007"/>
      <c r="AO1" s="1007"/>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4" t="s">
        <v>0</v>
      </c>
      <c r="D3" s="1004"/>
      <c r="E3" s="1004"/>
      <c r="F3" s="1004"/>
      <c r="G3" s="799">
        <f ca="1">AG3</f>
        <v>41865</v>
      </c>
      <c r="H3" s="800">
        <f>AH3</f>
        <v>42101</v>
      </c>
      <c r="I3" s="745"/>
      <c r="J3"/>
      <c r="K3"/>
      <c r="L3"/>
      <c r="M3"/>
      <c r="N3"/>
      <c r="O3"/>
      <c r="P3"/>
      <c r="Q3"/>
      <c r="R3"/>
      <c r="S3"/>
      <c r="T3"/>
      <c r="U3"/>
      <c r="X3"/>
      <c r="AB3"/>
      <c r="AC3"/>
      <c r="AF3" s="361" t="s">
        <v>59</v>
      </c>
      <c r="AG3" s="60">
        <f ca="1">TODAY()</f>
        <v>41865</v>
      </c>
      <c r="AH3" s="60">
        <f>S.EndOfRulemaking</f>
        <v>42101</v>
      </c>
      <c r="AI3" s="479" t="s">
        <v>0</v>
      </c>
      <c r="AJ3" s="380"/>
      <c r="AK3" s="348" t="str">
        <f>"Last row = "&amp;ROW(S.General.LastCellSchedule)</f>
        <v>Last row = 866</v>
      </c>
      <c r="AL3" s="76"/>
      <c r="AS3" s="996"/>
      <c r="AT3" s="996"/>
      <c r="AU3" s="996"/>
      <c r="AV3" s="996"/>
      <c r="AW3" s="996"/>
      <c r="AX3" s="996"/>
      <c r="AY3" s="996"/>
    </row>
    <row r="4" spans="1:51" ht="6" customHeight="1" thickBot="1">
      <c r="A4" s="163"/>
      <c r="B4" s="106" t="s">
        <v>793</v>
      </c>
      <c r="C4" s="98"/>
      <c r="D4" s="691"/>
      <c r="E4" s="691"/>
      <c r="F4" s="99"/>
      <c r="G4" s="98"/>
      <c r="H4" s="98"/>
      <c r="I4" s="745"/>
      <c r="AF4" s="361" t="s">
        <v>16</v>
      </c>
      <c r="AG4" s="58"/>
      <c r="AH4" s="58"/>
      <c r="AI4" s="58"/>
      <c r="AJ4" s="160"/>
      <c r="AK4" s="58"/>
      <c r="AL4" s="76"/>
      <c r="AM4"/>
    </row>
    <row r="5" spans="1:51" s="23" customFormat="1" ht="39.75" hidden="1" customHeight="1" thickBot="1">
      <c r="A5" s="163"/>
      <c r="B5" s="1001" t="s">
        <v>645</v>
      </c>
      <c r="C5" s="1001"/>
      <c r="D5" s="1001"/>
      <c r="E5" s="1001"/>
      <c r="F5" s="1001"/>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16</v>
      </c>
      <c r="F6" s="899"/>
      <c r="G6" s="333">
        <v>41820</v>
      </c>
      <c r="I6" s="919"/>
      <c r="AF6" s="362">
        <f>IF(C6="N",0,1)</f>
        <v>1</v>
      </c>
      <c r="AG6" s="58"/>
      <c r="AH6" s="809">
        <f>IF(C6="N",S.Overview.BANNER.Start,G6)</f>
        <v>41820</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02"/>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0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AG22</f>
        <v>41820</v>
      </c>
      <c r="H22" s="978">
        <f>AH22</f>
        <v>41964</v>
      </c>
      <c r="I22" s="922"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41964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v>41877</v>
      </c>
      <c r="H23" s="291"/>
      <c r="I23" s="922">
        <f>IF(S.Notice.Involved="N",0,10)</f>
        <v>10</v>
      </c>
      <c r="AF23" s="361">
        <f>IF(S.Notice.Involved="Y",1,0)</f>
        <v>1</v>
      </c>
      <c r="AG23" s="60" t="e">
        <f>IF(S.Notice.Involved="N",,WORKDAY(H23-F23+1,-1,S.DDL_DEQClosed))</f>
        <v>#NUM!</v>
      </c>
      <c r="AH23" s="60" t="e">
        <f>IF(S.Notice.Involved="N",,WORKDAY(G24-9,-1,S.DDL_DEQClosed))</f>
        <v>#NUM!</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5" t="s">
        <v>685</v>
      </c>
      <c r="D27" s="1005"/>
      <c r="E27" s="1005"/>
      <c r="F27" s="1005"/>
      <c r="G27" s="1006"/>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41820</v>
      </c>
      <c r="AH37" s="60">
        <f>IF(S.EQC.DirReport="Y",S.DIRECTOR.Approves.ForDEQRulemakingPlan,)</f>
        <v>41820</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5" t="s">
        <v>685</v>
      </c>
      <c r="D42" s="1005"/>
      <c r="E42" s="1005"/>
      <c r="F42" s="1005"/>
      <c r="G42" s="1006"/>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9" t="s">
        <v>0</v>
      </c>
      <c r="H43" s="989"/>
      <c r="I43" s="928">
        <v>-55</v>
      </c>
      <c r="J43"/>
      <c r="K43"/>
      <c r="L43"/>
      <c r="M43"/>
      <c r="N43"/>
      <c r="O43"/>
      <c r="P43"/>
      <c r="Q43"/>
      <c r="R43"/>
      <c r="S43"/>
      <c r="T43"/>
      <c r="U43"/>
      <c r="X43"/>
      <c r="AB43"/>
      <c r="AC43"/>
      <c r="AF43" s="361">
        <v>1</v>
      </c>
      <c r="AG43" s="1003" t="s">
        <v>758</v>
      </c>
      <c r="AH43" s="1003"/>
      <c r="AI43" s="1003"/>
      <c r="AJ43" s="1003"/>
      <c r="AK43" s="1003"/>
      <c r="AL43" s="76"/>
    </row>
    <row r="44" spans="1:39" s="23" customFormat="1" ht="14.1" hidden="1" customHeight="1" thickTop="1">
      <c r="A44" s="145"/>
      <c r="C44" s="335"/>
      <c r="D44"/>
      <c r="G44" s="989"/>
      <c r="H44" s="989"/>
      <c r="I44" s="924">
        <f>SUM(I8:I42)</f>
        <v>321</v>
      </c>
      <c r="J44"/>
      <c r="K44"/>
      <c r="L44"/>
      <c r="M44"/>
      <c r="N44"/>
      <c r="O44"/>
      <c r="P44"/>
      <c r="Q44"/>
      <c r="R44"/>
      <c r="S44"/>
      <c r="T44"/>
      <c r="U44"/>
      <c r="X44"/>
      <c r="AB44"/>
      <c r="AC44"/>
      <c r="AF44" s="361">
        <v>1</v>
      </c>
      <c r="AG44" s="1003" t="s">
        <v>759</v>
      </c>
      <c r="AH44" s="1003"/>
      <c r="AI44" s="1003"/>
      <c r="AJ44" s="1003"/>
      <c r="AK44" s="100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41820</v>
      </c>
      <c r="H54" s="201">
        <f>AH54</f>
        <v>41862</v>
      </c>
      <c r="I54" s="745"/>
      <c r="AF54" s="361" t="s">
        <v>59</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13" t="s">
        <v>751</v>
      </c>
      <c r="C91" s="1014"/>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986"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AH117</f>
        <v>41820</v>
      </c>
      <c r="I117" s="745"/>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41820</v>
      </c>
      <c r="I118" s="745"/>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41820</v>
      </c>
      <c r="I120" s="745"/>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41820</v>
      </c>
      <c r="I122" s="745"/>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AH125</f>
        <v>41820</v>
      </c>
      <c r="I125" s="745"/>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41820</v>
      </c>
      <c r="I129" s="745"/>
      <c r="AF129" s="361">
        <v>1</v>
      </c>
      <c r="AG129" s="48"/>
      <c r="AH129" s="60">
        <f>H125</f>
        <v>41820</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AG146</f>
        <v>41820</v>
      </c>
      <c r="H146" s="190">
        <f>AH146</f>
        <v>41820</v>
      </c>
      <c r="I146" s="745"/>
      <c r="AF146" s="361">
        <v>1</v>
      </c>
      <c r="AG146" s="60">
        <f>H129</f>
        <v>41820</v>
      </c>
      <c r="AH146" s="60">
        <f>G146</f>
        <v>41820</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41820</v>
      </c>
      <c r="I150" s="745"/>
      <c r="AF150" s="361">
        <v>1</v>
      </c>
      <c r="AG150" s="58"/>
      <c r="AH150" s="60">
        <f>S.Planning.DraftWorkbooksEnd</f>
        <v>41820</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AH151</f>
        <v>41820</v>
      </c>
      <c r="I151" s="745"/>
      <c r="AF151" s="361">
        <v>1</v>
      </c>
      <c r="AG151" s="58"/>
      <c r="AH151" s="60">
        <f>S.Planning.DraftWorkbooksEnd</f>
        <v>41820</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AH152</f>
        <v>41820</v>
      </c>
      <c r="I152" s="745"/>
      <c r="AF152" s="361">
        <v>1</v>
      </c>
      <c r="AG152" s="58"/>
      <c r="AH152" s="60">
        <f>S.Planning.DraftWorkbooksEnd</f>
        <v>41820</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AH153</f>
        <v>41820</v>
      </c>
      <c r="I153" s="745"/>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41820</v>
      </c>
      <c r="I157" s="745"/>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41820</v>
      </c>
      <c r="I159" s="745"/>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41820</v>
      </c>
      <c r="H161" s="190">
        <f>AH161</f>
        <v>41820</v>
      </c>
      <c r="I161" s="745"/>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AH163</f>
        <v>41820</v>
      </c>
      <c r="I163" s="745"/>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206</v>
      </c>
      <c r="D174" s="188" t="s">
        <v>694</v>
      </c>
      <c r="E174" s="879"/>
      <c r="F174"/>
      <c r="G174" s="90" t="s">
        <v>0</v>
      </c>
      <c r="H174" s="190">
        <f>AH174</f>
        <v>41820</v>
      </c>
      <c r="I174" s="745"/>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41820</v>
      </c>
      <c r="I175" s="745"/>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41820</v>
      </c>
      <c r="I181" s="745"/>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41820</v>
      </c>
      <c r="I182" s="745"/>
      <c r="AF182" s="361">
        <f t="shared" si="6"/>
        <v>1</v>
      </c>
      <c r="AG182" s="58"/>
      <c r="AH182" s="60">
        <f>S.Planning.AddConceptToPlanDate</f>
        <v>41820</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41820</v>
      </c>
      <c r="H183" s="190">
        <f>AH183</f>
        <v>41820</v>
      </c>
      <c r="I183" s="745"/>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DavidC and</v>
      </c>
      <c r="C190" s="527"/>
      <c r="D190" s="528" t="s">
        <v>48</v>
      </c>
      <c r="E190" s="880"/>
      <c r="F190"/>
      <c r="G190" s="190">
        <f>AG190</f>
        <v>41820</v>
      </c>
      <c r="H190" s="190">
        <f>AH190</f>
        <v>41820</v>
      </c>
      <c r="I190" s="745"/>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DavidC and</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41820</v>
      </c>
      <c r="H201" s="256">
        <f>AH201</f>
        <v>41820</v>
      </c>
      <c r="I201" s="745"/>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41820</v>
      </c>
      <c r="H203" s="256">
        <f>AH203</f>
        <v>41820</v>
      </c>
      <c r="I203" s="745"/>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41820</v>
      </c>
      <c r="H204" s="256">
        <f>AH204</f>
        <v>41820</v>
      </c>
      <c r="I204" s="745"/>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41820</v>
      </c>
      <c r="H206" s="256">
        <f t="shared" si="7"/>
        <v>41820</v>
      </c>
      <c r="I206" s="745"/>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41820</v>
      </c>
      <c r="H207" s="256">
        <f t="shared" si="7"/>
        <v>41820</v>
      </c>
      <c r="I207" s="745"/>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10" t="s">
        <v>584</v>
      </c>
      <c r="E217" s="1010"/>
      <c r="F217" s="1010"/>
      <c r="G217" s="1010"/>
      <c r="H217" s="101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7" t="s">
        <v>583</v>
      </c>
      <c r="E218" s="998"/>
      <c r="F218" s="998"/>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999">
        <v>1</v>
      </c>
      <c r="E219" s="1000"/>
      <c r="F219" s="1000"/>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hidden="1" customHeight="1" outlineLevel="1" thickBot="1">
      <c r="A220" s="145"/>
      <c r="B220" s="758"/>
      <c r="C220" s="962" t="s">
        <v>206</v>
      </c>
      <c r="D220" s="999">
        <v>2</v>
      </c>
      <c r="E220" s="1000"/>
      <c r="F220" s="1000"/>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999">
        <v>3</v>
      </c>
      <c r="E221" s="1000"/>
      <c r="F221" s="1000"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999">
        <v>4</v>
      </c>
      <c r="E222" s="1000"/>
      <c r="F222" s="1000"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999">
        <v>5</v>
      </c>
      <c r="E223" s="1000"/>
      <c r="F223" s="1000"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999">
        <v>6</v>
      </c>
      <c r="E224" s="1000"/>
      <c r="F224" s="1000"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999">
        <v>7</v>
      </c>
      <c r="E225" s="1000"/>
      <c r="F225" s="1000"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999" t="s">
        <v>0</v>
      </c>
      <c r="E226" s="1000"/>
      <c r="F226" s="1000"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41820</v>
      </c>
      <c r="H229" s="256">
        <f>AH229</f>
        <v>41904</v>
      </c>
      <c r="I229" s="745"/>
      <c r="J229"/>
      <c r="K229"/>
      <c r="L229"/>
      <c r="M229"/>
      <c r="N229"/>
      <c r="O229"/>
      <c r="P229"/>
      <c r="Q229"/>
      <c r="R229"/>
      <c r="S229"/>
      <c r="T229"/>
      <c r="U229"/>
      <c r="X229"/>
      <c r="AB229"/>
      <c r="AC229"/>
      <c r="AF229" s="361">
        <f>IF(S.Hearing.1stInvolve="Y",1,0)</f>
        <v>1</v>
      </c>
      <c r="AG229" s="60">
        <f>IF(AF229=0,,S.Notice.BANNER.Begin)</f>
        <v>41820</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41820</v>
      </c>
      <c r="H233" s="256">
        <f t="shared" ref="H233:H251" si="13">AH233</f>
        <v>41904</v>
      </c>
      <c r="I233" s="745"/>
      <c r="AF233" s="361">
        <f>IF(AND(S.Notice.Involved="Y",S.Notice.AD.Involved="Y"),1,0)</f>
        <v>1</v>
      </c>
      <c r="AG233" s="60">
        <f>IF(AF233=0,,IF(S.Notice.AD.Involved="N",,S.Notice.BANNER.Begin))</f>
        <v>41820</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990" t="s">
        <v>596</v>
      </c>
      <c r="D235" s="990"/>
      <c r="E235" s="990"/>
      <c r="F235" s="990"/>
      <c r="G235" s="990"/>
      <c r="H235" s="990"/>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1" t="s">
        <v>599</v>
      </c>
      <c r="E237" s="992"/>
      <c r="F237" s="992"/>
      <c r="G237" s="993"/>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1" t="s">
        <v>605</v>
      </c>
      <c r="E238" s="992"/>
      <c r="F238" s="992"/>
      <c r="G238" s="993"/>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1" t="s">
        <v>606</v>
      </c>
      <c r="E239" s="992"/>
      <c r="F239" s="992"/>
      <c r="G239" s="993"/>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1" t="s">
        <v>606</v>
      </c>
      <c r="E240" s="992"/>
      <c r="F240" s="992"/>
      <c r="G240" s="993"/>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1" t="s">
        <v>606</v>
      </c>
      <c r="E241" s="992"/>
      <c r="F241" s="992"/>
      <c r="G241" s="993"/>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1" t="s">
        <v>606</v>
      </c>
      <c r="E242" s="992"/>
      <c r="F242" s="992"/>
      <c r="G242" s="993"/>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1" t="s">
        <v>606</v>
      </c>
      <c r="E243" s="992"/>
      <c r="F243" s="992"/>
      <c r="G243" s="993"/>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11" t="s">
        <v>606</v>
      </c>
      <c r="E244" s="1011"/>
      <c r="F244" s="1011"/>
      <c r="G244" s="1012"/>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27" t="s">
        <v>615</v>
      </c>
      <c r="D249" s="1027"/>
      <c r="E249" s="1027"/>
      <c r="F249" s="1027"/>
      <c r="G249" s="1028"/>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41820</v>
      </c>
      <c r="H250" s="256">
        <f t="shared" si="13"/>
        <v>41908</v>
      </c>
      <c r="I250" s="745"/>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41820</v>
      </c>
      <c r="H251" s="256">
        <f t="shared" si="13"/>
        <v>41908</v>
      </c>
      <c r="I251" s="745"/>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994" t="str">
        <f>AK259</f>
        <v/>
      </c>
      <c r="G257" s="995"/>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4"/>
      <c r="G258" s="995"/>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4"/>
      <c r="G259" s="995"/>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4"/>
      <c r="G260" s="995"/>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4"/>
      <c r="G261" s="995"/>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41820</v>
      </c>
      <c r="H264" s="256">
        <f>AH264</f>
        <v>41820</v>
      </c>
      <c r="I264" s="745"/>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41820</v>
      </c>
      <c r="I271" s="745"/>
      <c r="AF271" s="361">
        <f t="shared" si="22"/>
        <v>1</v>
      </c>
      <c r="AG271" s="59"/>
      <c r="AH271" s="60">
        <f>S.Planning.AddConceptToPlanDate</f>
        <v>41820</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41820</v>
      </c>
      <c r="I279" s="745"/>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AH281</f>
        <v>41820</v>
      </c>
      <c r="I281" s="745"/>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AH282</f>
        <v>41820</v>
      </c>
      <c r="I282" s="745"/>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AH284</f>
        <v>41820</v>
      </c>
      <c r="I284" s="745"/>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21" t="str">
        <f>AK12</f>
        <v>Advisory Committee - not involved</v>
      </c>
      <c r="C287" s="1021"/>
      <c r="D287" s="1021"/>
      <c r="E287" s="1021"/>
      <c r="F287" s="1021"/>
      <c r="G287" s="1021"/>
      <c r="H287" s="1021"/>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987" t="s">
        <v>220</v>
      </c>
      <c r="E377" s="987"/>
      <c r="F377" s="987"/>
      <c r="G377" s="98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987" t="s">
        <v>219</v>
      </c>
      <c r="E400" s="987"/>
      <c r="F400" s="987"/>
      <c r="G400" s="98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7" t="s">
        <v>217</v>
      </c>
      <c r="E423" s="987"/>
      <c r="F423" s="987"/>
      <c r="G423" s="98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7" t="s">
        <v>218</v>
      </c>
      <c r="E446" s="987"/>
      <c r="F446" s="987"/>
      <c r="G446" s="98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5" t="str">
        <f>AK14</f>
        <v>Fees - not involved</v>
      </c>
      <c r="C452" s="1015"/>
      <c r="D452" s="1015"/>
      <c r="E452" s="1015"/>
      <c r="F452" s="1015"/>
      <c r="G452" s="1015"/>
      <c r="H452" s="1015"/>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20" t="str">
        <f>AK22</f>
        <v>Public Notice</v>
      </c>
      <c r="C487" s="1020"/>
      <c r="D487" s="1020"/>
      <c r="E487" s="1020"/>
      <c r="F487" s="1020"/>
      <c r="G487" s="1020"/>
      <c r="H487" s="1020"/>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8" t="s">
        <v>0</v>
      </c>
      <c r="C489" s="1008"/>
      <c r="D489" s="1008"/>
      <c r="E489" s="1008"/>
      <c r="F489" s="1008"/>
      <c r="G489" s="175">
        <f>AG489</f>
        <v>41820</v>
      </c>
      <c r="H489" s="126">
        <f>AH489</f>
        <v>41964</v>
      </c>
      <c r="I489" s="745"/>
      <c r="AF489" s="361">
        <f>IF(S.Notice.Involved="Y",1,0)</f>
        <v>1</v>
      </c>
      <c r="AG489" s="60">
        <f>S.Notice.BANNER.Begin</f>
        <v>41820</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41820</v>
      </c>
      <c r="H493" s="939">
        <f t="shared" ref="H493" si="67">AH493</f>
        <v>41873</v>
      </c>
      <c r="I493" s="745"/>
      <c r="AF493" s="361">
        <f t="shared" si="65"/>
        <v>1</v>
      </c>
      <c r="AG493" s="566">
        <f>IF(AF493=0,,S.Notice.BANNER.Begin)</f>
        <v>41820</v>
      </c>
      <c r="AH493" s="566">
        <f>IF(AF493=0,,WORKDAY(S.Notice.Submit.ToSponsoringMgr-1,-1,S.DDL_DEQClosed))</f>
        <v>41873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0</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41820</v>
      </c>
      <c r="H507" s="943">
        <f t="shared" ref="H507:H520" si="69">AH507</f>
        <v>41873</v>
      </c>
      <c r="I507" s="745"/>
      <c r="AF507" s="361">
        <f t="shared" si="65"/>
        <v>1</v>
      </c>
      <c r="AG507" s="566">
        <f>IF(AF507=0,,S.Notice.BANNER.Begin)</f>
        <v>41820</v>
      </c>
      <c r="AH507" s="566">
        <f>IF(AF507=0,,WORKDAY(S.Notice.Submit.ToSponsoringMgr-1,-1,S.DDL_DEQClosed))</f>
        <v>41873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41820</v>
      </c>
      <c r="H509" s="947">
        <f t="shared" si="69"/>
        <v>41873</v>
      </c>
      <c r="I509" s="745"/>
      <c r="J509"/>
      <c r="K509"/>
      <c r="L509"/>
      <c r="M509"/>
      <c r="N509"/>
      <c r="O509"/>
      <c r="P509"/>
      <c r="Q509"/>
      <c r="R509"/>
      <c r="S509"/>
      <c r="T509"/>
      <c r="U509"/>
      <c r="X509"/>
      <c r="AB509"/>
      <c r="AC509"/>
      <c r="AF509" s="361">
        <f t="shared" si="65"/>
        <v>1</v>
      </c>
      <c r="AG509" s="566">
        <f>$G$507</f>
        <v>41820</v>
      </c>
      <c r="AH509" s="566">
        <f>$H$507</f>
        <v>41873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si="68"/>
        <v>41820</v>
      </c>
      <c r="H510" s="947">
        <f t="shared" si="69"/>
        <v>41873</v>
      </c>
      <c r="I510" s="745"/>
      <c r="J510"/>
      <c r="K510"/>
      <c r="L510"/>
      <c r="M510"/>
      <c r="N510"/>
      <c r="O510"/>
      <c r="P510"/>
      <c r="Q510"/>
      <c r="R510"/>
      <c r="S510"/>
      <c r="T510"/>
      <c r="U510"/>
      <c r="X510"/>
      <c r="AB510"/>
      <c r="AC510"/>
      <c r="AF510" s="361">
        <f t="shared" si="65"/>
        <v>1</v>
      </c>
      <c r="AG510" s="566">
        <f t="shared" ref="AG510:AG512" si="70">$G$507</f>
        <v>41820</v>
      </c>
      <c r="AH510" s="566">
        <f t="shared" ref="AH510:AH512" si="71">$H$507</f>
        <v>41873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41820</v>
      </c>
      <c r="H511" s="947">
        <f t="shared" si="69"/>
        <v>41873</v>
      </c>
      <c r="I511" s="745"/>
      <c r="J511"/>
      <c r="K511"/>
      <c r="L511"/>
      <c r="M511"/>
      <c r="N511"/>
      <c r="O511"/>
      <c r="P511"/>
      <c r="Q511"/>
      <c r="R511"/>
      <c r="S511"/>
      <c r="T511"/>
      <c r="U511"/>
      <c r="X511"/>
      <c r="AB511"/>
      <c r="AC511"/>
      <c r="AF511" s="361">
        <f>IF(AND(S.SIP.Involved="Y",S.Notice.Involved="Y"),1,0)</f>
        <v>1</v>
      </c>
      <c r="AG511" s="566">
        <f t="shared" si="70"/>
        <v>41820</v>
      </c>
      <c r="AH511" s="566">
        <f t="shared" si="71"/>
        <v>41873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41820</v>
      </c>
      <c r="H512" s="947">
        <f t="shared" si="69"/>
        <v>41873</v>
      </c>
      <c r="I512" s="745"/>
      <c r="AF512" s="361">
        <f t="shared" ref="AF512:AF538" si="73">IF(S.Notice.Involved="Y",1,0)</f>
        <v>1</v>
      </c>
      <c r="AG512" s="566">
        <f t="shared" si="70"/>
        <v>41820</v>
      </c>
      <c r="AH512" s="566">
        <f t="shared" si="71"/>
        <v>41873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41820</v>
      </c>
      <c r="H515" s="947">
        <f t="shared" si="69"/>
        <v>41873</v>
      </c>
      <c r="I515" s="745"/>
      <c r="AF515" s="361">
        <f t="shared" si="73"/>
        <v>1</v>
      </c>
      <c r="AG515" s="566">
        <f t="shared" ref="AG515:AG530" si="75">$G$507</f>
        <v>41820</v>
      </c>
      <c r="AH515" s="566">
        <f t="shared" ref="AH515:AH530" si="76">$H$507</f>
        <v>41873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41820</v>
      </c>
      <c r="H516" s="947">
        <f t="shared" si="69"/>
        <v>41873</v>
      </c>
      <c r="I516" s="745"/>
      <c r="AF516" s="361">
        <f t="shared" si="73"/>
        <v>1</v>
      </c>
      <c r="AG516" s="566">
        <f t="shared" si="75"/>
        <v>41820</v>
      </c>
      <c r="AH516" s="566">
        <f t="shared" si="76"/>
        <v>41873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41820</v>
      </c>
      <c r="H517" s="947">
        <f t="shared" si="69"/>
        <v>41873</v>
      </c>
      <c r="I517" s="745"/>
      <c r="AF517" s="361">
        <f t="shared" si="73"/>
        <v>1</v>
      </c>
      <c r="AG517" s="566">
        <f t="shared" si="75"/>
        <v>41820</v>
      </c>
      <c r="AH517" s="566">
        <f t="shared" si="76"/>
        <v>41873</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si="68"/>
        <v>41820</v>
      </c>
      <c r="H518" s="947">
        <f t="shared" si="69"/>
        <v>41873</v>
      </c>
      <c r="I518" s="745"/>
      <c r="J518"/>
      <c r="K518"/>
      <c r="L518"/>
      <c r="M518"/>
      <c r="N518"/>
      <c r="O518"/>
      <c r="P518"/>
      <c r="Q518"/>
      <c r="R518"/>
      <c r="S518"/>
      <c r="T518"/>
      <c r="U518"/>
      <c r="X518"/>
      <c r="AB518"/>
      <c r="AC518"/>
      <c r="AF518" s="361">
        <f t="shared" si="73"/>
        <v>1</v>
      </c>
      <c r="AG518" s="566">
        <f t="shared" si="75"/>
        <v>41820</v>
      </c>
      <c r="AH518" s="566">
        <f t="shared" si="76"/>
        <v>41873</v>
      </c>
      <c r="AI518" s="59"/>
      <c r="AJ518" s="59"/>
      <c r="AK518" s="44"/>
      <c r="AL518" s="76"/>
    </row>
    <row r="519" spans="1:38" s="23" customFormat="1" ht="14.1" hidden="1" customHeight="1" outlineLevel="1">
      <c r="A519" s="145"/>
      <c r="B519" s="743" t="s">
        <v>574</v>
      </c>
      <c r="C519" s="545" t="s">
        <v>0</v>
      </c>
      <c r="D519" s="713"/>
      <c r="E519" s="887"/>
      <c r="F519"/>
      <c r="G519" s="946">
        <f t="shared" si="68"/>
        <v>41820</v>
      </c>
      <c r="H519" s="947">
        <f t="shared" si="69"/>
        <v>41873</v>
      </c>
      <c r="I519" s="745"/>
      <c r="J519"/>
      <c r="K519"/>
      <c r="L519"/>
      <c r="M519"/>
      <c r="N519"/>
      <c r="O519"/>
      <c r="P519"/>
      <c r="Q519"/>
      <c r="R519"/>
      <c r="S519"/>
      <c r="T519"/>
      <c r="U519"/>
      <c r="X519"/>
      <c r="AB519"/>
      <c r="AC519"/>
      <c r="AF519" s="361">
        <f t="shared" si="73"/>
        <v>1</v>
      </c>
      <c r="AG519" s="566">
        <f t="shared" si="75"/>
        <v>41820</v>
      </c>
      <c r="AH519" s="566">
        <f t="shared" si="76"/>
        <v>41873</v>
      </c>
      <c r="AI519" s="59"/>
      <c r="AJ519" s="59"/>
      <c r="AK519" s="44"/>
      <c r="AL519" s="76"/>
    </row>
    <row r="520" spans="1:38" s="23" customFormat="1" ht="14.1" hidden="1" customHeight="1" outlineLevel="1">
      <c r="A520" s="145"/>
      <c r="B520" s="743" t="s">
        <v>574</v>
      </c>
      <c r="C520" s="545" t="s">
        <v>0</v>
      </c>
      <c r="D520" s="713"/>
      <c r="E520" s="887"/>
      <c r="F520"/>
      <c r="G520" s="946">
        <f t="shared" si="68"/>
        <v>41820</v>
      </c>
      <c r="H520" s="947">
        <f t="shared" si="69"/>
        <v>41873</v>
      </c>
      <c r="I520" s="745"/>
      <c r="J520"/>
      <c r="K520"/>
      <c r="L520"/>
      <c r="M520"/>
      <c r="N520"/>
      <c r="O520"/>
      <c r="P520"/>
      <c r="Q520"/>
      <c r="R520"/>
      <c r="S520"/>
      <c r="T520"/>
      <c r="U520"/>
      <c r="X520"/>
      <c r="AB520"/>
      <c r="AC520"/>
      <c r="AF520" s="361">
        <f t="shared" si="73"/>
        <v>1</v>
      </c>
      <c r="AG520" s="566">
        <f t="shared" si="75"/>
        <v>41820</v>
      </c>
      <c r="AH520" s="566">
        <f t="shared" si="76"/>
        <v>41873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41820</v>
      </c>
      <c r="H521" s="949">
        <f t="shared" ref="H521" si="79">AH521</f>
        <v>41873</v>
      </c>
      <c r="I521" s="745"/>
      <c r="AF521" s="361">
        <f t="shared" ref="AF521:AF572" si="80">IF(S.Notice.Involved="Y",1,0)</f>
        <v>1</v>
      </c>
      <c r="AG521" s="566">
        <f t="shared" si="75"/>
        <v>41820</v>
      </c>
      <c r="AH521" s="566">
        <f t="shared" si="76"/>
        <v>41873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41820</v>
      </c>
      <c r="H530" s="949">
        <f t="shared" ref="H530" si="83">AH530</f>
        <v>41873</v>
      </c>
      <c r="I530" s="745"/>
      <c r="AF530" s="361">
        <f t="shared" si="80"/>
        <v>1</v>
      </c>
      <c r="AG530" s="566">
        <f t="shared" si="75"/>
        <v>41820</v>
      </c>
      <c r="AH530" s="566">
        <f t="shared" si="76"/>
        <v>41873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9" t="s">
        <v>627</v>
      </c>
      <c r="D539" s="1029"/>
      <c r="E539" s="1029"/>
      <c r="F539" s="1029"/>
      <c r="G539" s="1030"/>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9" t="s">
        <v>626</v>
      </c>
      <c r="D540" s="1031"/>
      <c r="E540" s="1031"/>
      <c r="F540" s="1031"/>
      <c r="G540" s="1032"/>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9" t="s">
        <v>625</v>
      </c>
      <c r="D541" s="1029"/>
      <c r="E541" s="1029"/>
      <c r="F541" s="1029"/>
      <c r="G541" s="1030"/>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9" t="s">
        <v>625</v>
      </c>
      <c r="D543" s="1029"/>
      <c r="E543" s="1029"/>
      <c r="F543" s="1029"/>
      <c r="G543" s="1030"/>
      <c r="H543" s="263">
        <f>AH543</f>
        <v>41877</v>
      </c>
      <c r="I543" s="745"/>
      <c r="AF543" s="361">
        <f t="shared" si="87"/>
        <v>1</v>
      </c>
      <c r="AG543" s="58"/>
      <c r="AH543" s="60">
        <f>IF(AF543=0,,S.Notice.Submit.ToSponsoringMgr)</f>
        <v>41877</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22" t="s">
        <v>686</v>
      </c>
      <c r="H562" s="1023"/>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41877</v>
      </c>
      <c r="H563" s="933">
        <f>AH563</f>
        <v>0</v>
      </c>
      <c r="I563" s="745"/>
      <c r="AE563" s="859"/>
      <c r="AF563" s="361">
        <f t="shared" si="80"/>
        <v>1</v>
      </c>
      <c r="AG563" s="60">
        <f>S.Notice.Submit.ToSponsoringMgr</f>
        <v>41877</v>
      </c>
      <c r="AH563" s="60">
        <f>H23</f>
        <v>0</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2</v>
      </c>
      <c r="H569" s="953" t="e">
        <f>AH569</f>
        <v>#NUM!</v>
      </c>
      <c r="I569" s="745"/>
      <c r="AF569" s="361">
        <f t="shared" si="80"/>
        <v>1</v>
      </c>
      <c r="AG569" s="60">
        <f>WORKDAY(H563,1,S.DDL_DEQClosed)</f>
        <v>2</v>
      </c>
      <c r="AH569" s="60" t="e">
        <f>IF(AF569=0,,WORKDAY(S.Notice.Submit.ToRG,-1,S.DDL_DEQClosed))</f>
        <v>#NUM!</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8" t="s">
        <v>611</v>
      </c>
      <c r="H572" s="1019"/>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0</v>
      </c>
      <c r="H573" s="933">
        <f>AH573</f>
        <v>41892</v>
      </c>
      <c r="I573" s="745"/>
      <c r="AF573" s="361">
        <f t="shared" ref="AF573:AF580" si="94">IF(S.Notice.Involved="Y",1,0)</f>
        <v>1</v>
      </c>
      <c r="AG573" s="566">
        <f>S.Notice.Submit.ToRG</f>
        <v>0</v>
      </c>
      <c r="AH573" s="566">
        <f>H24</f>
        <v>41892</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t="e">
        <f>AG584</f>
        <v>#NUM!</v>
      </c>
      <c r="H584" s="256" t="e">
        <f t="shared" si="97"/>
        <v>#NUM!</v>
      </c>
      <c r="I584" s="745"/>
      <c r="AF584" s="361">
        <f t="shared" ref="AF584:AF592" si="100">IF(S.Notice.Involved="Y",1,0)</f>
        <v>1</v>
      </c>
      <c r="AG584" s="60" t="e">
        <f>WORKDAY(MAX(H562:H583),1,S.DDL_DEQClosed)</f>
        <v>#NUM!</v>
      </c>
      <c r="AH584" s="60" t="e">
        <f>IF(AF584=0,,WORKDAY(G584,1,S.DDL_DEQClosed))</f>
        <v>#NUM!</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t="e">
        <f>AH586</f>
        <v>#NUM!</v>
      </c>
      <c r="I586" s="745"/>
      <c r="AF586" s="361">
        <f t="shared" si="100"/>
        <v>1</v>
      </c>
      <c r="AG586" s="59"/>
      <c r="AH586" s="60" t="e">
        <f>IF(AF586=0,,H584)</f>
        <v>#NUM!</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33" t="s">
        <v>634</v>
      </c>
      <c r="H591" s="1034"/>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35" t="s">
        <v>635</v>
      </c>
      <c r="H594" s="1036"/>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5" t="s">
        <v>0</v>
      </c>
      <c r="D605" s="1045"/>
      <c r="E605" s="1045"/>
      <c r="F605" s="1045"/>
      <c r="G605" s="1045"/>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7"/>
      <c r="E609" s="1037"/>
      <c r="F609" s="1037"/>
      <c r="G609" s="1037"/>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43" t="s">
        <v>689</v>
      </c>
      <c r="D610" s="1043"/>
      <c r="E610" s="1043"/>
      <c r="F610" s="1043"/>
      <c r="G610" s="1044"/>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25" t="s">
        <v>652</v>
      </c>
      <c r="E626" s="1025"/>
      <c r="F626" s="1025"/>
      <c r="G626" s="1026"/>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24" t="s">
        <v>0</v>
      </c>
      <c r="E630" s="1025"/>
      <c r="F630" s="1025"/>
      <c r="G630" s="1026"/>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41820</v>
      </c>
      <c r="H646" s="256">
        <f>AH646</f>
        <v>41964</v>
      </c>
      <c r="I646" s="745"/>
      <c r="J646"/>
      <c r="K646"/>
      <c r="L646"/>
      <c r="M646"/>
      <c r="N646"/>
      <c r="O646"/>
      <c r="P646"/>
      <c r="Q646"/>
      <c r="R646"/>
      <c r="S646"/>
      <c r="T646"/>
      <c r="U646"/>
      <c r="X646"/>
      <c r="AB646"/>
      <c r="AC646"/>
      <c r="AF646" s="361">
        <f t="shared" si="113"/>
        <v>1</v>
      </c>
      <c r="AG646" s="60">
        <f>IF(AF646=0,,S.Notice.BANNER.Begin)</f>
        <v>41820</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7" t="str">
        <f>AK29</f>
        <v>Public Comment and Testimony</v>
      </c>
      <c r="C649" s="1017"/>
      <c r="D649" s="1017"/>
      <c r="E649" s="1017"/>
      <c r="F649" s="1017"/>
      <c r="G649" s="1017"/>
      <c r="H649" s="1017"/>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41820</v>
      </c>
      <c r="H651" s="201">
        <f>AH651</f>
        <v>41975</v>
      </c>
      <c r="I651" s="745"/>
      <c r="AF651" s="361" t="s">
        <v>59</v>
      </c>
      <c r="AG651" s="60">
        <f>IF(S.Notice.Involved="N",,S.Notice.BANNER.Begin)</f>
        <v>41820</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1039" t="s">
        <v>712</v>
      </c>
      <c r="E691" s="1039"/>
      <c r="F691" s="1039"/>
      <c r="G691" s="1040"/>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41" t="s">
        <v>611</v>
      </c>
      <c r="H754" s="1042"/>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0</v>
      </c>
      <c r="H755" s="981">
        <f>AH755</f>
        <v>10</v>
      </c>
      <c r="I755" s="745"/>
      <c r="AF755" s="361">
        <v>1</v>
      </c>
      <c r="AG755" s="566">
        <f>S.Notice.Submit.ToRG</f>
        <v>0</v>
      </c>
      <c r="AH755" s="566">
        <f>WORKDAY(G755,7,S.DDL_DEQClosed)</f>
        <v>10</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11</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1038" t="s">
        <v>349</v>
      </c>
      <c r="D780" s="1038"/>
      <c r="E780" s="1038"/>
      <c r="F780" s="1038"/>
      <c r="G780" s="1038"/>
      <c r="H780" s="1038"/>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1038" t="s">
        <v>296</v>
      </c>
      <c r="D781" s="1038"/>
      <c r="E781" s="1038"/>
      <c r="F781" s="1038"/>
      <c r="G781" s="1038"/>
      <c r="H781" s="1038"/>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1038" t="s">
        <v>297</v>
      </c>
      <c r="D782" s="1038"/>
      <c r="E782" s="1038"/>
      <c r="F782" s="1038"/>
      <c r="G782" s="1038"/>
      <c r="H782" s="1038"/>
      <c r="I782" s="1038"/>
      <c r="J782" s="1038"/>
      <c r="K782" s="1038"/>
      <c r="L782" s="1038"/>
      <c r="M782" s="1038"/>
      <c r="N782" s="1038"/>
      <c r="O782" s="1038"/>
      <c r="P782" s="1038"/>
      <c r="Q782" s="1038"/>
      <c r="R782" s="1038"/>
      <c r="S782" s="1038"/>
      <c r="T782" s="1038"/>
      <c r="U782" s="1038"/>
      <c r="V782" s="1038"/>
      <c r="W782" s="1038"/>
      <c r="X782" s="1038"/>
      <c r="Y782" s="1038"/>
      <c r="Z782" s="1038"/>
      <c r="AA782" s="1038"/>
      <c r="AB782" s="1038"/>
      <c r="AC782" s="1038"/>
      <c r="AD782" s="1038"/>
      <c r="AF782" s="361">
        <f t="shared" si="167"/>
        <v>0</v>
      </c>
      <c r="AG782" s="80"/>
      <c r="AH782" s="80"/>
      <c r="AI782" s="59"/>
      <c r="AJ782" s="44"/>
      <c r="AK782" s="44"/>
      <c r="AL782" s="76"/>
    </row>
    <row r="783" spans="1:39" s="23" customFormat="1" ht="14.1" hidden="1" customHeight="1" outlineLevel="2">
      <c r="A783" s="145"/>
      <c r="B783" s="896" t="s">
        <v>721</v>
      </c>
      <c r="C783" s="1038" t="s">
        <v>298</v>
      </c>
      <c r="D783" s="1038"/>
      <c r="E783" s="1038"/>
      <c r="F783" s="1038"/>
      <c r="G783" s="1038"/>
      <c r="H783" s="1038"/>
      <c r="I783" s="1038"/>
      <c r="J783" s="1038"/>
      <c r="K783" s="1038"/>
      <c r="L783" s="1038"/>
      <c r="M783" s="1038"/>
      <c r="N783" s="1038"/>
      <c r="O783" s="1038"/>
      <c r="P783" s="1038"/>
      <c r="Q783" s="1038"/>
      <c r="R783" s="1038"/>
      <c r="S783" s="1038"/>
      <c r="T783" s="1038"/>
      <c r="U783" s="1038"/>
      <c r="V783" s="1038"/>
      <c r="W783" s="1038"/>
      <c r="X783" s="1038"/>
      <c r="Y783" s="1038"/>
      <c r="Z783" s="1038"/>
      <c r="AA783" s="1038"/>
      <c r="AB783" s="1038"/>
      <c r="AC783" s="1038"/>
      <c r="AD783" s="1038"/>
      <c r="AF783" s="361">
        <f t="shared" si="167"/>
        <v>0</v>
      </c>
      <c r="AG783" s="80"/>
      <c r="AH783" s="80"/>
      <c r="AI783" s="59"/>
      <c r="AJ783" s="44"/>
      <c r="AK783" s="44"/>
      <c r="AL783" s="76"/>
    </row>
    <row r="784" spans="1:39" s="23" customFormat="1" ht="14.1" hidden="1" customHeight="1" outlineLevel="2">
      <c r="A784" s="145"/>
      <c r="B784" s="896" t="s">
        <v>721</v>
      </c>
      <c r="C784" s="1038" t="s">
        <v>299</v>
      </c>
      <c r="D784" s="1038"/>
      <c r="E784" s="1038"/>
      <c r="F784" s="1038"/>
      <c r="G784" s="1038"/>
      <c r="H784" s="1038"/>
      <c r="I784" s="1038"/>
      <c r="J784" s="1038"/>
      <c r="K784" s="1038"/>
      <c r="L784" s="1038"/>
      <c r="M784" s="1038"/>
      <c r="N784" s="1038"/>
      <c r="O784" s="1038"/>
      <c r="P784" s="1038"/>
      <c r="Q784" s="1038"/>
      <c r="R784" s="1038"/>
      <c r="S784" s="1038"/>
      <c r="T784" s="1038"/>
      <c r="U784" s="1038"/>
      <c r="V784" s="1038"/>
      <c r="W784" s="1038"/>
      <c r="X784" s="1038"/>
      <c r="Y784" s="1038"/>
      <c r="Z784" s="1038"/>
      <c r="AA784" s="1038"/>
      <c r="AB784" s="1038"/>
      <c r="AC784" s="1038"/>
      <c r="AD784" s="1038"/>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6" t="s">
        <v>200</v>
      </c>
      <c r="C801" s="1016"/>
      <c r="D801" s="1016"/>
      <c r="E801" s="1016"/>
      <c r="F801" s="1016"/>
      <c r="G801" s="1016"/>
      <c r="H801" s="1016"/>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 H29:H30 G34:H34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6" t="s">
        <v>40</v>
      </c>
      <c r="C2" s="1046"/>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6" t="s">
        <v>41</v>
      </c>
      <c r="C9" s="1046"/>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6" t="s">
        <v>52</v>
      </c>
      <c r="C14" s="1046"/>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7" t="s">
        <v>140</v>
      </c>
      <c r="C2" s="1047"/>
      <c r="D2" s="1047"/>
      <c r="E2" s="1047"/>
      <c r="F2" s="1047"/>
      <c r="G2" s="1047"/>
      <c r="H2" s="1047"/>
      <c r="I2" s="1047"/>
      <c r="J2" s="1047"/>
      <c r="K2" s="1047"/>
      <c r="L2" s="1047"/>
      <c r="M2" s="1047"/>
      <c r="N2" s="1047"/>
      <c r="O2" s="1047"/>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8" t="s">
        <v>141</v>
      </c>
      <c r="D4" s="1048"/>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3" t="str">
        <f>S.General.RulemakingTitle</f>
        <v>Grants Pass Limited Maintenance Plans for CO and PM10</v>
      </c>
      <c r="B1" s="1053"/>
      <c r="C1" s="1053"/>
      <c r="D1" s="636"/>
      <c r="E1" s="75"/>
      <c r="F1" s="1050" t="str">
        <f>S.General.CodeName</f>
        <v>GPLMP</v>
      </c>
      <c r="G1" s="1050"/>
      <c r="H1" s="1050"/>
      <c r="I1" s="1050"/>
      <c r="J1" s="1050"/>
      <c r="K1" s="75"/>
      <c r="L1" s="75"/>
      <c r="M1" s="75"/>
      <c r="N1" s="1056" t="s">
        <v>0</v>
      </c>
      <c r="O1" s="1056"/>
      <c r="P1" s="1056"/>
      <c r="Q1" s="1056"/>
      <c r="R1" s="105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4" t="s">
        <v>357</v>
      </c>
      <c r="B2" s="1054"/>
      <c r="C2" s="1054"/>
      <c r="D2" s="637"/>
      <c r="E2" s="595"/>
      <c r="F2" s="1049">
        <f ca="1">A3</f>
        <v>41865</v>
      </c>
      <c r="G2" s="1049"/>
      <c r="H2" s="1049"/>
      <c r="I2" s="1049"/>
      <c r="J2" s="1049"/>
      <c r="K2" s="1049"/>
      <c r="L2" s="1049"/>
      <c r="M2" s="1049">
        <f ca="1">M4</f>
        <v>41869</v>
      </c>
      <c r="N2" s="1049"/>
      <c r="O2" s="1049"/>
      <c r="P2" s="1049"/>
      <c r="Q2" s="1049"/>
      <c r="R2" s="1049"/>
      <c r="S2" s="1049"/>
      <c r="T2" s="1049">
        <f ca="1">T4</f>
        <v>41876</v>
      </c>
      <c r="U2" s="1049"/>
      <c r="V2" s="1049"/>
      <c r="W2" s="1049"/>
      <c r="X2" s="1049"/>
      <c r="Y2" s="1049"/>
      <c r="Z2" s="1049"/>
      <c r="AA2" s="1049">
        <f ca="1">AA4</f>
        <v>41883</v>
      </c>
      <c r="AB2" s="1049"/>
      <c r="AC2" s="1049"/>
      <c r="AD2" s="1049"/>
      <c r="AE2" s="1049"/>
      <c r="AF2" s="1049"/>
      <c r="AG2" s="1049"/>
      <c r="AH2" s="1049">
        <f ca="1">AH4</f>
        <v>41890</v>
      </c>
      <c r="AI2" s="1049"/>
      <c r="AJ2" s="1049"/>
      <c r="AK2" s="1049"/>
      <c r="AL2" s="1049"/>
      <c r="AM2" s="1049"/>
      <c r="AN2" s="1049"/>
      <c r="AO2" s="1049">
        <f ca="1">AO4</f>
        <v>41897</v>
      </c>
      <c r="AP2" s="1049"/>
      <c r="AQ2" s="1049"/>
      <c r="AR2" s="1049"/>
      <c r="AS2" s="1049"/>
      <c r="AT2" s="1049"/>
      <c r="AU2" s="1049"/>
      <c r="AV2" s="1049">
        <f ca="1">AV4</f>
        <v>41904</v>
      </c>
      <c r="AW2" s="1049"/>
      <c r="AX2" s="1049"/>
      <c r="AY2" s="1049"/>
      <c r="AZ2" s="1049"/>
      <c r="BA2" s="1049"/>
      <c r="BB2" s="1049"/>
      <c r="BC2" s="1049">
        <f ca="1">BC4</f>
        <v>41911</v>
      </c>
      <c r="BD2" s="1049"/>
      <c r="BE2" s="1049"/>
      <c r="BF2" s="1049"/>
      <c r="BG2" s="1049"/>
      <c r="BH2" s="1049"/>
      <c r="BI2" s="1049"/>
    </row>
    <row r="3" spans="1:61" ht="18.75" thickBot="1">
      <c r="A3" s="1055">
        <f ca="1">TODAY()+E4</f>
        <v>41865</v>
      </c>
      <c r="B3" s="1055"/>
      <c r="C3" s="1055"/>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1" t="s">
        <v>356</v>
      </c>
      <c r="B4" s="1051"/>
      <c r="C4" s="1052"/>
      <c r="D4" s="635"/>
      <c r="E4" s="589">
        <v>0</v>
      </c>
      <c r="F4" s="590" t="str">
        <f ca="1">IF(WEEKDAY($A$3,3)&lt;&gt;0,"-",$A$3)</f>
        <v>-</v>
      </c>
      <c r="G4" s="590" t="str">
        <f ca="1">IF(WEEKDAY($A$3,3)=1,$A$3,IF(WEEKDAY($A$3,3)&lt;1,F4+1,"-"))</f>
        <v>-</v>
      </c>
      <c r="H4" s="590" t="str">
        <f ca="1">IF(WEEKDAY($A$3,3)=2,$A$3,IF(WEEKDAY($A$3,3)&lt;2,G4+1,"-"))</f>
        <v>-</v>
      </c>
      <c r="I4" s="590">
        <f ca="1">IF(WEEKDAY($A$3,3)=3,$A$3,IF(WEEKDAY($A$3,3)&lt;3,H4+1,"-"))</f>
        <v>41865</v>
      </c>
      <c r="J4" s="590">
        <f ca="1">IF(WEEKDAY($A$3,3)=4,$A$3,IF(WEEKDAY($A$3,3)&lt;4,I4+1,"-"))</f>
        <v>41866</v>
      </c>
      <c r="K4" s="591">
        <f ca="1">IF(WEEKDAY($A$3,3)=5,$A$3,IF(WEEKDAY($A$3,3)&lt;5,J4+1,"-"))</f>
        <v>41867</v>
      </c>
      <c r="L4" s="591">
        <f ca="1">IF(WEEKDAY($A$3,3)=6,$A$3,IF(WEEKDAY($A$3,3)&lt;6,K4+1,"-"))</f>
        <v>41868</v>
      </c>
      <c r="M4" s="592">
        <f ca="1">L4+1</f>
        <v>41869</v>
      </c>
      <c r="N4" s="592">
        <f t="shared" ref="N4:AG4" ca="1" si="0">M4+1</f>
        <v>41870</v>
      </c>
      <c r="O4" s="592">
        <f t="shared" ca="1" si="0"/>
        <v>41871</v>
      </c>
      <c r="P4" s="592">
        <f t="shared" ca="1" si="0"/>
        <v>41872</v>
      </c>
      <c r="Q4" s="592">
        <f t="shared" ca="1" si="0"/>
        <v>41873</v>
      </c>
      <c r="R4" s="593">
        <f t="shared" ca="1" si="0"/>
        <v>41874</v>
      </c>
      <c r="S4" s="593">
        <f t="shared" ca="1" si="0"/>
        <v>41875</v>
      </c>
      <c r="T4" s="592">
        <f t="shared" ca="1" si="0"/>
        <v>41876</v>
      </c>
      <c r="U4" s="592">
        <f t="shared" ca="1" si="0"/>
        <v>41877</v>
      </c>
      <c r="V4" s="592">
        <f t="shared" ca="1" si="0"/>
        <v>41878</v>
      </c>
      <c r="W4" s="592">
        <f t="shared" ca="1" si="0"/>
        <v>41879</v>
      </c>
      <c r="X4" s="592">
        <f t="shared" ca="1" si="0"/>
        <v>41880</v>
      </c>
      <c r="Y4" s="593">
        <f t="shared" ca="1" si="0"/>
        <v>41881</v>
      </c>
      <c r="Z4" s="593">
        <f t="shared" ca="1" si="0"/>
        <v>41882</v>
      </c>
      <c r="AA4" s="592">
        <f t="shared" ca="1" si="0"/>
        <v>41883</v>
      </c>
      <c r="AB4" s="592">
        <f t="shared" ca="1" si="0"/>
        <v>41884</v>
      </c>
      <c r="AC4" s="592">
        <f t="shared" ca="1" si="0"/>
        <v>41885</v>
      </c>
      <c r="AD4" s="592">
        <f t="shared" ca="1" si="0"/>
        <v>41886</v>
      </c>
      <c r="AE4" s="592">
        <f t="shared" ca="1" si="0"/>
        <v>41887</v>
      </c>
      <c r="AF4" s="593">
        <f t="shared" ca="1" si="0"/>
        <v>41888</v>
      </c>
      <c r="AG4" s="593">
        <f t="shared" ca="1" si="0"/>
        <v>41889</v>
      </c>
      <c r="AH4" s="592">
        <f t="shared" ref="AH4:BI4" ca="1" si="1">AG4+1</f>
        <v>41890</v>
      </c>
      <c r="AI4" s="592">
        <f t="shared" ca="1" si="1"/>
        <v>41891</v>
      </c>
      <c r="AJ4" s="592">
        <f t="shared" ca="1" si="1"/>
        <v>41892</v>
      </c>
      <c r="AK4" s="592">
        <f t="shared" ca="1" si="1"/>
        <v>41893</v>
      </c>
      <c r="AL4" s="592">
        <f t="shared" ca="1" si="1"/>
        <v>41894</v>
      </c>
      <c r="AM4" s="593">
        <f t="shared" ca="1" si="1"/>
        <v>41895</v>
      </c>
      <c r="AN4" s="593">
        <f t="shared" ca="1" si="1"/>
        <v>41896</v>
      </c>
      <c r="AO4" s="592">
        <f t="shared" ca="1" si="1"/>
        <v>41897</v>
      </c>
      <c r="AP4" s="592">
        <f t="shared" ca="1" si="1"/>
        <v>41898</v>
      </c>
      <c r="AQ4" s="592">
        <f t="shared" ca="1" si="1"/>
        <v>41899</v>
      </c>
      <c r="AR4" s="592">
        <f t="shared" ca="1" si="1"/>
        <v>41900</v>
      </c>
      <c r="AS4" s="592">
        <f t="shared" ca="1" si="1"/>
        <v>41901</v>
      </c>
      <c r="AT4" s="593">
        <f t="shared" ca="1" si="1"/>
        <v>41902</v>
      </c>
      <c r="AU4" s="593">
        <f t="shared" ca="1" si="1"/>
        <v>41903</v>
      </c>
      <c r="AV4" s="592">
        <f t="shared" ca="1" si="1"/>
        <v>41904</v>
      </c>
      <c r="AW4" s="592">
        <f t="shared" ca="1" si="1"/>
        <v>41905</v>
      </c>
      <c r="AX4" s="592">
        <f t="shared" ca="1" si="1"/>
        <v>41906</v>
      </c>
      <c r="AY4" s="592">
        <f t="shared" ca="1" si="1"/>
        <v>41907</v>
      </c>
      <c r="AZ4" s="592">
        <f t="shared" ca="1" si="1"/>
        <v>41908</v>
      </c>
      <c r="BA4" s="593">
        <f t="shared" ca="1" si="1"/>
        <v>41909</v>
      </c>
      <c r="BB4" s="593">
        <f t="shared" ca="1" si="1"/>
        <v>41910</v>
      </c>
      <c r="BC4" s="592">
        <f t="shared" ca="1" si="1"/>
        <v>41911</v>
      </c>
      <c r="BD4" s="592">
        <f t="shared" ca="1" si="1"/>
        <v>41912</v>
      </c>
      <c r="BE4" s="592">
        <f t="shared" ca="1" si="1"/>
        <v>41913</v>
      </c>
      <c r="BF4" s="592">
        <f t="shared" ca="1" si="1"/>
        <v>41914</v>
      </c>
      <c r="BG4" s="592">
        <f t="shared" ca="1" si="1"/>
        <v>41915</v>
      </c>
      <c r="BH4" s="593">
        <f t="shared" ca="1" si="1"/>
        <v>41916</v>
      </c>
      <c r="BI4" s="593">
        <f t="shared" ca="1" si="1"/>
        <v>41917</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41820</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41820</v>
      </c>
      <c r="C8" s="607">
        <f>B8</f>
        <v>41820</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41820</v>
      </c>
      <c r="C9" s="607">
        <f>B9</f>
        <v>41820</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41820</v>
      </c>
      <c r="C11" s="607">
        <f>S.Planning.DraftWorkbooksEnd</f>
        <v>41820</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41820</v>
      </c>
      <c r="C12" s="607">
        <f>B12</f>
        <v>41820</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41820</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41820</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1</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1</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1</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1</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9" t="s">
        <v>485</v>
      </c>
      <c r="C4" s="1059"/>
      <c r="D4" s="1059"/>
      <c r="E4" s="1059"/>
      <c r="F4" s="1059"/>
      <c r="G4" s="1059"/>
      <c r="H4" s="1059"/>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7" t="s">
        <v>343</v>
      </c>
      <c r="C31" s="1058"/>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7" t="s">
        <v>345</v>
      </c>
      <c r="C36" s="1058"/>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3" t="str">
        <f>S.General.RulemakingTitle</f>
        <v>Grants Pass Limited Maintenance Plans for CO and PM10</v>
      </c>
      <c r="C2" s="1063"/>
      <c r="D2" s="1063"/>
      <c r="E2" s="1063"/>
      <c r="F2" s="75"/>
      <c r="G2" s="526">
        <f ca="1">TODAY()</f>
        <v>41865</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60" t="s">
        <v>128</v>
      </c>
      <c r="F4" s="75"/>
      <c r="G4" s="453" t="s">
        <v>233</v>
      </c>
      <c r="H4" s="75"/>
      <c r="I4" s="75"/>
      <c r="J4" s="75"/>
      <c r="K4" s="75"/>
      <c r="L4" s="75"/>
      <c r="M4" s="75"/>
      <c r="N4" s="75"/>
      <c r="O4" s="75"/>
    </row>
    <row r="5" spans="1:15" s="23" customFormat="1" ht="18.75" thickBot="1">
      <c r="A5" s="75"/>
      <c r="B5" s="792" t="s">
        <v>644</v>
      </c>
      <c r="C5" s="792" t="s">
        <v>567</v>
      </c>
      <c r="D5" s="792" t="s">
        <v>568</v>
      </c>
      <c r="E5" s="1061"/>
      <c r="F5" s="75"/>
      <c r="G5" s="778"/>
      <c r="H5" s="75"/>
      <c r="I5" s="75"/>
      <c r="J5" s="75"/>
      <c r="K5" s="75"/>
      <c r="L5" s="75"/>
      <c r="M5" s="75"/>
      <c r="N5" s="75"/>
      <c r="O5" s="75"/>
    </row>
    <row r="6" spans="1:15" ht="15" thickTop="1">
      <c r="A6" s="75"/>
      <c r="B6" s="451" t="str">
        <f>S.Hearing.1stCity</f>
        <v>Grants Pass</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2" t="s">
        <v>231</v>
      </c>
      <c r="C17" s="1062"/>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NOTICE.AD2Other</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5" t="s">
        <v>350</v>
      </c>
      <c r="H4" s="1065"/>
      <c r="I4" s="1065"/>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5"/>
      <c r="H5" s="1065"/>
      <c r="I5" s="1065"/>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5"/>
      <c r="H6" s="1065"/>
      <c r="I6" s="1065"/>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5"/>
      <c r="H7" s="1065"/>
      <c r="I7" s="1065"/>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4" t="s">
        <v>34</v>
      </c>
      <c r="K27" s="1064"/>
      <c r="L27" s="1064"/>
      <c r="M27" s="1064"/>
      <c r="N27" s="1064"/>
      <c r="O27" s="1064"/>
      <c r="P27" s="1064"/>
      <c r="Q27" s="53"/>
      <c r="R27" s="2"/>
      <c r="S27" s="2"/>
      <c r="T27" s="2"/>
    </row>
    <row r="28" spans="1:20">
      <c r="A28" s="22">
        <v>41275</v>
      </c>
      <c r="B28" s="20" t="s">
        <v>5</v>
      </c>
      <c r="C28" s="30">
        <f>A28</f>
        <v>41275</v>
      </c>
      <c r="D28" s="30"/>
      <c r="E28" s="55"/>
      <c r="F28" s="55"/>
      <c r="G28" s="55"/>
      <c r="H28" s="55"/>
      <c r="I28" s="2"/>
      <c r="J28" s="1064"/>
      <c r="K28" s="1064"/>
      <c r="L28" s="1064"/>
      <c r="M28" s="1064"/>
      <c r="N28" s="1064"/>
      <c r="O28" s="1064"/>
      <c r="P28" s="1064"/>
      <c r="Q28" s="53"/>
      <c r="R28" s="2"/>
      <c r="S28" s="2"/>
      <c r="T28" s="2"/>
    </row>
    <row r="29" spans="1:20">
      <c r="A29" s="22">
        <v>41292</v>
      </c>
      <c r="B29" s="20" t="s">
        <v>3</v>
      </c>
      <c r="C29" s="30">
        <f t="shared" ref="C29:C76" si="8">A29</f>
        <v>41292</v>
      </c>
      <c r="D29" s="30"/>
      <c r="E29" s="55"/>
      <c r="F29" s="55"/>
      <c r="G29" s="55"/>
      <c r="H29" s="55"/>
      <c r="I29" s="2"/>
      <c r="J29" s="1064"/>
      <c r="K29" s="1064"/>
      <c r="L29" s="1064"/>
      <c r="M29" s="1064"/>
      <c r="N29" s="1064"/>
      <c r="O29" s="1064"/>
      <c r="P29" s="1064"/>
      <c r="Q29" s="53"/>
      <c r="R29" s="2"/>
      <c r="S29" s="2"/>
      <c r="T29" s="2"/>
    </row>
    <row r="30" spans="1:20">
      <c r="A30" s="22">
        <v>41295</v>
      </c>
      <c r="B30" s="20" t="s">
        <v>6</v>
      </c>
      <c r="C30" s="30">
        <f t="shared" si="8"/>
        <v>41295</v>
      </c>
      <c r="D30" s="30"/>
      <c r="E30" s="55"/>
      <c r="F30" s="55"/>
      <c r="G30" s="55"/>
      <c r="H30" s="55"/>
      <c r="I30" s="2"/>
      <c r="J30" s="1064"/>
      <c r="K30" s="1064"/>
      <c r="L30" s="1064"/>
      <c r="M30" s="1064"/>
      <c r="N30" s="1064"/>
      <c r="O30" s="1064"/>
      <c r="P30" s="1064"/>
      <c r="Q30" s="53"/>
      <c r="R30" s="2"/>
      <c r="S30" s="2"/>
      <c r="T30" s="2"/>
    </row>
    <row r="31" spans="1:20">
      <c r="A31" s="22">
        <v>41323</v>
      </c>
      <c r="B31" s="20" t="s">
        <v>7</v>
      </c>
      <c r="C31" s="30">
        <f t="shared" si="8"/>
        <v>41323</v>
      </c>
      <c r="D31" s="30"/>
      <c r="E31" s="55"/>
      <c r="F31" s="55"/>
      <c r="G31" s="55"/>
      <c r="H31" s="55"/>
      <c r="I31" s="2"/>
      <c r="J31" s="1064"/>
      <c r="K31" s="1064"/>
      <c r="L31" s="1064"/>
      <c r="M31" s="1064"/>
      <c r="N31" s="1064"/>
      <c r="O31" s="1064"/>
      <c r="P31" s="1064"/>
      <c r="Q31" s="53"/>
      <c r="R31" s="2"/>
      <c r="S31" s="2"/>
      <c r="T31" s="2"/>
    </row>
    <row r="32" spans="1:20">
      <c r="A32" s="22">
        <v>41383</v>
      </c>
      <c r="B32" s="20" t="s">
        <v>3</v>
      </c>
      <c r="C32" s="30">
        <f t="shared" si="8"/>
        <v>41383</v>
      </c>
      <c r="D32" s="30"/>
      <c r="E32" s="55"/>
      <c r="F32" s="55"/>
      <c r="G32" s="55"/>
      <c r="H32" s="55"/>
      <c r="I32" s="2"/>
      <c r="J32" s="1064"/>
      <c r="K32" s="1064"/>
      <c r="L32" s="1064"/>
      <c r="M32" s="1064"/>
      <c r="N32" s="1064"/>
      <c r="O32" s="1064"/>
      <c r="P32" s="1064"/>
      <c r="Q32" s="53"/>
      <c r="R32" s="2"/>
      <c r="S32" s="2"/>
      <c r="T32" s="2"/>
    </row>
    <row r="33" spans="1:20">
      <c r="A33" s="22">
        <v>41418</v>
      </c>
      <c r="B33" s="20" t="s">
        <v>3</v>
      </c>
      <c r="C33" s="30">
        <f t="shared" si="8"/>
        <v>41418</v>
      </c>
      <c r="D33" s="30"/>
      <c r="E33" s="55"/>
      <c r="F33" s="55"/>
      <c r="G33" s="55"/>
      <c r="H33" s="55"/>
      <c r="I33" s="2"/>
      <c r="J33" s="1064"/>
      <c r="K33" s="1064"/>
      <c r="L33" s="1064"/>
      <c r="M33" s="1064"/>
      <c r="N33" s="1064"/>
      <c r="O33" s="1064"/>
      <c r="P33" s="1064"/>
      <c r="Q33" s="53"/>
      <c r="R33" s="2"/>
      <c r="S33" s="2"/>
      <c r="T33" s="2"/>
    </row>
    <row r="34" spans="1:20">
      <c r="A34" s="22">
        <v>41421</v>
      </c>
      <c r="B34" s="20" t="s">
        <v>8</v>
      </c>
      <c r="C34" s="30">
        <f t="shared" si="8"/>
        <v>41421</v>
      </c>
      <c r="D34" s="30"/>
      <c r="E34" s="55"/>
      <c r="F34" s="55"/>
      <c r="G34" s="55"/>
      <c r="H34" s="55"/>
      <c r="I34" s="2"/>
      <c r="J34" s="1064"/>
      <c r="K34" s="1064"/>
      <c r="L34" s="1064"/>
      <c r="M34" s="1064"/>
      <c r="N34" s="1064"/>
      <c r="O34" s="1064"/>
      <c r="P34" s="1064"/>
      <c r="Q34" s="53"/>
      <c r="R34" s="2"/>
      <c r="S34" s="2"/>
      <c r="T34" s="2"/>
    </row>
    <row r="35" spans="1:20">
      <c r="A35" s="22">
        <v>41459</v>
      </c>
      <c r="B35" s="20" t="s">
        <v>9</v>
      </c>
      <c r="C35" s="30">
        <f t="shared" si="8"/>
        <v>41459</v>
      </c>
      <c r="D35" s="30"/>
      <c r="E35" s="55"/>
      <c r="F35" s="55"/>
      <c r="G35" s="55"/>
      <c r="H35" s="55"/>
      <c r="I35" s="2"/>
      <c r="J35" s="1064"/>
      <c r="K35" s="1064"/>
      <c r="L35" s="1064"/>
      <c r="M35" s="1064"/>
      <c r="N35" s="1064"/>
      <c r="O35" s="1064"/>
      <c r="P35" s="1064"/>
      <c r="Q35" s="53"/>
      <c r="R35" s="2"/>
      <c r="S35" s="2"/>
      <c r="T35" s="2"/>
    </row>
    <row r="36" spans="1:20">
      <c r="A36" s="22">
        <v>41519</v>
      </c>
      <c r="B36" s="20" t="s">
        <v>10</v>
      </c>
      <c r="C36" s="30">
        <f t="shared" si="8"/>
        <v>41519</v>
      </c>
      <c r="D36" s="30"/>
      <c r="E36" s="55"/>
      <c r="F36" s="55"/>
      <c r="G36" s="55"/>
      <c r="H36" s="55"/>
      <c r="I36" s="2"/>
      <c r="J36" s="1064"/>
      <c r="K36" s="1064"/>
      <c r="L36" s="1064"/>
      <c r="M36" s="1064"/>
      <c r="N36" s="1064"/>
      <c r="O36" s="1064"/>
      <c r="P36" s="1064"/>
      <c r="Q36" s="53"/>
      <c r="R36" s="2"/>
      <c r="S36" s="2"/>
      <c r="T36" s="2"/>
    </row>
    <row r="37" spans="1:20">
      <c r="A37" s="22">
        <v>41589</v>
      </c>
      <c r="B37" s="20" t="s">
        <v>1</v>
      </c>
      <c r="C37" s="30">
        <f t="shared" si="8"/>
        <v>41589</v>
      </c>
      <c r="D37" s="30"/>
      <c r="E37" s="55"/>
      <c r="F37" s="55"/>
      <c r="G37" s="55"/>
      <c r="H37" s="55"/>
      <c r="I37" s="2"/>
      <c r="J37" s="1064"/>
      <c r="K37" s="1064"/>
      <c r="L37" s="1064"/>
      <c r="M37" s="1064"/>
      <c r="N37" s="1064"/>
      <c r="O37" s="1064"/>
      <c r="P37" s="1064"/>
      <c r="Q37" s="53"/>
      <c r="R37" s="2"/>
      <c r="S37" s="2"/>
      <c r="T37" s="2"/>
    </row>
    <row r="38" spans="1:20">
      <c r="A38" s="22">
        <v>41606</v>
      </c>
      <c r="B38" s="20" t="s">
        <v>2</v>
      </c>
      <c r="C38" s="30">
        <f t="shared" si="8"/>
        <v>41606</v>
      </c>
      <c r="D38" s="30"/>
      <c r="E38" s="55"/>
      <c r="F38" s="55"/>
      <c r="G38" s="55"/>
      <c r="H38" s="55"/>
      <c r="I38" s="2"/>
      <c r="J38" s="1064"/>
      <c r="K38" s="1064"/>
      <c r="L38" s="1064"/>
      <c r="M38" s="1064"/>
      <c r="N38" s="1064"/>
      <c r="O38" s="1064"/>
      <c r="P38" s="1064"/>
      <c r="Q38" s="53"/>
      <c r="R38" s="2"/>
      <c r="S38" s="2"/>
      <c r="T38" s="2"/>
    </row>
    <row r="39" spans="1:20">
      <c r="A39" s="22">
        <v>41633</v>
      </c>
      <c r="B39" s="20" t="s">
        <v>4</v>
      </c>
      <c r="C39" s="30">
        <f t="shared" si="8"/>
        <v>41633</v>
      </c>
      <c r="D39" s="30"/>
      <c r="E39" s="55"/>
      <c r="F39" s="55"/>
      <c r="G39" s="55"/>
      <c r="H39" s="55"/>
      <c r="I39" s="2"/>
      <c r="J39" s="1064"/>
      <c r="K39" s="1064"/>
      <c r="L39" s="1064"/>
      <c r="M39" s="1064"/>
      <c r="N39" s="1064"/>
      <c r="O39" s="1064"/>
      <c r="P39" s="1064"/>
      <c r="Q39" s="53"/>
      <c r="R39" s="2"/>
      <c r="S39" s="2"/>
      <c r="T39" s="2"/>
    </row>
    <row r="40" spans="1:20">
      <c r="A40" s="22">
        <v>41640</v>
      </c>
      <c r="B40" s="20" t="s">
        <v>5</v>
      </c>
      <c r="C40" s="30">
        <f t="shared" si="8"/>
        <v>41640</v>
      </c>
      <c r="D40" s="30"/>
      <c r="E40" s="55"/>
      <c r="F40" s="55"/>
      <c r="G40" s="55"/>
      <c r="H40" s="55"/>
      <c r="I40" s="2"/>
      <c r="J40" s="1064"/>
      <c r="K40" s="1064"/>
      <c r="L40" s="1064"/>
      <c r="M40" s="1064"/>
      <c r="N40" s="1064"/>
      <c r="O40" s="1064"/>
      <c r="P40" s="1064"/>
      <c r="Q40" s="53"/>
      <c r="R40" s="2"/>
      <c r="S40" s="2"/>
      <c r="T40" s="2"/>
    </row>
    <row r="41" spans="1:20">
      <c r="A41" s="22">
        <v>41659</v>
      </c>
      <c r="B41" s="20" t="s">
        <v>6</v>
      </c>
      <c r="C41" s="30">
        <f t="shared" si="8"/>
        <v>41659</v>
      </c>
      <c r="D41" s="30"/>
      <c r="E41" s="55"/>
      <c r="F41" s="55"/>
      <c r="G41" s="55"/>
      <c r="H41" s="55"/>
      <c r="I41" s="2"/>
      <c r="J41" s="1064"/>
      <c r="K41" s="1064"/>
      <c r="L41" s="1064"/>
      <c r="M41" s="1064"/>
      <c r="N41" s="1064"/>
      <c r="O41" s="1064"/>
      <c r="P41" s="1064"/>
      <c r="Q41" s="53"/>
      <c r="R41" s="2"/>
      <c r="S41" s="2"/>
      <c r="T41" s="2"/>
    </row>
    <row r="42" spans="1:20">
      <c r="A42" s="22">
        <v>41687</v>
      </c>
      <c r="B42" s="20" t="s">
        <v>7</v>
      </c>
      <c r="C42" s="30">
        <f t="shared" si="8"/>
        <v>41687</v>
      </c>
      <c r="D42" s="30"/>
      <c r="E42" s="55"/>
      <c r="F42" s="55"/>
      <c r="G42" s="55"/>
      <c r="H42" s="55"/>
      <c r="I42" s="2"/>
      <c r="J42" s="1064"/>
      <c r="K42" s="1064"/>
      <c r="L42" s="1064"/>
      <c r="M42" s="1064"/>
      <c r="N42" s="1064"/>
      <c r="O42" s="1064"/>
      <c r="P42" s="1064"/>
      <c r="Q42" s="53"/>
      <c r="R42" s="2"/>
      <c r="S42" s="2"/>
      <c r="T42" s="2"/>
    </row>
    <row r="43" spans="1:20">
      <c r="A43" s="22">
        <v>41785</v>
      </c>
      <c r="B43" s="20" t="s">
        <v>8</v>
      </c>
      <c r="C43" s="30">
        <f t="shared" si="8"/>
        <v>41785</v>
      </c>
      <c r="D43" s="30"/>
      <c r="E43" s="55"/>
      <c r="F43" s="55"/>
      <c r="G43" s="55"/>
      <c r="H43" s="55"/>
      <c r="I43" s="2"/>
      <c r="J43" s="1064"/>
      <c r="K43" s="1064"/>
      <c r="L43" s="1064"/>
      <c r="M43" s="1064"/>
      <c r="N43" s="1064"/>
      <c r="O43" s="1064"/>
      <c r="P43" s="1064"/>
      <c r="Q43" s="53"/>
      <c r="R43" s="2"/>
      <c r="S43" s="2"/>
      <c r="T43" s="2"/>
    </row>
    <row r="44" spans="1:20">
      <c r="A44" s="22">
        <v>41824</v>
      </c>
      <c r="B44" s="20" t="s">
        <v>9</v>
      </c>
      <c r="C44" s="30">
        <f t="shared" si="8"/>
        <v>41824</v>
      </c>
      <c r="D44" s="30"/>
      <c r="E44" s="55"/>
      <c r="F44" s="55"/>
      <c r="G44" s="55"/>
      <c r="H44" s="55"/>
      <c r="I44" s="2"/>
      <c r="J44" s="1064"/>
      <c r="K44" s="1064"/>
      <c r="L44" s="1064"/>
      <c r="M44" s="1064"/>
      <c r="N44" s="1064"/>
      <c r="O44" s="1064"/>
      <c r="P44" s="1064"/>
      <c r="Q44" s="53"/>
      <c r="R44" s="2"/>
      <c r="S44" s="2"/>
      <c r="T44" s="2"/>
    </row>
    <row r="45" spans="1:20">
      <c r="A45" s="22">
        <v>41884</v>
      </c>
      <c r="B45" s="20" t="s">
        <v>10</v>
      </c>
      <c r="C45" s="30">
        <f t="shared" si="8"/>
        <v>41884</v>
      </c>
      <c r="D45" s="30"/>
      <c r="E45" s="55"/>
      <c r="F45" s="55"/>
      <c r="G45" s="55"/>
      <c r="H45" s="55"/>
      <c r="I45" s="2"/>
      <c r="J45" s="1064"/>
      <c r="K45" s="1064"/>
      <c r="L45" s="1064"/>
      <c r="M45" s="1064"/>
      <c r="N45" s="1064"/>
      <c r="O45" s="1064"/>
      <c r="P45" s="1064"/>
      <c r="Q45" s="53"/>
      <c r="R45" s="2"/>
      <c r="S45" s="2"/>
      <c r="T45" s="2"/>
    </row>
    <row r="46" spans="1:20">
      <c r="A46" s="22">
        <v>41954</v>
      </c>
      <c r="B46" s="20" t="s">
        <v>1</v>
      </c>
      <c r="C46" s="30">
        <f t="shared" si="8"/>
        <v>41954</v>
      </c>
      <c r="D46" s="30"/>
      <c r="E46" s="55"/>
      <c r="F46" s="55"/>
      <c r="G46" s="55"/>
      <c r="H46" s="55"/>
      <c r="I46" s="2"/>
      <c r="J46" s="1064"/>
      <c r="K46" s="1064"/>
      <c r="L46" s="1064"/>
      <c r="M46" s="1064"/>
      <c r="N46" s="1064"/>
      <c r="O46" s="1064"/>
      <c r="P46" s="1064"/>
      <c r="Q46" s="53"/>
      <c r="R46" s="2"/>
      <c r="S46" s="2"/>
      <c r="T46" s="2"/>
    </row>
    <row r="47" spans="1:20">
      <c r="A47" s="22">
        <v>41970</v>
      </c>
      <c r="B47" s="20" t="s">
        <v>2</v>
      </c>
      <c r="C47" s="30">
        <f t="shared" si="8"/>
        <v>41970</v>
      </c>
      <c r="D47" s="30"/>
      <c r="E47" s="55"/>
      <c r="F47" s="55"/>
      <c r="G47" s="55"/>
      <c r="H47" s="55"/>
      <c r="I47" s="2"/>
      <c r="J47" s="1064"/>
      <c r="K47" s="1064"/>
      <c r="L47" s="1064"/>
      <c r="M47" s="1064"/>
      <c r="N47" s="1064"/>
      <c r="O47" s="1064"/>
      <c r="P47" s="1064"/>
      <c r="Q47" s="53"/>
      <c r="R47" s="2"/>
      <c r="S47" s="2"/>
      <c r="T47" s="2"/>
    </row>
    <row r="48" spans="1:20">
      <c r="A48" s="22">
        <v>41998</v>
      </c>
      <c r="B48" s="20" t="s">
        <v>4</v>
      </c>
      <c r="C48" s="30">
        <f t="shared" si="8"/>
        <v>41998</v>
      </c>
      <c r="D48" s="30"/>
      <c r="E48" s="55"/>
      <c r="F48" s="55"/>
      <c r="G48" s="55"/>
      <c r="H48" s="55"/>
      <c r="I48" s="2"/>
      <c r="J48" s="1064"/>
      <c r="K48" s="1064"/>
      <c r="L48" s="1064"/>
      <c r="M48" s="1064"/>
      <c r="N48" s="1064"/>
      <c r="O48" s="1064"/>
      <c r="P48" s="1064"/>
      <c r="Q48" s="53"/>
      <c r="R48" s="2"/>
      <c r="S48" s="2"/>
      <c r="T48" s="2"/>
    </row>
    <row r="49" spans="1:20">
      <c r="A49" s="22">
        <v>42005</v>
      </c>
      <c r="B49" s="20" t="s">
        <v>5</v>
      </c>
      <c r="C49" s="30">
        <f t="shared" si="8"/>
        <v>42005</v>
      </c>
      <c r="D49" s="30"/>
      <c r="E49" s="55"/>
      <c r="F49" s="55"/>
      <c r="G49" s="55"/>
      <c r="H49" s="55"/>
      <c r="I49" s="2"/>
      <c r="J49" s="1064"/>
      <c r="K49" s="1064"/>
      <c r="L49" s="1064"/>
      <c r="M49" s="1064"/>
      <c r="N49" s="1064"/>
      <c r="O49" s="1064"/>
      <c r="P49" s="1064"/>
      <c r="Q49" s="53"/>
      <c r="R49" s="2"/>
      <c r="S49" s="2"/>
      <c r="T49" s="2"/>
    </row>
    <row r="50" spans="1:20">
      <c r="A50" s="22">
        <v>42023</v>
      </c>
      <c r="B50" s="20" t="s">
        <v>6</v>
      </c>
      <c r="C50" s="30">
        <f t="shared" si="8"/>
        <v>42023</v>
      </c>
      <c r="D50" s="30"/>
      <c r="E50" s="55"/>
      <c r="F50" s="55"/>
      <c r="G50" s="55"/>
      <c r="H50" s="55"/>
      <c r="I50" s="2"/>
      <c r="J50" s="1064"/>
      <c r="K50" s="1064"/>
      <c r="L50" s="1064"/>
      <c r="M50" s="1064"/>
      <c r="N50" s="1064"/>
      <c r="O50" s="1064"/>
      <c r="P50" s="1064"/>
      <c r="Q50" s="53"/>
      <c r="R50" s="2"/>
      <c r="S50" s="2"/>
      <c r="T50" s="2"/>
    </row>
    <row r="51" spans="1:20">
      <c r="A51" s="22">
        <v>42051</v>
      </c>
      <c r="B51" s="20" t="s">
        <v>7</v>
      </c>
      <c r="C51" s="30">
        <f t="shared" si="8"/>
        <v>42051</v>
      </c>
      <c r="D51" s="30"/>
      <c r="E51" s="55"/>
      <c r="F51" s="55"/>
      <c r="G51" s="55"/>
      <c r="H51" s="55"/>
      <c r="I51" s="2"/>
      <c r="J51" s="1064"/>
      <c r="K51" s="1064"/>
      <c r="L51" s="1064"/>
      <c r="M51" s="1064"/>
      <c r="N51" s="1064"/>
      <c r="O51" s="1064"/>
      <c r="P51" s="1064"/>
      <c r="Q51" s="53"/>
      <c r="R51" s="2"/>
      <c r="S51" s="2"/>
      <c r="T51" s="2"/>
    </row>
    <row r="52" spans="1:20">
      <c r="A52" s="22">
        <v>42149</v>
      </c>
      <c r="B52" s="20" t="s">
        <v>8</v>
      </c>
      <c r="C52" s="30">
        <f t="shared" si="8"/>
        <v>42149</v>
      </c>
      <c r="D52" s="30"/>
      <c r="E52" s="55"/>
      <c r="F52" s="55"/>
      <c r="G52" s="55"/>
      <c r="H52" s="55"/>
      <c r="I52" s="2"/>
      <c r="J52" s="1064"/>
      <c r="K52" s="1064"/>
      <c r="L52" s="1064"/>
      <c r="M52" s="1064"/>
      <c r="N52" s="1064"/>
      <c r="O52" s="1064"/>
      <c r="P52" s="1064"/>
      <c r="Q52" s="53"/>
      <c r="R52" s="2"/>
      <c r="S52" s="2"/>
      <c r="T52" s="2"/>
    </row>
    <row r="53" spans="1:20">
      <c r="A53" s="22">
        <v>42188</v>
      </c>
      <c r="B53" s="20" t="s">
        <v>9</v>
      </c>
      <c r="C53" s="30">
        <f t="shared" si="8"/>
        <v>42188</v>
      </c>
      <c r="D53" s="30"/>
      <c r="E53" s="55"/>
      <c r="F53" s="55"/>
      <c r="G53" s="55"/>
      <c r="H53" s="55"/>
      <c r="I53" s="2"/>
      <c r="J53" s="1064"/>
      <c r="K53" s="1064"/>
      <c r="L53" s="1064"/>
      <c r="M53" s="1064"/>
      <c r="N53" s="1064"/>
      <c r="O53" s="1064"/>
      <c r="P53" s="1064"/>
      <c r="Q53" s="53"/>
      <c r="R53" s="2"/>
      <c r="S53" s="2"/>
      <c r="T53" s="2"/>
    </row>
    <row r="54" spans="1:20">
      <c r="A54" s="22">
        <v>42254</v>
      </c>
      <c r="B54" s="20" t="s">
        <v>10</v>
      </c>
      <c r="C54" s="30">
        <f t="shared" si="8"/>
        <v>42254</v>
      </c>
      <c r="D54" s="30"/>
      <c r="E54" s="55"/>
      <c r="F54" s="55"/>
      <c r="G54" s="55"/>
      <c r="H54" s="55"/>
      <c r="I54" s="2"/>
      <c r="J54" s="1064"/>
      <c r="K54" s="1064"/>
      <c r="L54" s="1064"/>
      <c r="M54" s="1064"/>
      <c r="N54" s="1064"/>
      <c r="O54" s="1064"/>
      <c r="P54" s="1064"/>
      <c r="Q54" s="53"/>
      <c r="R54" s="2"/>
      <c r="S54" s="2"/>
      <c r="T54" s="2"/>
    </row>
    <row r="55" spans="1:20">
      <c r="A55" s="22">
        <v>42319</v>
      </c>
      <c r="B55" s="20" t="s">
        <v>1</v>
      </c>
      <c r="C55" s="30">
        <f t="shared" si="8"/>
        <v>42319</v>
      </c>
      <c r="D55" s="30"/>
      <c r="E55" s="55"/>
      <c r="F55" s="55"/>
      <c r="G55" s="55"/>
      <c r="H55" s="55"/>
      <c r="I55" s="2"/>
      <c r="J55" s="1064"/>
      <c r="K55" s="1064"/>
      <c r="L55" s="1064"/>
      <c r="M55" s="1064"/>
      <c r="N55" s="1064"/>
      <c r="O55" s="1064"/>
      <c r="P55" s="1064"/>
      <c r="Q55" s="53"/>
      <c r="R55" s="2"/>
      <c r="S55" s="2"/>
      <c r="T55" s="2"/>
    </row>
    <row r="56" spans="1:20">
      <c r="A56" s="22">
        <v>42334</v>
      </c>
      <c r="B56" s="20" t="s">
        <v>2</v>
      </c>
      <c r="C56" s="30">
        <f t="shared" si="8"/>
        <v>42334</v>
      </c>
      <c r="D56" s="30"/>
      <c r="E56" s="55"/>
      <c r="F56" s="55"/>
      <c r="G56" s="55"/>
      <c r="H56" s="55"/>
      <c r="I56" s="2"/>
      <c r="J56" s="1064"/>
      <c r="K56" s="1064"/>
      <c r="L56" s="1064"/>
      <c r="M56" s="1064"/>
      <c r="N56" s="1064"/>
      <c r="O56" s="1064"/>
      <c r="P56" s="1064"/>
      <c r="Q56" s="53"/>
      <c r="R56" s="2"/>
      <c r="S56" s="2"/>
      <c r="T56" s="2"/>
    </row>
    <row r="57" spans="1:20">
      <c r="A57" s="22">
        <v>42363</v>
      </c>
      <c r="B57" s="20" t="s">
        <v>4</v>
      </c>
      <c r="C57" s="30">
        <f t="shared" si="8"/>
        <v>42363</v>
      </c>
      <c r="D57" s="30"/>
      <c r="E57" s="55"/>
      <c r="F57" s="55"/>
      <c r="G57" s="55"/>
      <c r="H57" s="55"/>
      <c r="I57" s="2"/>
      <c r="J57" s="1064"/>
      <c r="K57" s="1064"/>
      <c r="L57" s="1064"/>
      <c r="M57" s="1064"/>
      <c r="N57" s="1064"/>
      <c r="O57" s="1064"/>
      <c r="P57" s="1064"/>
      <c r="Q57" s="53"/>
      <c r="R57" s="2"/>
      <c r="S57" s="2"/>
      <c r="T57" s="2"/>
    </row>
    <row r="58" spans="1:20">
      <c r="A58" s="22">
        <v>42370</v>
      </c>
      <c r="B58" s="20" t="s">
        <v>5</v>
      </c>
      <c r="C58" s="30">
        <f t="shared" ref="C58:C66" si="9">A58</f>
        <v>42370</v>
      </c>
      <c r="D58" s="30"/>
      <c r="E58" s="55"/>
      <c r="F58" s="55"/>
      <c r="G58" s="55"/>
      <c r="H58" s="55"/>
      <c r="I58" s="2"/>
      <c r="J58" s="1064"/>
      <c r="K58" s="1064"/>
      <c r="L58" s="1064"/>
      <c r="M58" s="1064"/>
      <c r="N58" s="1064"/>
      <c r="O58" s="1064"/>
      <c r="P58" s="1064"/>
      <c r="Q58" s="53"/>
      <c r="R58" s="2"/>
      <c r="S58" s="2"/>
      <c r="T58" s="2"/>
    </row>
    <row r="59" spans="1:20">
      <c r="A59" s="22">
        <v>42387</v>
      </c>
      <c r="B59" s="20" t="s">
        <v>6</v>
      </c>
      <c r="C59" s="30">
        <f t="shared" si="9"/>
        <v>42387</v>
      </c>
      <c r="D59" s="30"/>
      <c r="E59" s="55"/>
      <c r="F59" s="55"/>
      <c r="G59" s="55"/>
      <c r="H59" s="55"/>
      <c r="I59" s="2"/>
      <c r="J59" s="1064"/>
      <c r="K59" s="1064"/>
      <c r="L59" s="1064"/>
      <c r="M59" s="1064"/>
      <c r="N59" s="1064"/>
      <c r="O59" s="1064"/>
      <c r="P59" s="1064"/>
      <c r="Q59" s="53"/>
      <c r="R59" s="2"/>
      <c r="S59" s="2"/>
      <c r="T59" s="2"/>
    </row>
    <row r="60" spans="1:20">
      <c r="A60" s="22">
        <v>42415</v>
      </c>
      <c r="B60" s="20" t="s">
        <v>7</v>
      </c>
      <c r="C60" s="30">
        <f t="shared" si="9"/>
        <v>42415</v>
      </c>
      <c r="D60" s="30"/>
      <c r="E60" s="55"/>
      <c r="F60" s="55"/>
      <c r="G60" s="55"/>
      <c r="H60" s="55"/>
      <c r="I60" s="2"/>
      <c r="J60" s="1064"/>
      <c r="K60" s="1064"/>
      <c r="L60" s="1064"/>
      <c r="M60" s="1064"/>
      <c r="N60" s="1064"/>
      <c r="O60" s="1064"/>
      <c r="P60" s="1064"/>
      <c r="Q60" s="53"/>
      <c r="R60" s="2"/>
      <c r="S60" s="2"/>
      <c r="T60" s="2"/>
    </row>
    <row r="61" spans="1:20">
      <c r="A61" s="22">
        <v>42520</v>
      </c>
      <c r="B61" s="20" t="s">
        <v>8</v>
      </c>
      <c r="C61" s="30">
        <f t="shared" si="9"/>
        <v>42520</v>
      </c>
      <c r="D61" s="30"/>
      <c r="E61" s="55"/>
      <c r="F61" s="55"/>
      <c r="G61" s="55"/>
      <c r="H61" s="55"/>
      <c r="I61" s="2"/>
      <c r="J61" s="1064"/>
      <c r="K61" s="1064"/>
      <c r="L61" s="1064"/>
      <c r="M61" s="1064"/>
      <c r="N61" s="1064"/>
      <c r="O61" s="1064"/>
      <c r="P61" s="1064"/>
      <c r="Q61" s="53"/>
      <c r="R61" s="2"/>
      <c r="S61" s="2"/>
      <c r="T61" s="2"/>
    </row>
    <row r="62" spans="1:20">
      <c r="A62" s="22">
        <v>42555</v>
      </c>
      <c r="B62" s="20" t="s">
        <v>9</v>
      </c>
      <c r="C62" s="30">
        <f t="shared" si="9"/>
        <v>42555</v>
      </c>
      <c r="D62" s="30"/>
      <c r="E62" s="55"/>
      <c r="F62" s="55"/>
      <c r="G62" s="55"/>
      <c r="H62" s="55"/>
      <c r="I62" s="2"/>
      <c r="J62" s="1064"/>
      <c r="K62" s="1064"/>
      <c r="L62" s="1064"/>
      <c r="M62" s="1064"/>
      <c r="N62" s="1064"/>
      <c r="O62" s="1064"/>
      <c r="P62" s="1064"/>
      <c r="Q62" s="53"/>
      <c r="R62" s="2"/>
      <c r="S62" s="2"/>
      <c r="T62" s="2"/>
    </row>
    <row r="63" spans="1:20">
      <c r="A63" s="22">
        <v>42618</v>
      </c>
      <c r="B63" s="20" t="s">
        <v>10</v>
      </c>
      <c r="C63" s="30">
        <f t="shared" si="9"/>
        <v>42618</v>
      </c>
      <c r="D63" s="30"/>
      <c r="E63" s="55"/>
      <c r="F63" s="55"/>
      <c r="G63" s="55"/>
      <c r="H63" s="55"/>
      <c r="I63" s="2"/>
      <c r="J63" s="1064"/>
      <c r="K63" s="1064"/>
      <c r="L63" s="1064"/>
      <c r="M63" s="1064"/>
      <c r="N63" s="1064"/>
      <c r="O63" s="1064"/>
      <c r="P63" s="1064"/>
      <c r="Q63" s="53"/>
      <c r="R63" s="2"/>
      <c r="S63" s="2"/>
      <c r="T63" s="2"/>
    </row>
    <row r="64" spans="1:20">
      <c r="A64" s="22">
        <v>42685</v>
      </c>
      <c r="B64" s="20" t="s">
        <v>1</v>
      </c>
      <c r="C64" s="30">
        <f t="shared" si="9"/>
        <v>42685</v>
      </c>
      <c r="D64" s="30"/>
      <c r="E64" s="55"/>
      <c r="F64" s="55"/>
      <c r="G64" s="55"/>
      <c r="H64" s="55"/>
      <c r="I64" s="2"/>
      <c r="J64" s="1064"/>
      <c r="K64" s="1064"/>
      <c r="L64" s="1064"/>
      <c r="M64" s="1064"/>
      <c r="N64" s="1064"/>
      <c r="O64" s="1064"/>
      <c r="P64" s="1064"/>
      <c r="Q64" s="53"/>
      <c r="R64" s="2"/>
      <c r="S64" s="2"/>
      <c r="T64" s="2"/>
    </row>
    <row r="65" spans="1:20">
      <c r="A65" s="22">
        <v>42698</v>
      </c>
      <c r="B65" s="20" t="s">
        <v>2</v>
      </c>
      <c r="C65" s="30">
        <f t="shared" si="9"/>
        <v>42698</v>
      </c>
      <c r="D65" s="30"/>
      <c r="E65" s="55"/>
      <c r="F65" s="55"/>
      <c r="G65" s="55"/>
      <c r="H65" s="55"/>
      <c r="I65" s="2"/>
      <c r="J65" s="1064"/>
      <c r="K65" s="1064"/>
      <c r="L65" s="1064"/>
      <c r="M65" s="1064"/>
      <c r="N65" s="1064"/>
      <c r="O65" s="1064"/>
      <c r="P65" s="1064"/>
      <c r="Q65" s="53"/>
      <c r="R65" s="2"/>
      <c r="S65" s="2"/>
      <c r="T65" s="2"/>
    </row>
    <row r="66" spans="1:20">
      <c r="A66" s="22">
        <v>42730</v>
      </c>
      <c r="B66" s="20" t="s">
        <v>4</v>
      </c>
      <c r="C66" s="30">
        <f t="shared" si="9"/>
        <v>42730</v>
      </c>
      <c r="D66" s="30"/>
      <c r="E66" s="55"/>
      <c r="F66" s="55"/>
      <c r="G66" s="55"/>
      <c r="H66" s="55"/>
      <c r="I66" s="2"/>
      <c r="J66" s="1064"/>
      <c r="K66" s="1064"/>
      <c r="L66" s="1064"/>
      <c r="M66" s="1064"/>
      <c r="N66" s="1064"/>
      <c r="O66" s="1064"/>
      <c r="P66" s="1064"/>
      <c r="Q66" s="53"/>
      <c r="R66" s="2"/>
      <c r="S66" s="2"/>
      <c r="T66" s="2"/>
    </row>
    <row r="67" spans="1:20">
      <c r="A67" s="22">
        <v>42737</v>
      </c>
      <c r="B67" s="20" t="s">
        <v>5</v>
      </c>
      <c r="C67" s="30">
        <f t="shared" ref="C67:C75" si="10">A67</f>
        <v>42737</v>
      </c>
      <c r="D67" s="30"/>
      <c r="E67" s="55"/>
      <c r="F67" s="55"/>
      <c r="G67" s="55"/>
      <c r="H67" s="55"/>
      <c r="I67" s="2"/>
      <c r="J67" s="1064"/>
      <c r="K67" s="1064"/>
      <c r="L67" s="1064"/>
      <c r="M67" s="1064"/>
      <c r="N67" s="1064"/>
      <c r="O67" s="1064"/>
      <c r="P67" s="1064"/>
      <c r="Q67" s="53"/>
      <c r="R67" s="2"/>
      <c r="S67" s="2"/>
      <c r="T67" s="2"/>
    </row>
    <row r="68" spans="1:20">
      <c r="A68" s="22">
        <v>42751</v>
      </c>
      <c r="B68" s="20" t="s">
        <v>6</v>
      </c>
      <c r="C68" s="30">
        <f t="shared" si="10"/>
        <v>42751</v>
      </c>
      <c r="D68" s="30"/>
      <c r="E68" s="55"/>
      <c r="F68" s="55"/>
      <c r="G68" s="55"/>
      <c r="H68" s="55"/>
      <c r="I68" s="2"/>
      <c r="J68" s="1064"/>
      <c r="K68" s="1064"/>
      <c r="L68" s="1064"/>
      <c r="M68" s="1064"/>
      <c r="N68" s="1064"/>
      <c r="O68" s="1064"/>
      <c r="P68" s="1064"/>
      <c r="Q68" s="53"/>
      <c r="R68" s="2"/>
      <c r="S68" s="2"/>
      <c r="T68" s="2"/>
    </row>
    <row r="69" spans="1:20">
      <c r="A69" s="22">
        <v>42786</v>
      </c>
      <c r="B69" s="20" t="s">
        <v>7</v>
      </c>
      <c r="C69" s="30">
        <f t="shared" si="10"/>
        <v>42786</v>
      </c>
      <c r="D69" s="30"/>
      <c r="E69" s="55"/>
      <c r="F69" s="55"/>
      <c r="G69" s="55"/>
      <c r="H69" s="55"/>
      <c r="I69" s="2"/>
      <c r="J69" s="1064"/>
      <c r="K69" s="1064"/>
      <c r="L69" s="1064"/>
      <c r="M69" s="1064"/>
      <c r="N69" s="1064"/>
      <c r="O69" s="1064"/>
      <c r="P69" s="1064"/>
      <c r="Q69" s="53"/>
      <c r="R69" s="2"/>
      <c r="S69" s="2"/>
      <c r="T69" s="2"/>
    </row>
    <row r="70" spans="1:20">
      <c r="A70" s="22">
        <v>42884</v>
      </c>
      <c r="B70" s="20" t="s">
        <v>8</v>
      </c>
      <c r="C70" s="30">
        <f t="shared" si="10"/>
        <v>42884</v>
      </c>
      <c r="D70" s="30"/>
      <c r="E70" s="55"/>
      <c r="F70" s="55"/>
      <c r="G70" s="55"/>
      <c r="H70" s="55"/>
      <c r="I70" s="2"/>
      <c r="J70" s="1064"/>
      <c r="K70" s="1064"/>
      <c r="L70" s="1064"/>
      <c r="M70" s="1064"/>
      <c r="N70" s="1064"/>
      <c r="O70" s="1064"/>
      <c r="P70" s="1064"/>
      <c r="Q70" s="53"/>
      <c r="R70" s="2"/>
      <c r="S70" s="2"/>
      <c r="T70" s="2"/>
    </row>
    <row r="71" spans="1:20">
      <c r="A71" s="22">
        <v>42920</v>
      </c>
      <c r="B71" s="20" t="s">
        <v>9</v>
      </c>
      <c r="C71" s="30">
        <f t="shared" si="10"/>
        <v>42920</v>
      </c>
      <c r="D71" s="30"/>
      <c r="E71" s="55"/>
      <c r="F71" s="55"/>
      <c r="G71" s="55"/>
      <c r="H71" s="55"/>
      <c r="I71" s="2"/>
      <c r="J71" s="1064"/>
      <c r="K71" s="1064"/>
      <c r="L71" s="1064"/>
      <c r="M71" s="1064"/>
      <c r="N71" s="1064"/>
      <c r="O71" s="1064"/>
      <c r="P71" s="1064"/>
      <c r="Q71" s="53"/>
      <c r="R71" s="2"/>
      <c r="S71" s="2"/>
      <c r="T71" s="2"/>
    </row>
    <row r="72" spans="1:20">
      <c r="A72" s="22">
        <v>42982</v>
      </c>
      <c r="B72" s="20" t="s">
        <v>10</v>
      </c>
      <c r="C72" s="30">
        <f t="shared" si="10"/>
        <v>42982</v>
      </c>
      <c r="D72" s="30"/>
      <c r="E72" s="55"/>
      <c r="F72" s="55"/>
      <c r="G72" s="55"/>
      <c r="H72" s="55"/>
      <c r="I72" s="2"/>
      <c r="J72" s="1064"/>
      <c r="K72" s="1064"/>
      <c r="L72" s="1064"/>
      <c r="M72" s="1064"/>
      <c r="N72" s="1064"/>
      <c r="O72" s="1064"/>
      <c r="P72" s="1064"/>
      <c r="Q72" s="53"/>
      <c r="R72" s="2"/>
      <c r="S72" s="2"/>
      <c r="T72" s="2"/>
    </row>
    <row r="73" spans="1:20">
      <c r="A73" s="22">
        <v>43049</v>
      </c>
      <c r="B73" s="20" t="s">
        <v>1</v>
      </c>
      <c r="C73" s="30">
        <f t="shared" si="10"/>
        <v>43049</v>
      </c>
      <c r="D73" s="30"/>
      <c r="E73" s="55"/>
      <c r="F73" s="55"/>
      <c r="G73" s="55"/>
      <c r="H73" s="55"/>
      <c r="I73" s="2"/>
      <c r="J73" s="1064"/>
      <c r="K73" s="1064"/>
      <c r="L73" s="1064"/>
      <c r="M73" s="1064"/>
      <c r="N73" s="1064"/>
      <c r="O73" s="1064"/>
      <c r="P73" s="1064"/>
      <c r="Q73" s="53"/>
      <c r="R73" s="2"/>
      <c r="S73" s="2"/>
      <c r="T73" s="2"/>
    </row>
    <row r="74" spans="1:20">
      <c r="A74" s="22">
        <v>43062</v>
      </c>
      <c r="B74" s="20" t="s">
        <v>2</v>
      </c>
      <c r="C74" s="30">
        <f t="shared" si="10"/>
        <v>43062</v>
      </c>
      <c r="D74" s="30"/>
      <c r="E74" s="55"/>
      <c r="F74" s="55"/>
      <c r="G74" s="55"/>
      <c r="H74" s="55"/>
      <c r="I74" s="2"/>
      <c r="J74" s="1064"/>
      <c r="K74" s="1064"/>
      <c r="L74" s="1064"/>
      <c r="M74" s="1064"/>
      <c r="N74" s="1064"/>
      <c r="O74" s="1064"/>
      <c r="P74" s="1064"/>
      <c r="Q74" s="53"/>
      <c r="R74" s="2"/>
      <c r="S74" s="2"/>
      <c r="T74" s="2"/>
    </row>
    <row r="75" spans="1:20">
      <c r="A75" s="22">
        <v>43094</v>
      </c>
      <c r="B75" s="20" t="s">
        <v>4</v>
      </c>
      <c r="C75" s="30">
        <f t="shared" si="10"/>
        <v>43094</v>
      </c>
      <c r="D75" s="30"/>
      <c r="E75" s="55"/>
      <c r="F75" s="55"/>
      <c r="G75" s="55"/>
      <c r="H75" s="55"/>
      <c r="I75" s="2"/>
      <c r="J75" s="1064"/>
      <c r="K75" s="1064"/>
      <c r="L75" s="1064"/>
      <c r="M75" s="1064"/>
      <c r="N75" s="1064"/>
      <c r="O75" s="1064"/>
      <c r="P75" s="1064"/>
      <c r="Q75" s="53"/>
      <c r="R75" s="2"/>
      <c r="S75" s="2"/>
      <c r="T75" s="2"/>
    </row>
    <row r="76" spans="1:20">
      <c r="A76" s="22">
        <v>43101</v>
      </c>
      <c r="B76" s="20" t="s">
        <v>5</v>
      </c>
      <c r="C76" s="30">
        <f t="shared" si="8"/>
        <v>43101</v>
      </c>
      <c r="D76" s="30"/>
      <c r="E76" s="55"/>
      <c r="F76" s="55"/>
      <c r="G76" s="55"/>
      <c r="H76" s="55"/>
      <c r="I76" s="2"/>
      <c r="J76" s="1064"/>
      <c r="K76" s="1064"/>
      <c r="L76" s="1064"/>
      <c r="M76" s="1064"/>
      <c r="N76" s="1064"/>
      <c r="O76" s="1064"/>
      <c r="P76" s="1064"/>
      <c r="Q76" s="53"/>
      <c r="R76" s="2"/>
      <c r="S76" s="2"/>
      <c r="T76" s="2"/>
    </row>
    <row r="77" spans="1:20">
      <c r="A77" s="18" t="s">
        <v>17</v>
      </c>
      <c r="B77" s="19"/>
      <c r="C77" s="7"/>
      <c r="D77" s="7"/>
      <c r="E77" s="56"/>
      <c r="F77" s="56"/>
      <c r="G77" s="56"/>
      <c r="H77" s="56"/>
      <c r="I77" s="2"/>
      <c r="J77" s="1064"/>
      <c r="K77" s="1064"/>
      <c r="L77" s="1064"/>
      <c r="M77" s="1064"/>
      <c r="N77" s="1064"/>
      <c r="O77" s="1064"/>
      <c r="P77" s="106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70" t="s">
        <v>363</v>
      </c>
      <c r="C2" s="1070"/>
      <c r="D2" s="1070"/>
      <c r="E2" s="1070"/>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72" t="s">
        <v>414</v>
      </c>
      <c r="C15" s="1072"/>
      <c r="D15" s="1072"/>
      <c r="E15" s="1072"/>
      <c r="F15" s="1072"/>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71" t="str">
        <f>S.Staff.Program.Mgr.FullName&amp;", "&amp;S.Staff.Program.Mgr.Div&amp;": "&amp;S.Staff.Program.Mgr.SectionName&amp;""</f>
        <v>David Collier, OP: Air Quality Planning</v>
      </c>
      <c r="D17" s="1071"/>
      <c r="E17" s="1071"/>
      <c r="F17" s="75"/>
      <c r="G17" s="75"/>
      <c r="H17" s="75"/>
      <c r="I17" s="75"/>
      <c r="J17" s="75"/>
      <c r="K17" s="75"/>
      <c r="L17" s="75"/>
      <c r="M17" s="75"/>
      <c r="N17" s="75"/>
    </row>
    <row r="18" spans="1:14" ht="25.5" customHeight="1">
      <c r="B18" s="612" t="s">
        <v>478</v>
      </c>
      <c r="C18" s="1071" t="str">
        <f>S.Staff.Subject.Expert.FullName&amp;", "&amp;S.Staff.Program.Mgr.Div&amp;": "&amp;S.Staff.Program.Mgr.SectionName&amp;""</f>
        <v>Brian Finneran, OP: Air Quality Planning</v>
      </c>
      <c r="D18" s="1071"/>
      <c r="E18" s="1071"/>
      <c r="F18" s="75"/>
      <c r="G18" s="75"/>
      <c r="H18" s="75"/>
      <c r="I18" s="75"/>
      <c r="J18" s="75"/>
      <c r="K18" s="75"/>
      <c r="L18" s="75"/>
      <c r="M18" s="75"/>
      <c r="N18" s="75"/>
    </row>
    <row r="19" spans="1:14" ht="25.5" customHeight="1">
      <c r="B19" s="612" t="s">
        <v>479</v>
      </c>
      <c r="C19" s="1071" t="str">
        <f>S.Staff.RG.Lead.Full.Name&amp;", "&amp;S.Staff.RG.Lead.Div&amp;": "&amp;S.Staff.RG.Lead.SectionName&amp;""</f>
        <v>Andrea Gartenbaum, OP: Agency Rules</v>
      </c>
      <c r="D19" s="1071"/>
      <c r="E19" s="1071"/>
      <c r="F19" s="75"/>
      <c r="G19" s="75"/>
      <c r="H19" s="75"/>
      <c r="I19" s="75"/>
      <c r="J19" s="75"/>
      <c r="K19" s="75"/>
      <c r="L19" s="75"/>
      <c r="M19" s="75"/>
      <c r="N19" s="75"/>
    </row>
    <row r="20" spans="1:14" ht="12" customHeight="1">
      <c r="B20" s="1066" t="s">
        <v>519</v>
      </c>
      <c r="C20" s="1066"/>
      <c r="D20" s="1066"/>
      <c r="E20" s="106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41820</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41820</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41820</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7" t="s">
        <v>360</v>
      </c>
      <c r="B103" s="1067"/>
      <c r="C103" s="615"/>
      <c r="D103" s="615"/>
      <c r="E103" s="615"/>
      <c r="F103" s="75"/>
      <c r="G103" s="75"/>
      <c r="H103" s="75"/>
      <c r="I103" s="75"/>
      <c r="J103" s="75"/>
      <c r="K103" s="75"/>
      <c r="L103" s="75"/>
      <c r="M103" s="75"/>
      <c r="N103" s="75"/>
    </row>
    <row r="104" spans="1:14" s="23" customFormat="1" ht="20.25">
      <c r="A104" s="616"/>
      <c r="B104" s="75"/>
      <c r="C104" s="1068" t="str">
        <f>S.Staff.Program.Mgr.FullName&amp;", "&amp;S.Staff.Program.Mgr.Div&amp;": "&amp;S.Staff.Program.Mgr.SectionName&amp;"     DATE"</f>
        <v>David Collier, OP: Air Quality Planning     DATE</v>
      </c>
      <c r="D104" s="1068"/>
      <c r="E104" s="106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7" t="s">
        <v>479</v>
      </c>
      <c r="B106" s="1067"/>
      <c r="C106" s="615"/>
      <c r="D106" s="615"/>
      <c r="E106" s="615"/>
      <c r="F106" s="75"/>
      <c r="G106" s="75"/>
      <c r="H106" s="75"/>
      <c r="I106" s="75"/>
      <c r="J106" s="75"/>
      <c r="K106" s="75"/>
      <c r="L106" s="75"/>
      <c r="M106" s="75"/>
      <c r="N106" s="75"/>
    </row>
    <row r="107" spans="1:14" s="23" customFormat="1" ht="30.75" customHeight="1">
      <c r="A107" s="75"/>
      <c r="B107" s="75"/>
      <c r="C107" s="1069" t="str">
        <f>S.Staff.RG.Lead.Full.Name&amp;", "&amp;S.Staff.RG.Lead.Div&amp;": "&amp;S.Staff.RG.Lead.SectionName&amp;"     DATE"</f>
        <v>Andrea Gartenbaum, OP: Agency Rules     DATE</v>
      </c>
      <c r="D107" s="1069"/>
      <c r="E107" s="1069"/>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2014-08-15T00:49:29Z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