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14" i="84"/>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<sst xmlns="http://schemas.openxmlformats.org/spreadsheetml/2006/main" count="1998" uniqueCount="793">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</sst>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29" borderId="73" xfId="0" applyNumberFormat="1" applyFont="1" applyFill="1" applyBorder="1" applyAlignment="1" applyProtection="1">
      <alignment horizontal="right" vertical="center"/>
      <protection locked="0"/>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topLeftCell="A188" zoomScaleNormal="100" workbookViewId="0">
      <selection activeCell="AO57" sqref="AO57"/>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19" t="s">
        <v>0</v>
      </c>
      <c r="H1" s="1019"/>
      <c r="I1" s="745"/>
      <c r="AF1" s="361" t="s">
        <v>21</v>
      </c>
      <c r="AG1" s="59"/>
      <c r="AH1" s="76"/>
      <c r="AI1" s="816"/>
      <c r="AJ1" s="1017"/>
      <c r="AK1" s="1017"/>
      <c r="AL1" s="1017"/>
      <c r="AM1" s="1017"/>
      <c r="AN1" s="1017"/>
      <c r="AO1" s="1017"/>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4" t="s">
        <v>0</v>
      </c>
      <c r="D3" s="1034"/>
      <c r="E3" s="1034"/>
      <c r="F3" s="1034"/>
      <c r="G3" s="799">
        <f ca="1">AG3</f>
        <v>41813</v>
      </c>
      <c r="H3" s="800">
        <f>AH3</f>
        <v>42101</v>
      </c>
      <c r="I3" s="745"/>
      <c r="J3"/>
      <c r="K3"/>
      <c r="L3"/>
      <c r="M3"/>
      <c r="N3"/>
      <c r="O3"/>
      <c r="P3"/>
      <c r="Q3"/>
      <c r="R3"/>
      <c r="S3"/>
      <c r="T3"/>
      <c r="U3"/>
      <c r="X3"/>
      <c r="AB3"/>
      <c r="AC3"/>
      <c r="AF3" s="361" t="s">
        <v>59</v>
      </c>
      <c r="AG3" s="60">
        <f ca="1">TODAY()</f>
        <v>41813</v>
      </c>
      <c r="AH3" s="60">
        <f>S.EndOfRulemaking</f>
        <v>42101</v>
      </c>
      <c r="AI3" s="479" t="s">
        <v>0</v>
      </c>
      <c r="AJ3" s="380"/>
      <c r="AK3" s="348" t="str">
        <f>"Last row = "&amp;ROW(S.General.LastCellSchedule)</f>
        <v>Last row = 866</v>
      </c>
      <c r="AL3" s="76"/>
      <c r="AS3" s="1028"/>
      <c r="AT3" s="1028"/>
      <c r="AU3" s="1028"/>
      <c r="AV3" s="1028"/>
      <c r="AW3" s="1028"/>
      <c r="AX3" s="1028"/>
      <c r="AY3" s="1028"/>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1" t="s">
        <v>647</v>
      </c>
      <c r="C5" s="1031"/>
      <c r="D5" s="1031"/>
      <c r="E5" s="1031"/>
      <c r="F5" s="1031"/>
      <c r="G5" s="840"/>
      <c r="H5" s="840"/>
      <c r="I5" s="918"/>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899"/>
      <c r="G6" s="333">
        <v>41792</v>
      </c>
      <c r="I6" s="919"/>
      <c r="AF6" s="362">
        <f>IF(C6="N",0,1)</f>
        <v>1</v>
      </c>
      <c r="AG6" s="58"/>
      <c r="AH6" s="809">
        <f>IF(C6="N",S.Overview.BANNER.Start,G6)</f>
        <v>41792</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2"/>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32"/>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32"/>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2">
        <f>IF(S.SIP.Involved="N",,IF(S.General.Complexity=1,0,45))</f>
        <v>45</v>
      </c>
      <c r="G20" s="843" t="s">
        <v>0</v>
      </c>
      <c r="H20" s="265">
        <f>AH20</f>
        <v>41866</v>
      </c>
      <c r="I20" s="922">
        <f>IF(S.SIP.Involved="N",,IF(S.General.Complexity=1,0,45))</f>
        <v>45</v>
      </c>
      <c r="AF20" s="362">
        <f>IF(S.SIP.Involved="Y",1,0)</f>
        <v>1</v>
      </c>
      <c r="AG20" s="48"/>
      <c r="AH20" s="916">
        <f>IF(S.SIP.Involved="N",,IF(S.Notice.Involved="N","ERROR",WORKDAY(S.Notice.SubmitToSOS-60,-1,S.DDL_DEQClosed)))</f>
        <v>41866</v>
      </c>
      <c r="AI20" s="868"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769</v>
      </c>
      <c r="G22" s="977">
        <f>AG22</f>
        <v>41792</v>
      </c>
      <c r="H22" s="978">
        <f>AH22</f>
        <v>41963</v>
      </c>
      <c r="I22" s="922"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41963</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41866</v>
      </c>
      <c r="H23" s="291">
        <f>AH23</f>
        <v>41873</v>
      </c>
      <c r="I23" s="922">
        <f>IF(S.Notice.Involved="N",0,10)</f>
        <v>10</v>
      </c>
      <c r="AF23" s="361">
        <f>IF(S.Notice.Involved="Y",1,0)</f>
        <v>1</v>
      </c>
      <c r="AG23" s="60">
        <f>IF(S.Notice.Involved="N",,WORKDAY(H23-F23+1,-1,S.DDL_DEQClosed))</f>
        <v>41866</v>
      </c>
      <c r="AH23" s="60">
        <f>IF(S.Notice.Involved="N",,WORKDAY(G24-9,-1,S.DDL_DEQClosed))</f>
        <v>41873</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41883</v>
      </c>
      <c r="H24" s="309">
        <f t="shared" ref="H24" si="1">AH24</f>
        <v>41894</v>
      </c>
      <c r="I24" s="922">
        <f>IF(S.Notice.Involved="N",0,IF(S.General.Complexity=1,7,IF(S.General.Complexity=2,14,21)))</f>
        <v>14</v>
      </c>
      <c r="AF24" s="361">
        <f>IF(S.Notice.Involved="Y",1,0)</f>
        <v>1</v>
      </c>
      <c r="AG24" s="60">
        <f>IF(S.Notice.Involved="N",,WORKDAY(H24-F24+1,-1,S.DDL_DEQClosed))</f>
        <v>41883</v>
      </c>
      <c r="AH24" s="60">
        <f>IF(S.Notice.Involved="N",,WORKDAY(S.Notice.Submit.ToADA-13,-1,S.DDL_DEQClosed))</f>
        <v>41894</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5</v>
      </c>
      <c r="G25" s="913">
        <f>AG25</f>
        <v>41908</v>
      </c>
      <c r="H25" s="309">
        <f>AH25</f>
        <v>41913</v>
      </c>
      <c r="I25" s="922">
        <v>7</v>
      </c>
      <c r="J25"/>
      <c r="K25"/>
      <c r="L25"/>
      <c r="M25"/>
      <c r="N25"/>
      <c r="O25"/>
      <c r="P25"/>
      <c r="Q25"/>
      <c r="R25"/>
      <c r="S25"/>
      <c r="T25"/>
      <c r="U25"/>
      <c r="X25"/>
      <c r="AB25"/>
      <c r="AC25"/>
      <c r="AF25" s="361">
        <f>IF(S.Notice.Involved="Y",1,0)</f>
        <v>1</v>
      </c>
      <c r="AG25" s="60">
        <f>IF(S.Notice.Involved="N",,WORKDAY(H25-F25+1,-1,S.DDL_DEQClosed))</f>
        <v>41908</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5" t="s">
        <v>687</v>
      </c>
      <c r="D27" s="1035"/>
      <c r="E27" s="1035"/>
      <c r="F27" s="1035"/>
      <c r="G27" s="1036"/>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f>AH31</f>
        <v>41960</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41963</v>
      </c>
      <c r="I32" s="925"/>
      <c r="AF32" s="361">
        <f>IF(S.Hearing.1stInvolve="N",0,1)</f>
        <v>1</v>
      </c>
      <c r="AG32" s="48"/>
      <c r="AH32" s="60">
        <f>IF(AF32=0,,IF(S.Notice.Involved="N",S.DIRECTOR.Approves.ForDEQRulemakingPlan,WORKDAY(S.Notice.LastHearingDate+2,1,S.DDL_DEQClosed)))</f>
        <v>41963</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694</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5" t="s">
        <v>687</v>
      </c>
      <c r="D42" s="1035"/>
      <c r="E42" s="1035"/>
      <c r="F42" s="1035"/>
      <c r="G42" s="1036"/>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9" t="s">
        <v>0</v>
      </c>
      <c r="H43" s="1039"/>
      <c r="I43" s="928">
        <v>-55</v>
      </c>
      <c r="J43"/>
      <c r="K43"/>
      <c r="L43"/>
      <c r="M43"/>
      <c r="N43"/>
      <c r="O43"/>
      <c r="P43"/>
      <c r="Q43"/>
      <c r="R43"/>
      <c r="S43"/>
      <c r="T43"/>
      <c r="U43"/>
      <c r="X43"/>
      <c r="AB43"/>
      <c r="AC43"/>
      <c r="AF43" s="361">
        <v>1</v>
      </c>
      <c r="AG43" s="1033" t="s">
        <v>760</v>
      </c>
      <c r="AH43" s="1033"/>
      <c r="AI43" s="1033"/>
      <c r="AJ43" s="1033"/>
      <c r="AK43" s="1033"/>
      <c r="AL43" s="76"/>
    </row>
    <row r="44" spans="1:39" s="23" customFormat="1" ht="14.1" hidden="1" customHeight="1" thickTop="1">
      <c r="A44" s="145"/>
      <c r="C44" s="335"/>
      <c r="D44"/>
      <c r="G44" s="1039"/>
      <c r="H44" s="1039"/>
      <c r="I44" s="924">
        <f>SUM(I8:I42)</f>
        <v>321</v>
      </c>
      <c r="J44"/>
      <c r="K44"/>
      <c r="L44"/>
      <c r="M44"/>
      <c r="N44"/>
      <c r="O44"/>
      <c r="P44"/>
      <c r="Q44"/>
      <c r="R44"/>
      <c r="S44"/>
      <c r="T44"/>
      <c r="U44"/>
      <c r="X44"/>
      <c r="AB44"/>
      <c r="AC44"/>
      <c r="AF44" s="361">
        <v>1</v>
      </c>
      <c r="AG44" s="1033" t="s">
        <v>761</v>
      </c>
      <c r="AH44" s="1033"/>
      <c r="AI44" s="1033"/>
      <c r="AJ44" s="1033"/>
      <c r="AK44" s="1033"/>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0"/>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0"/>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0"/>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0"/>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5"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25" t="s">
        <v>753</v>
      </c>
      <c r="C91" s="1026"/>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0"/>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0"/>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788</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789</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6"/>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6"/>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0" t="s">
        <v>734</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6"/>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6"/>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6"/>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6"/>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730</v>
      </c>
      <c r="C156" s="563"/>
      <c r="D156" s="194" t="s">
        <v>696</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79"/>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79"/>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0"/>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0" t="s">
        <v>586</v>
      </c>
      <c r="E217" s="1020"/>
      <c r="F217" s="1020"/>
      <c r="G217" s="1020"/>
      <c r="H217" s="1020"/>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29" t="s">
        <v>585</v>
      </c>
      <c r="E218" s="1030"/>
      <c r="F218" s="1030"/>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1" t="s">
        <v>16</v>
      </c>
      <c r="D219" s="1021">
        <v>1</v>
      </c>
      <c r="E219" s="1022"/>
      <c r="F219" s="1022"/>
      <c r="G219" s="253">
        <f t="shared" ref="G219:G227" si="9">AG219</f>
        <v>41960</v>
      </c>
      <c r="H219" s="760" t="s">
        <v>304</v>
      </c>
      <c r="I219" s="745"/>
      <c r="J219"/>
      <c r="K219"/>
      <c r="L219"/>
      <c r="M219"/>
      <c r="N219"/>
      <c r="O219"/>
      <c r="P219"/>
      <c r="Q219"/>
      <c r="R219"/>
      <c r="S219"/>
      <c r="T219"/>
      <c r="U219"/>
      <c r="X219"/>
      <c r="AB219"/>
      <c r="AC219"/>
      <c r="AF219" s="361">
        <f>IF(S.Hearing.1stInvolve="Y",1,0)</f>
        <v>1</v>
      </c>
      <c r="AG219" s="60">
        <f>S.Hearing.1stDate</f>
        <v>41960</v>
      </c>
      <c r="AH219" s="387" t="s">
        <v>67</v>
      </c>
      <c r="AI219" s="34"/>
      <c r="AJ219" s="43"/>
      <c r="AK219" s="43"/>
      <c r="AL219" s="76"/>
    </row>
    <row r="220" spans="1:38" s="23" customFormat="1" ht="15" customHeight="1" outlineLevel="1" thickBot="1">
      <c r="A220" s="145"/>
      <c r="B220" s="758" t="s">
        <v>791</v>
      </c>
      <c r="C220" s="962" t="s">
        <v>16</v>
      </c>
      <c r="D220" s="1021">
        <v>2</v>
      </c>
      <c r="E220" s="1022"/>
      <c r="F220" s="1022"/>
      <c r="G220" s="253">
        <f t="shared" si="9"/>
        <v>41960</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41960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1021">
        <v>3</v>
      </c>
      <c r="E221" s="1022"/>
      <c r="F221" s="1022"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1021">
        <v>4</v>
      </c>
      <c r="E222" s="1022"/>
      <c r="F222" s="1022"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1021">
        <v>5</v>
      </c>
      <c r="E223" s="1022"/>
      <c r="F223" s="1022"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1021">
        <v>6</v>
      </c>
      <c r="E224" s="1022"/>
      <c r="F224" s="1022"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1021">
        <v>7</v>
      </c>
      <c r="E225" s="1022"/>
      <c r="F225" s="1022"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1021" t="s">
        <v>0</v>
      </c>
      <c r="E226" s="1022"/>
      <c r="F226" s="1022"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2"/>
      <c r="F227" s="822" t="s">
        <v>0</v>
      </c>
      <c r="G227" s="764">
        <f t="shared" si="9"/>
        <v>41960</v>
      </c>
      <c r="H227" s="761"/>
      <c r="I227" s="745"/>
      <c r="J227"/>
      <c r="K227"/>
      <c r="L227"/>
      <c r="M227"/>
      <c r="N227"/>
      <c r="O227"/>
      <c r="P227"/>
      <c r="Q227"/>
      <c r="R227"/>
      <c r="S227"/>
      <c r="T227"/>
      <c r="U227"/>
      <c r="X227"/>
      <c r="AB227"/>
      <c r="AC227"/>
      <c r="AF227" s="361">
        <f>IF(S.Hearing.1stInvolve="Y",1,0)</f>
        <v>1</v>
      </c>
      <c r="AG227" s="60">
        <f>IF(AF227=0,,MAX(G219:G226))</f>
        <v>41960</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41904</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41904</v>
      </c>
      <c r="I233" s="745"/>
      <c r="AF233" s="361">
        <f>IF(AND(S.Notice.Involved="Y",S.Notice.AD.Involved="Y"),1,0)</f>
        <v>1</v>
      </c>
      <c r="AG233" s="60">
        <f>IF(AF233=0,,IF(S.Notice.AD.Involved="N",,S.Notice.BANNER.Begin))</f>
        <v>41792</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1040" t="s">
        <v>598</v>
      </c>
      <c r="D235" s="1040"/>
      <c r="E235" s="1040"/>
      <c r="F235" s="1040"/>
      <c r="G235" s="1040"/>
      <c r="H235" s="1040"/>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6" t="s">
        <v>601</v>
      </c>
      <c r="E237" s="997"/>
      <c r="F237" s="997"/>
      <c r="G237" s="998"/>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6">
        <v>2</v>
      </c>
      <c r="D238" s="996" t="s">
        <v>606</v>
      </c>
      <c r="E238" s="997"/>
      <c r="F238" s="997"/>
      <c r="G238" s="998"/>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6">
        <v>3</v>
      </c>
      <c r="D239" s="996" t="s">
        <v>608</v>
      </c>
      <c r="E239" s="997"/>
      <c r="F239" s="997"/>
      <c r="G239" s="998"/>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6" t="s">
        <v>608</v>
      </c>
      <c r="E240" s="997"/>
      <c r="F240" s="997"/>
      <c r="G240" s="998"/>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6" t="s">
        <v>608</v>
      </c>
      <c r="E241" s="997"/>
      <c r="F241" s="997"/>
      <c r="G241" s="998"/>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6" t="s">
        <v>608</v>
      </c>
      <c r="E242" s="997"/>
      <c r="F242" s="997"/>
      <c r="G242" s="998"/>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6" t="s">
        <v>608</v>
      </c>
      <c r="E243" s="997"/>
      <c r="F243" s="997"/>
      <c r="G243" s="998"/>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23" t="s">
        <v>608</v>
      </c>
      <c r="E244" s="1023"/>
      <c r="F244" s="1023"/>
      <c r="G244" s="1024"/>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08" t="s">
        <v>617</v>
      </c>
      <c r="D249" s="1008"/>
      <c r="E249" s="1008"/>
      <c r="F249" s="1008"/>
      <c r="G249" s="1009"/>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41908</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41908</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1041" t="str">
        <f>AK259</f>
        <v/>
      </c>
      <c r="G257" s="1042"/>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1"/>
      <c r="G258" s="1042"/>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1"/>
      <c r="G259" s="1042"/>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1"/>
      <c r="G260" s="1042"/>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1"/>
      <c r="G261" s="1042"/>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4"/>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4"/>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4"/>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2" t="str">
        <f>AK12</f>
        <v>Advisory Committee - not involved</v>
      </c>
      <c r="C287" s="1002"/>
      <c r="D287" s="1002"/>
      <c r="E287" s="1002"/>
      <c r="F287" s="1002"/>
      <c r="G287" s="1002"/>
      <c r="H287" s="1002"/>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1037" t="s">
        <v>220</v>
      </c>
      <c r="E377" s="1037"/>
      <c r="F377" s="1037"/>
      <c r="G377" s="1038"/>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1037" t="s">
        <v>219</v>
      </c>
      <c r="E400" s="1037"/>
      <c r="F400" s="1037"/>
      <c r="G400" s="1038"/>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37" t="s">
        <v>217</v>
      </c>
      <c r="E423" s="1037"/>
      <c r="F423" s="1037"/>
      <c r="G423" s="1038"/>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37" t="s">
        <v>218</v>
      </c>
      <c r="E446" s="1037"/>
      <c r="F446" s="1037"/>
      <c r="G446" s="1038"/>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7" t="str">
        <f>AK14</f>
        <v>Fees - not involved</v>
      </c>
      <c r="C452" s="1027"/>
      <c r="D452" s="1027"/>
      <c r="E452" s="1027"/>
      <c r="F452" s="1027"/>
      <c r="G452" s="1027"/>
      <c r="H452" s="1027"/>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1" t="str">
        <f>AK22</f>
        <v>Public Notice</v>
      </c>
      <c r="C487" s="1001"/>
      <c r="D487" s="1001"/>
      <c r="E487" s="1001"/>
      <c r="F487" s="1001"/>
      <c r="G487" s="1001"/>
      <c r="H487" s="1001"/>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8" t="s">
        <v>0</v>
      </c>
      <c r="C489" s="1018"/>
      <c r="D489" s="1018"/>
      <c r="E489" s="1018"/>
      <c r="F489" s="1018"/>
      <c r="G489" s="175">
        <f>AG489</f>
        <v>41792</v>
      </c>
      <c r="H489" s="126">
        <f>AH489</f>
        <v>41963</v>
      </c>
      <c r="I489" s="745"/>
      <c r="AF489" s="361">
        <f>IF(S.Notice.Involved="Y",1,0)</f>
        <v>1</v>
      </c>
      <c r="AG489" s="60">
        <f>S.Notice.BANNER.Begin</f>
        <v>41792</v>
      </c>
      <c r="AH489" s="60">
        <f>S.Notice.BANNER.End</f>
        <v>41963</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41792</v>
      </c>
      <c r="H493" s="939">
        <f t="shared" ref="H493" si="67">AH493</f>
        <v>41864</v>
      </c>
      <c r="I493" s="745"/>
      <c r="AF493" s="361">
        <f t="shared" si="65"/>
        <v>1</v>
      </c>
      <c r="AG493" s="566">
        <f>IF(AF493=0,,S.Notice.BANNER.Begin)</f>
        <v>41792</v>
      </c>
      <c r="AH493" s="566">
        <f>IF(AF493=0,,WORKDAY(S.Notice.Submit.ToSponsoringMgr-1,-1,S.DDL_DEQClosed))</f>
        <v>41864</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593</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582</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618</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619</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620</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621</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622</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623</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624</v>
      </c>
      <c r="C504" s="282" t="s">
        <v>0</v>
      </c>
      <c r="D504"/>
      <c r="G504" s="940"/>
      <c r="H504" s="941"/>
      <c r="I504" s="745"/>
      <c r="AF504" s="361">
        <f t="shared" si="65"/>
        <v>1</v>
      </c>
      <c r="AG504" s="58"/>
      <c r="AH504" s="566">
        <f>S.Notice.Submit.ToRG</f>
        <v>41883</v>
      </c>
      <c r="AI504" s="59"/>
      <c r="AJ504" s="59"/>
      <c r="AK504" s="44"/>
      <c r="AL504" s="76"/>
    </row>
    <row r="505" spans="1:38" s="23" customFormat="1" ht="14.1" customHeight="1" outlineLevel="1">
      <c r="A505" s="145"/>
      <c r="B505" s="772" t="s">
        <v>625</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41792</v>
      </c>
      <c r="H507" s="943">
        <f t="shared" ref="H507:H520" si="69">AH507</f>
        <v>41864</v>
      </c>
      <c r="I507" s="745"/>
      <c r="AF507" s="361">
        <f t="shared" si="65"/>
        <v>1</v>
      </c>
      <c r="AG507" s="566">
        <f>IF(AF507=0,,S.Notice.BANNER.Begin)</f>
        <v>41792</v>
      </c>
      <c r="AH507" s="566">
        <f>IF(AF507=0,,WORKDAY(S.Notice.Submit.ToSponsoringMgr-1,-1,S.DDL_DEQClosed))</f>
        <v>41864</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41792</v>
      </c>
      <c r="H509" s="947">
        <f t="shared" si="69"/>
        <v>41864</v>
      </c>
      <c r="I509" s="745"/>
      <c r="J509"/>
      <c r="K509"/>
      <c r="L509"/>
      <c r="M509"/>
      <c r="N509"/>
      <c r="O509"/>
      <c r="P509"/>
      <c r="Q509"/>
      <c r="R509"/>
      <c r="S509"/>
      <c r="T509"/>
      <c r="U509"/>
      <c r="X509"/>
      <c r="AB509"/>
      <c r="AC509"/>
      <c r="AF509" s="361">
        <f t="shared" si="65"/>
        <v>1</v>
      </c>
      <c r="AG509" s="566">
        <f>$G$507</f>
        <v>41792</v>
      </c>
      <c r="AH509" s="566">
        <f>$H$507</f>
        <v>41864</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7"/>
      <c r="F510"/>
      <c r="G510" s="946">
        <f t="shared" si="68"/>
        <v>41792</v>
      </c>
      <c r="H510" s="947">
        <f t="shared" si="69"/>
        <v>41864</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41864</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41792</v>
      </c>
      <c r="H511" s="947">
        <f t="shared" si="69"/>
        <v>41864</v>
      </c>
      <c r="I511" s="745"/>
      <c r="J511"/>
      <c r="K511"/>
      <c r="L511"/>
      <c r="M511"/>
      <c r="N511"/>
      <c r="O511"/>
      <c r="P511"/>
      <c r="Q511"/>
      <c r="R511"/>
      <c r="S511"/>
      <c r="T511"/>
      <c r="U511"/>
      <c r="X511"/>
      <c r="AB511"/>
      <c r="AC511"/>
      <c r="AF511" s="361">
        <f>IF(AND(S.SIP.Involved="Y",S.Notice.Involved="Y"),1,0)</f>
        <v>1</v>
      </c>
      <c r="AG511" s="566">
        <f t="shared" si="70"/>
        <v>41792</v>
      </c>
      <c r="AH511" s="566">
        <f t="shared" si="71"/>
        <v>41864</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41792</v>
      </c>
      <c r="H512" s="947">
        <f t="shared" si="69"/>
        <v>41864</v>
      </c>
      <c r="I512" s="745"/>
      <c r="AF512" s="361">
        <f t="shared" ref="AF512:AF538" si="73">IF(S.Notice.Involved="Y",1,0)</f>
        <v>1</v>
      </c>
      <c r="AG512" s="566">
        <f t="shared" si="70"/>
        <v>41792</v>
      </c>
      <c r="AH512" s="566">
        <f t="shared" si="71"/>
        <v>41864</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632</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41792</v>
      </c>
      <c r="H515" s="947">
        <f t="shared" si="69"/>
        <v>41864</v>
      </c>
      <c r="I515" s="745"/>
      <c r="AF515" s="361">
        <f t="shared" si="73"/>
        <v>1</v>
      </c>
      <c r="AG515" s="566">
        <f t="shared" ref="AG515:AG530" si="75">$G$507</f>
        <v>41792</v>
      </c>
      <c r="AH515" s="566">
        <f t="shared" ref="AH515:AH530" si="76">$H$507</f>
        <v>41864</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41792</v>
      </c>
      <c r="H516" s="947">
        <f t="shared" si="69"/>
        <v>41864</v>
      </c>
      <c r="I516" s="745"/>
      <c r="AF516" s="361">
        <f t="shared" si="73"/>
        <v>1</v>
      </c>
      <c r="AG516" s="566">
        <f t="shared" si="75"/>
        <v>41792</v>
      </c>
      <c r="AH516" s="566">
        <f t="shared" si="76"/>
        <v>41864</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41792</v>
      </c>
      <c r="H517" s="947">
        <f t="shared" si="69"/>
        <v>41864</v>
      </c>
      <c r="I517" s="745"/>
      <c r="AF517" s="361">
        <f t="shared" si="73"/>
        <v>1</v>
      </c>
      <c r="AG517" s="566">
        <f t="shared" si="75"/>
        <v>41792</v>
      </c>
      <c r="AH517" s="566">
        <f t="shared" si="76"/>
        <v>41864</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7"/>
      <c r="F518"/>
      <c r="G518" s="946">
        <f t="shared" si="68"/>
        <v>41792</v>
      </c>
      <c r="H518" s="947">
        <f t="shared" si="69"/>
        <v>41864</v>
      </c>
      <c r="I518" s="745"/>
      <c r="J518"/>
      <c r="K518"/>
      <c r="L518"/>
      <c r="M518"/>
      <c r="N518"/>
      <c r="O518"/>
      <c r="P518"/>
      <c r="Q518"/>
      <c r="R518"/>
      <c r="S518"/>
      <c r="T518"/>
      <c r="U518"/>
      <c r="X518"/>
      <c r="AB518"/>
      <c r="AC518"/>
      <c r="AF518" s="361">
        <f t="shared" si="73"/>
        <v>1</v>
      </c>
      <c r="AG518" s="566">
        <f t="shared" si="75"/>
        <v>41792</v>
      </c>
      <c r="AH518" s="566">
        <f t="shared" si="76"/>
        <v>41864</v>
      </c>
      <c r="AI518" s="59"/>
      <c r="AJ518" s="59"/>
      <c r="AK518" s="44"/>
      <c r="AL518" s="76"/>
    </row>
    <row r="519" spans="1:38" s="23" customFormat="1" ht="14.1" hidden="1" customHeight="1" outlineLevel="1">
      <c r="A519" s="145"/>
      <c r="B519" s="743" t="s">
        <v>576</v>
      </c>
      <c r="C519" s="545" t="s">
        <v>0</v>
      </c>
      <c r="D519" s="713"/>
      <c r="E519" s="887"/>
      <c r="F519"/>
      <c r="G519" s="946">
        <f t="shared" si="68"/>
        <v>41792</v>
      </c>
      <c r="H519" s="947">
        <f t="shared" si="69"/>
        <v>41864</v>
      </c>
      <c r="I519" s="745"/>
      <c r="J519"/>
      <c r="K519"/>
      <c r="L519"/>
      <c r="M519"/>
      <c r="N519"/>
      <c r="O519"/>
      <c r="P519"/>
      <c r="Q519"/>
      <c r="R519"/>
      <c r="S519"/>
      <c r="T519"/>
      <c r="U519"/>
      <c r="X519"/>
      <c r="AB519"/>
      <c r="AC519"/>
      <c r="AF519" s="361">
        <f t="shared" si="73"/>
        <v>1</v>
      </c>
      <c r="AG519" s="566">
        <f t="shared" si="75"/>
        <v>41792</v>
      </c>
      <c r="AH519" s="566">
        <f t="shared" si="76"/>
        <v>41864</v>
      </c>
      <c r="AI519" s="59"/>
      <c r="AJ519" s="59"/>
      <c r="AK519" s="44"/>
      <c r="AL519" s="76"/>
    </row>
    <row r="520" spans="1:38" s="23" customFormat="1" ht="14.1" hidden="1" customHeight="1" outlineLevel="1">
      <c r="A520" s="145"/>
      <c r="B520" s="743" t="s">
        <v>576</v>
      </c>
      <c r="C520" s="545" t="s">
        <v>0</v>
      </c>
      <c r="D520" s="713"/>
      <c r="E520" s="887"/>
      <c r="F520"/>
      <c r="G520" s="946">
        <f t="shared" si="68"/>
        <v>41792</v>
      </c>
      <c r="H520" s="947">
        <f t="shared" si="69"/>
        <v>41864</v>
      </c>
      <c r="I520" s="745"/>
      <c r="J520"/>
      <c r="K520"/>
      <c r="L520"/>
      <c r="M520"/>
      <c r="N520"/>
      <c r="O520"/>
      <c r="P520"/>
      <c r="Q520"/>
      <c r="R520"/>
      <c r="S520"/>
      <c r="T520"/>
      <c r="U520"/>
      <c r="X520"/>
      <c r="AB520"/>
      <c r="AC520"/>
      <c r="AF520" s="361">
        <f t="shared" si="73"/>
        <v>1</v>
      </c>
      <c r="AG520" s="566">
        <f t="shared" si="75"/>
        <v>41792</v>
      </c>
      <c r="AH520" s="566">
        <f t="shared" si="76"/>
        <v>41864</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41792</v>
      </c>
      <c r="H521" s="949">
        <f t="shared" ref="H521" si="79">AH521</f>
        <v>41864</v>
      </c>
      <c r="I521" s="745"/>
      <c r="AF521" s="361">
        <f t="shared" ref="AF521:AF572" si="80">IF(S.Notice.Involved="Y",1,0)</f>
        <v>1</v>
      </c>
      <c r="AG521" s="566">
        <f t="shared" si="75"/>
        <v>41792</v>
      </c>
      <c r="AH521" s="566">
        <f t="shared" si="76"/>
        <v>41864</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41792</v>
      </c>
      <c r="H530" s="949">
        <f t="shared" ref="H530" si="83">AH530</f>
        <v>41864</v>
      </c>
      <c r="I530" s="745"/>
      <c r="AF530" s="361">
        <f t="shared" si="80"/>
        <v>1</v>
      </c>
      <c r="AG530" s="566">
        <f t="shared" si="75"/>
        <v>41792</v>
      </c>
      <c r="AH530" s="566">
        <f t="shared" si="76"/>
        <v>41864</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4" t="s">
        <v>629</v>
      </c>
      <c r="D539" s="984"/>
      <c r="E539" s="984"/>
      <c r="F539" s="984"/>
      <c r="G539" s="985"/>
      <c r="H539" s="256">
        <f t="shared" ref="H539" si="86">AH539</f>
        <v>41848</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41848</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4" t="s">
        <v>628</v>
      </c>
      <c r="D540" s="1010"/>
      <c r="E540" s="1010"/>
      <c r="F540" s="1010"/>
      <c r="G540" s="1011"/>
      <c r="H540" s="263">
        <f>AH540</f>
        <v>41907</v>
      </c>
      <c r="I540" s="745"/>
      <c r="J540"/>
      <c r="K540"/>
      <c r="L540"/>
      <c r="M540"/>
      <c r="N540"/>
      <c r="O540"/>
      <c r="P540"/>
      <c r="Q540"/>
      <c r="R540"/>
      <c r="S540"/>
      <c r="T540"/>
      <c r="U540"/>
      <c r="X540"/>
      <c r="AB540"/>
      <c r="AC540"/>
      <c r="AF540" s="361">
        <f t="shared" si="87"/>
        <v>1</v>
      </c>
      <c r="AG540" s="58"/>
      <c r="AH540" s="60">
        <f>IF(AF540=0,,WORKDAY(S.Notice.Submit.ToADA,-1,S.DDL_DEQClosed))</f>
        <v>41907</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4" t="s">
        <v>627</v>
      </c>
      <c r="D541" s="984"/>
      <c r="E541" s="984"/>
      <c r="F541" s="984"/>
      <c r="G541" s="985"/>
      <c r="H541" s="263">
        <f>AH541</f>
        <v>41908</v>
      </c>
      <c r="I541" s="745"/>
      <c r="J541"/>
      <c r="K541"/>
      <c r="L541"/>
      <c r="M541"/>
      <c r="N541"/>
      <c r="O541"/>
      <c r="P541"/>
      <c r="Q541"/>
      <c r="R541"/>
      <c r="S541"/>
      <c r="T541"/>
      <c r="U541"/>
      <c r="X541"/>
      <c r="AB541"/>
      <c r="AC541"/>
      <c r="AF541" s="361">
        <f t="shared" si="87"/>
        <v>1</v>
      </c>
      <c r="AG541" s="58"/>
      <c r="AH541" s="60">
        <f>IF(AF541=0,,S.Notice.Submit.ToADA)</f>
        <v>41908</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4" t="s">
        <v>627</v>
      </c>
      <c r="D543" s="984"/>
      <c r="E543" s="984"/>
      <c r="F543" s="984"/>
      <c r="G543" s="985"/>
      <c r="H543" s="263">
        <f>AH543</f>
        <v>41866</v>
      </c>
      <c r="I543" s="745"/>
      <c r="AF543" s="361">
        <f t="shared" si="87"/>
        <v>1</v>
      </c>
      <c r="AG543" s="58"/>
      <c r="AH543" s="60">
        <f>IF(AF543=0,,S.Notice.Submit.ToSponsoringMgr)</f>
        <v>41866</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3" t="s">
        <v>688</v>
      </c>
      <c r="H562" s="1004"/>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2">
        <f>AG563</f>
        <v>41866</v>
      </c>
      <c r="H563" s="933">
        <f>AH563</f>
        <v>41873</v>
      </c>
      <c r="I563" s="745"/>
      <c r="AE563" s="859"/>
      <c r="AF563" s="361">
        <f t="shared" si="80"/>
        <v>1</v>
      </c>
      <c r="AG563" s="60">
        <f>S.Notice.Submit.ToSponsoringMgr</f>
        <v>41866</v>
      </c>
      <c r="AH563" s="60">
        <f>H23</f>
        <v>41873</v>
      </c>
      <c r="AI563" s="59"/>
      <c r="AJ563" s="59"/>
      <c r="AK563" s="44"/>
      <c r="AL563" s="76"/>
    </row>
    <row r="564" spans="1:38" s="23" customFormat="1" ht="14.1" customHeight="1">
      <c r="A564" s="145"/>
      <c r="B564" s="269" t="s">
        <v>766</v>
      </c>
      <c r="C564" s="282" t="s">
        <v>0</v>
      </c>
      <c r="G564" s="934" t="s">
        <v>764</v>
      </c>
      <c r="H564" s="935" t="s">
        <v>763</v>
      </c>
      <c r="I564" s="745"/>
      <c r="AE564" s="859"/>
      <c r="AF564" s="361">
        <f t="shared" si="80"/>
        <v>1</v>
      </c>
      <c r="AG564" s="59"/>
      <c r="AH564" s="59"/>
      <c r="AI564" s="59"/>
      <c r="AJ564" s="59"/>
      <c r="AK564" s="44"/>
      <c r="AL564" s="76"/>
    </row>
    <row r="565" spans="1:38" s="23" customFormat="1" ht="14.1" customHeight="1" thickBot="1">
      <c r="A565" s="145"/>
      <c r="B565" s="269" t="s">
        <v>759</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41876</v>
      </c>
      <c r="H569" s="953">
        <f>AH569</f>
        <v>41880</v>
      </c>
      <c r="I569" s="745"/>
      <c r="AF569" s="361">
        <f t="shared" si="80"/>
        <v>1</v>
      </c>
      <c r="AG569" s="60">
        <f>WORKDAY(H563,1,S.DDL_DEQClosed)</f>
        <v>41876</v>
      </c>
      <c r="AH569" s="60">
        <f>IF(AF569=0,,WORKDAY(S.Notice.Submit.ToRG,-1,S.DDL_DEQClosed))</f>
        <v>41880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9" t="s">
        <v>613</v>
      </c>
      <c r="H572" s="1000"/>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6"/>
      <c r="F573"/>
      <c r="G573" s="950">
        <f>AG573</f>
        <v>41883</v>
      </c>
      <c r="H573" s="933">
        <f>AH573</f>
        <v>41894</v>
      </c>
      <c r="I573" s="745"/>
      <c r="AF573" s="361">
        <f t="shared" ref="AF573:AF580" si="94">IF(S.Notice.Involved="Y",1,0)</f>
        <v>1</v>
      </c>
      <c r="AG573" s="566">
        <f>S.Notice.Submit.ToRG</f>
        <v>41883</v>
      </c>
      <c r="AH573" s="566">
        <f>H24</f>
        <v>41894</v>
      </c>
      <c r="AI573" s="58"/>
      <c r="AJ573" s="44"/>
      <c r="AK573" s="44"/>
      <c r="AL573" s="76"/>
    </row>
    <row r="574" spans="1:38" s="23" customFormat="1" ht="14.1" customHeight="1" thickBot="1">
      <c r="A574" s="145"/>
      <c r="B574" s="269" t="s">
        <v>610</v>
      </c>
      <c r="C574" s="268"/>
      <c r="D574"/>
      <c r="F574"/>
      <c r="G574" s="958" t="s">
        <v>764</v>
      </c>
      <c r="H574" s="959"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41897</v>
      </c>
      <c r="H579" s="256">
        <f t="shared" ref="H579:H584" si="97">AH579</f>
        <v>41900</v>
      </c>
      <c r="I579" s="930"/>
      <c r="AF579" s="361">
        <f t="shared" si="94"/>
        <v>1</v>
      </c>
      <c r="AG579" s="775">
        <f>WORKDAY(H573,1,S.DDL_DEQClosed)</f>
        <v>41897</v>
      </c>
      <c r="AH579" s="775">
        <f>WORKDAY(G579,3,S.DDL_DEQClosed)</f>
        <v>41900</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41901</v>
      </c>
      <c r="H580" s="256">
        <f t="shared" si="97"/>
        <v>41904</v>
      </c>
      <c r="I580" s="745"/>
      <c r="AF580" s="361">
        <f t="shared" si="94"/>
        <v>1</v>
      </c>
      <c r="AG580" s="60">
        <f>IF(AF580=0,,WORKDAY(H579,1,S.DDL_DEQClosed))</f>
        <v>41901</v>
      </c>
      <c r="AH580" s="60">
        <f>IF(AF580=0,,WORKDAY(G580,1,S.DDL_DEQClosed))</f>
        <v>41904</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41905</v>
      </c>
      <c r="H584" s="256">
        <f t="shared" si="97"/>
        <v>41906</v>
      </c>
      <c r="I584" s="745"/>
      <c r="AF584" s="361">
        <f t="shared" ref="AF584:AF592" si="100">IF(S.Notice.Involved="Y",1,0)</f>
        <v>1</v>
      </c>
      <c r="AG584" s="60">
        <f>WORKDAY(MAX(H562:H583),1,S.DDL_DEQClosed)</f>
        <v>41905</v>
      </c>
      <c r="AH584" s="60">
        <f>IF(AF584=0,,WORKDAY(G584,1,S.DDL_DEQClosed))</f>
        <v>41906</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41906</v>
      </c>
      <c r="I586" s="745"/>
      <c r="AF586" s="361">
        <f t="shared" si="100"/>
        <v>1</v>
      </c>
      <c r="AG586" s="59"/>
      <c r="AH586" s="60">
        <f>IF(AF586=0,,H584)</f>
        <v>41906</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762</v>
      </c>
      <c r="H589" s="256">
        <f>AH589</f>
        <v>41907</v>
      </c>
      <c r="I589" s="745"/>
      <c r="J589"/>
      <c r="K589"/>
      <c r="L589"/>
      <c r="M589"/>
      <c r="N589"/>
      <c r="O589"/>
      <c r="P589"/>
      <c r="Q589"/>
      <c r="R589"/>
      <c r="S589"/>
      <c r="T589"/>
      <c r="U589"/>
      <c r="X589"/>
      <c r="AB589"/>
      <c r="AC589"/>
      <c r="AF589" s="361">
        <f t="shared" si="100"/>
        <v>1</v>
      </c>
      <c r="AG589" s="59"/>
      <c r="AH589" s="60">
        <f>IF(AF540=0,,WORKDAY(S.Notice.Submit.ToADA,-1,S.DDL_DEQClosed))</f>
        <v>41907</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2" t="s">
        <v>636</v>
      </c>
      <c r="H591" s="1013"/>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0"/>
      <c r="F593" s="781"/>
      <c r="G593" s="956">
        <f>AG593</f>
        <v>41908</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41908</v>
      </c>
      <c r="AH593" s="60">
        <f>IF(AF593=0,,AH25)</f>
        <v>41913</v>
      </c>
      <c r="AI593" s="59"/>
      <c r="AJ593" s="59"/>
      <c r="AK593" s="44"/>
      <c r="AL593" s="76"/>
    </row>
    <row r="594" spans="1:39" s="23" customFormat="1" ht="14.1" customHeight="1" thickBot="1">
      <c r="A594" s="145"/>
      <c r="C594" s="545" t="s">
        <v>0</v>
      </c>
      <c r="D594" s="583"/>
      <c r="E594" s="40"/>
      <c r="F594" s="781"/>
      <c r="G594" s="1014" t="s">
        <v>637</v>
      </c>
      <c r="H594" s="1015"/>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41908</v>
      </c>
      <c r="H596" s="265">
        <f>AH596</f>
        <v>41918</v>
      </c>
      <c r="I596" s="745"/>
      <c r="J596"/>
      <c r="K596"/>
      <c r="L596"/>
      <c r="M596"/>
      <c r="N596"/>
      <c r="O596"/>
      <c r="P596"/>
      <c r="Q596"/>
      <c r="R596"/>
      <c r="S596"/>
      <c r="T596"/>
      <c r="U596"/>
      <c r="X596"/>
      <c r="AB596"/>
      <c r="AC596"/>
      <c r="AF596" s="361">
        <f t="shared" si="102"/>
        <v>1</v>
      </c>
      <c r="AG596" s="60">
        <f>IF(AF596=0,,S.Notice.PreviewBegin)</f>
        <v>41908</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3" t="s">
        <v>0</v>
      </c>
      <c r="D605" s="993"/>
      <c r="E605" s="993"/>
      <c r="F605" s="993"/>
      <c r="G605" s="993"/>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6"/>
      <c r="E609" s="1016"/>
      <c r="F609" s="1016"/>
      <c r="G609" s="1016"/>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1" t="s">
        <v>691</v>
      </c>
      <c r="D610" s="991"/>
      <c r="E610" s="991"/>
      <c r="F610" s="991"/>
      <c r="G610" s="992"/>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06" t="s">
        <v>654</v>
      </c>
      <c r="E626" s="1006"/>
      <c r="F626" s="1006"/>
      <c r="G626" s="1007"/>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05" t="s">
        <v>0</v>
      </c>
      <c r="E630" s="1006"/>
      <c r="F630" s="1006"/>
      <c r="G630" s="1007"/>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41963</v>
      </c>
      <c r="I645" s="745"/>
      <c r="J645"/>
      <c r="K645"/>
      <c r="L645"/>
      <c r="M645"/>
      <c r="N645"/>
      <c r="O645"/>
      <c r="P645"/>
      <c r="Q645"/>
      <c r="R645"/>
      <c r="S645"/>
      <c r="T645"/>
      <c r="U645"/>
      <c r="X645"/>
      <c r="AB645"/>
      <c r="AC645"/>
      <c r="AF645" s="361">
        <f t="shared" si="113"/>
        <v>1</v>
      </c>
      <c r="AG645" s="60">
        <f>IF(AF645=0,,S.Notice.OpenComment)</f>
        <v>41928</v>
      </c>
      <c r="AH645" s="60">
        <f>IF(AF645=0,,S.Notice.BANNER.End)</f>
        <v>41963</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41963</v>
      </c>
      <c r="I646" s="745"/>
      <c r="J646"/>
      <c r="K646"/>
      <c r="L646"/>
      <c r="M646"/>
      <c r="N646"/>
      <c r="O646"/>
      <c r="P646"/>
      <c r="Q646"/>
      <c r="R646"/>
      <c r="S646"/>
      <c r="T646"/>
      <c r="U646"/>
      <c r="X646"/>
      <c r="AB646"/>
      <c r="AC646"/>
      <c r="AF646" s="361">
        <f t="shared" si="113"/>
        <v>1</v>
      </c>
      <c r="AG646" s="60">
        <f>IF(AF646=0,,S.Notice.BANNER.Begin)</f>
        <v>41792</v>
      </c>
      <c r="AH646" s="60">
        <f>IF(AF646=0,,S.Notice.BANNER.End)</f>
        <v>41963</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5" t="str">
        <f>AK29</f>
        <v>Public Comment and Testimony</v>
      </c>
      <c r="C649" s="995"/>
      <c r="D649" s="995"/>
      <c r="E649" s="995"/>
      <c r="F649" s="995"/>
      <c r="G649" s="995"/>
      <c r="H649" s="995"/>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41975</v>
      </c>
      <c r="I651" s="745"/>
      <c r="AF651" s="361" t="s">
        <v>59</v>
      </c>
      <c r="AG651" s="60">
        <f>IF(S.Notice.Involved="N",,S.Notice.BANNER.Begin)</f>
        <v>41792</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41960</v>
      </c>
      <c r="I654" s="745"/>
      <c r="AF654" s="361">
        <f>IF(AND(S.Notice.Involved="Y",S.Hearing.1stInvolve="Y"),1,0)</f>
        <v>1</v>
      </c>
      <c r="AG654" s="60">
        <f>IF(AF654=0,,S.Hearing.BANNER.Begin)</f>
        <v>41927</v>
      </c>
      <c r="AH654" s="60">
        <f>S.Hearing.1stDate</f>
        <v>41960</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41960</v>
      </c>
      <c r="I668" s="745"/>
      <c r="J668"/>
      <c r="K668"/>
      <c r="L668"/>
      <c r="M668"/>
      <c r="N668"/>
      <c r="O668"/>
      <c r="P668"/>
      <c r="Q668"/>
      <c r="R668"/>
      <c r="S668"/>
      <c r="T668"/>
      <c r="U668"/>
      <c r="X668"/>
      <c r="AB668"/>
      <c r="AC668"/>
      <c r="AF668" s="361">
        <f>IF(S.Notice.Involved="Y",1,0)</f>
        <v>1</v>
      </c>
      <c r="AG668" s="60">
        <f>IF(AF668=0,,S.Hearing.BANNER.Begin)</f>
        <v>41927</v>
      </c>
      <c r="AH668" s="60">
        <f>S.Hearing.1stDate</f>
        <v>41960</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41960</v>
      </c>
      <c r="I669" s="745"/>
      <c r="J669"/>
      <c r="K669"/>
      <c r="L669"/>
      <c r="M669"/>
      <c r="N669"/>
      <c r="O669"/>
      <c r="P669"/>
      <c r="Q669"/>
      <c r="R669"/>
      <c r="S669"/>
      <c r="T669"/>
      <c r="U669"/>
      <c r="X669"/>
      <c r="AB669"/>
      <c r="AC669"/>
      <c r="AF669" s="361">
        <f>IF(S.Notice.Involved="Y",1,0)</f>
        <v>1</v>
      </c>
      <c r="AG669" s="60">
        <f>IF(AF669=0,,S.Hearing.BANNER.Begin)</f>
        <v>41927</v>
      </c>
      <c r="AH669" s="60">
        <f>S.Hearing.1stDate</f>
        <v>41960</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41960</v>
      </c>
      <c r="I671" s="745"/>
      <c r="AF671" s="361">
        <f>IF(AND(S.Notice.Involved="Y",S.Hearing.1stInvolve="Y",S.Hearing.2ndInvolve),1,0)</f>
        <v>1</v>
      </c>
      <c r="AG671" s="59"/>
      <c r="AH671" s="60">
        <f>S.Hearing.1stDate</f>
        <v>41960</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41960</v>
      </c>
      <c r="I673" s="745"/>
      <c r="AF673" s="361">
        <f>IF(AND(S.Notice.Involved="Y",S.Hearing.1stInvolve="Y",S.Hearing.2ndInvolve="Y"),1,0)</f>
        <v>1</v>
      </c>
      <c r="AG673" s="59"/>
      <c r="AH673" s="60">
        <f>IF(S.Hearing.2ndInvolve="N",,S.Hearing.2ndDate)</f>
        <v>41960</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11</v>
      </c>
      <c r="G687" s="299">
        <f t="shared" ref="G687" si="130">AG687</f>
        <v>41960</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41960</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987" t="s">
        <v>714</v>
      </c>
      <c r="E691" s="987"/>
      <c r="F691" s="987"/>
      <c r="G691" s="988"/>
      <c r="H691" s="388">
        <f>AH691</f>
        <v>41963</v>
      </c>
      <c r="I691" s="745"/>
      <c r="AF691" s="361">
        <f>IF(S.Notice.Involved="Y",1,0)</f>
        <v>1</v>
      </c>
      <c r="AG691" s="59"/>
      <c r="AH691" s="60">
        <f>S.Notice.CloseComment</f>
        <v>41963</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41960</v>
      </c>
      <c r="H692" s="299">
        <f>AH692</f>
        <v>41963</v>
      </c>
      <c r="I692" s="745"/>
      <c r="J692"/>
      <c r="K692"/>
      <c r="L692"/>
      <c r="M692"/>
      <c r="N692"/>
      <c r="O692"/>
      <c r="P692"/>
      <c r="Q692"/>
      <c r="R692"/>
      <c r="S692"/>
      <c r="T692"/>
      <c r="U692"/>
      <c r="X692"/>
      <c r="AB692"/>
      <c r="AC692"/>
      <c r="AF692" s="361">
        <f>IF(S.Notice.Involved="Y",1,0)</f>
        <v>1</v>
      </c>
      <c r="AG692" s="60">
        <f>IF(AF692=0,,S.Notice.LastHearingDate)</f>
        <v>41960</v>
      </c>
      <c r="AH692" s="60">
        <f>S.Notice.CloseComment</f>
        <v>41963</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41964</v>
      </c>
      <c r="I700" s="745"/>
      <c r="J700"/>
      <c r="K700"/>
      <c r="L700"/>
      <c r="M700"/>
      <c r="N700"/>
      <c r="O700"/>
      <c r="P700"/>
      <c r="Q700"/>
      <c r="R700"/>
      <c r="S700"/>
      <c r="T700"/>
      <c r="U700"/>
      <c r="X700"/>
      <c r="AB700"/>
      <c r="AC700"/>
      <c r="AF700" s="361">
        <f t="shared" ref="AF700:AF708" si="133">IF(S.Notice.Involved="Y",1,0)</f>
        <v>1</v>
      </c>
      <c r="AG700" s="58"/>
      <c r="AH700" s="60">
        <f>WORKDAY(H692,1,S.DDL_DEQClosed)</f>
        <v>41964</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41964</v>
      </c>
      <c r="H701" s="489">
        <f t="shared" ref="H701" si="135">AH701</f>
        <v>41964</v>
      </c>
      <c r="I701" s="745"/>
      <c r="J701"/>
      <c r="K701"/>
      <c r="L701"/>
      <c r="M701"/>
      <c r="N701"/>
      <c r="O701"/>
      <c r="P701"/>
      <c r="Q701"/>
      <c r="R701"/>
      <c r="S701"/>
      <c r="T701"/>
      <c r="U701"/>
      <c r="X701"/>
      <c r="AB701"/>
      <c r="AC701"/>
      <c r="AF701" s="361">
        <f t="shared" si="133"/>
        <v>1</v>
      </c>
      <c r="AG701" s="60">
        <f>IF(AF701=0,,H700)</f>
        <v>41964</v>
      </c>
      <c r="AH701" s="60">
        <f>G701</f>
        <v>41964</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41964</v>
      </c>
      <c r="I707" s="745"/>
      <c r="J707"/>
      <c r="K707"/>
      <c r="L707"/>
      <c r="M707"/>
      <c r="N707"/>
      <c r="O707"/>
      <c r="P707"/>
      <c r="Q707"/>
      <c r="R707"/>
      <c r="S707"/>
      <c r="T707"/>
      <c r="U707"/>
      <c r="X707"/>
      <c r="AB707"/>
      <c r="AC707"/>
      <c r="AF707" s="361">
        <f t="shared" si="133"/>
        <v>1</v>
      </c>
      <c r="AG707" s="58"/>
      <c r="AH707" s="60">
        <f>H701</f>
        <v>41964</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41964</v>
      </c>
      <c r="H708" s="299">
        <f t="shared" si="136"/>
        <v>41964</v>
      </c>
      <c r="I708" s="745"/>
      <c r="AF708" s="361">
        <f t="shared" si="133"/>
        <v>1</v>
      </c>
      <c r="AG708" s="60">
        <f>IF(AF708=0,,H707)</f>
        <v>41964</v>
      </c>
      <c r="AH708" s="60">
        <f t="shared" ref="AH708:AH711" si="138">G708</f>
        <v>41964</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41964</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41964</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89" t="s">
        <v>613</v>
      </c>
      <c r="H754" s="990"/>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6"/>
      <c r="G755" s="980">
        <f>AG755</f>
        <v>41883</v>
      </c>
      <c r="H755" s="981">
        <f>AH755</f>
        <v>41893</v>
      </c>
      <c r="I755" s="745"/>
      <c r="AF755" s="361">
        <v>1</v>
      </c>
      <c r="AG755" s="566">
        <f>S.Notice.Submit.ToRG</f>
        <v>41883</v>
      </c>
      <c r="AH755" s="566">
        <f>WORKDAY(G755,7,S.DDL_DEQClosed)</f>
        <v>41893</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41894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723</v>
      </c>
      <c r="C780" s="986" t="s">
        <v>349</v>
      </c>
      <c r="D780" s="986"/>
      <c r="E780" s="986"/>
      <c r="F780" s="986"/>
      <c r="G780" s="986"/>
      <c r="H780" s="986"/>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723</v>
      </c>
      <c r="C781" s="986" t="s">
        <v>296</v>
      </c>
      <c r="D781" s="986"/>
      <c r="E781" s="986"/>
      <c r="F781" s="986"/>
      <c r="G781" s="986"/>
      <c r="H781" s="986"/>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723</v>
      </c>
      <c r="C782" s="986" t="s">
        <v>297</v>
      </c>
      <c r="D782" s="986"/>
      <c r="E782" s="986"/>
      <c r="F782" s="986"/>
      <c r="G782" s="986"/>
      <c r="H782" s="986"/>
      <c r="I782" s="986"/>
      <c r="J782" s="986"/>
      <c r="K782" s="986"/>
      <c r="L782" s="986"/>
      <c r="M782" s="986"/>
      <c r="N782" s="986"/>
      <c r="O782" s="986"/>
      <c r="P782" s="986"/>
      <c r="Q782" s="986"/>
      <c r="R782" s="986"/>
      <c r="S782" s="986"/>
      <c r="T782" s="986"/>
      <c r="U782" s="986"/>
      <c r="V782" s="986"/>
      <c r="W782" s="986"/>
      <c r="X782" s="986"/>
      <c r="Y782" s="986"/>
      <c r="Z782" s="986"/>
      <c r="AA782" s="986"/>
      <c r="AB782" s="986"/>
      <c r="AC782" s="986"/>
      <c r="AD782" s="986"/>
      <c r="AF782" s="361">
        <f t="shared" si="167"/>
        <v>0</v>
      </c>
      <c r="AG782" s="80"/>
      <c r="AH782" s="80"/>
      <c r="AI782" s="59"/>
      <c r="AJ782" s="44"/>
      <c r="AK782" s="44"/>
      <c r="AL782" s="76"/>
    </row>
    <row r="783" spans="1:39" s="23" customFormat="1" ht="14.1" hidden="1" customHeight="1" outlineLevel="2">
      <c r="A783" s="145"/>
      <c r="B783" s="896" t="s">
        <v>723</v>
      </c>
      <c r="C783" s="986" t="s">
        <v>298</v>
      </c>
      <c r="D783" s="986"/>
      <c r="E783" s="986"/>
      <c r="F783" s="986"/>
      <c r="G783" s="986"/>
      <c r="H783" s="986"/>
      <c r="I783" s="986"/>
      <c r="J783" s="986"/>
      <c r="K783" s="986"/>
      <c r="L783" s="986"/>
      <c r="M783" s="986"/>
      <c r="N783" s="986"/>
      <c r="O783" s="986"/>
      <c r="P783" s="986"/>
      <c r="Q783" s="986"/>
      <c r="R783" s="986"/>
      <c r="S783" s="986"/>
      <c r="T783" s="986"/>
      <c r="U783" s="986"/>
      <c r="V783" s="986"/>
      <c r="W783" s="986"/>
      <c r="X783" s="986"/>
      <c r="Y783" s="986"/>
      <c r="Z783" s="986"/>
      <c r="AA783" s="986"/>
      <c r="AB783" s="986"/>
      <c r="AC783" s="986"/>
      <c r="AD783" s="986"/>
      <c r="AF783" s="361">
        <f t="shared" si="167"/>
        <v>0</v>
      </c>
      <c r="AG783" s="80"/>
      <c r="AH783" s="80"/>
      <c r="AI783" s="59"/>
      <c r="AJ783" s="44"/>
      <c r="AK783" s="44"/>
      <c r="AL783" s="76"/>
    </row>
    <row r="784" spans="1:39" s="23" customFormat="1" ht="14.1" hidden="1" customHeight="1" outlineLevel="2">
      <c r="A784" s="145"/>
      <c r="B784" s="896" t="s">
        <v>723</v>
      </c>
      <c r="C784" s="986" t="s">
        <v>299</v>
      </c>
      <c r="D784" s="986"/>
      <c r="E784" s="986"/>
      <c r="F784" s="986"/>
      <c r="G784" s="986"/>
      <c r="H784" s="986"/>
      <c r="I784" s="986"/>
      <c r="J784" s="986"/>
      <c r="K784" s="986"/>
      <c r="L784" s="986"/>
      <c r="M784" s="986"/>
      <c r="N784" s="986"/>
      <c r="O784" s="986"/>
      <c r="P784" s="986"/>
      <c r="Q784" s="986"/>
      <c r="R784" s="986"/>
      <c r="S784" s="986"/>
      <c r="T784" s="986"/>
      <c r="U784" s="986"/>
      <c r="V784" s="986"/>
      <c r="W784" s="986"/>
      <c r="X784" s="986"/>
      <c r="Y784" s="986"/>
      <c r="Z784" s="986"/>
      <c r="AA784" s="986"/>
      <c r="AB784" s="986"/>
      <c r="AC784" s="986"/>
      <c r="AD784" s="986"/>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4" t="s">
        <v>200</v>
      </c>
      <c r="C801" s="994"/>
      <c r="D801" s="994"/>
      <c r="E801" s="994"/>
      <c r="F801" s="994"/>
      <c r="G801" s="994"/>
      <c r="H801" s="994"/>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3" t="s">
        <v>40</v>
      </c>
      <c r="C2" s="1043"/>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3" t="s">
        <v>41</v>
      </c>
      <c r="C9" s="1043"/>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3" t="s">
        <v>52</v>
      </c>
      <c r="C14" s="1043"/>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4" t="s">
        <v>140</v>
      </c>
      <c r="C2" s="1044"/>
      <c r="D2" s="1044"/>
      <c r="E2" s="1044"/>
      <c r="F2" s="1044"/>
      <c r="G2" s="1044"/>
      <c r="H2" s="1044"/>
      <c r="I2" s="1044"/>
      <c r="J2" s="1044"/>
      <c r="K2" s="1044"/>
      <c r="L2" s="1044"/>
      <c r="M2" s="1044"/>
      <c r="N2" s="1044"/>
      <c r="O2" s="1044"/>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5" t="s">
        <v>141</v>
      </c>
      <c r="D4" s="1045"/>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0" t="str">
        <f>S.General.RulemakingTitle</f>
        <v>Grants Pass Limited Maintenance Plans for CO and PM10</v>
      </c>
      <c r="B1" s="1050"/>
      <c r="C1" s="1050"/>
      <c r="D1" s="636"/>
      <c r="E1" s="75"/>
      <c r="F1" s="1047" t="str">
        <f>S.General.CodeName</f>
        <v>GPLMP</v>
      </c>
      <c r="G1" s="1047"/>
      <c r="H1" s="1047"/>
      <c r="I1" s="1047"/>
      <c r="J1" s="1047"/>
      <c r="K1" s="75"/>
      <c r="L1" s="75"/>
      <c r="M1" s="75"/>
      <c r="N1" s="1053" t="s">
        <v>0</v>
      </c>
      <c r="O1" s="1053"/>
      <c r="P1" s="1053"/>
      <c r="Q1" s="1053"/>
      <c r="R1" s="105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1" t="s">
        <v>357</v>
      </c>
      <c r="B2" s="1051"/>
      <c r="C2" s="1051"/>
      <c r="D2" s="637"/>
      <c r="E2" s="595"/>
      <c r="F2" s="1046">
        <f ca="1">A3</f>
        <v>41813</v>
      </c>
      <c r="G2" s="1046"/>
      <c r="H2" s="1046"/>
      <c r="I2" s="1046"/>
      <c r="J2" s="1046"/>
      <c r="K2" s="1046"/>
      <c r="L2" s="1046"/>
      <c r="M2" s="1046">
        <f ca="1">M4</f>
        <v>41820</v>
      </c>
      <c r="N2" s="1046"/>
      <c r="O2" s="1046"/>
      <c r="P2" s="1046"/>
      <c r="Q2" s="1046"/>
      <c r="R2" s="1046"/>
      <c r="S2" s="1046"/>
      <c r="T2" s="1046">
        <f ca="1">T4</f>
        <v>41827</v>
      </c>
      <c r="U2" s="1046"/>
      <c r="V2" s="1046"/>
      <c r="W2" s="1046"/>
      <c r="X2" s="1046"/>
      <c r="Y2" s="1046"/>
      <c r="Z2" s="1046"/>
      <c r="AA2" s="1046">
        <f ca="1">AA4</f>
        <v>41834</v>
      </c>
      <c r="AB2" s="1046"/>
      <c r="AC2" s="1046"/>
      <c r="AD2" s="1046"/>
      <c r="AE2" s="1046"/>
      <c r="AF2" s="1046"/>
      <c r="AG2" s="1046"/>
      <c r="AH2" s="1046">
        <f ca="1">AH4</f>
        <v>41841</v>
      </c>
      <c r="AI2" s="1046"/>
      <c r="AJ2" s="1046"/>
      <c r="AK2" s="1046"/>
      <c r="AL2" s="1046"/>
      <c r="AM2" s="1046"/>
      <c r="AN2" s="1046"/>
      <c r="AO2" s="1046">
        <f ca="1">AO4</f>
        <v>41848</v>
      </c>
      <c r="AP2" s="1046"/>
      <c r="AQ2" s="1046"/>
      <c r="AR2" s="1046"/>
      <c r="AS2" s="1046"/>
      <c r="AT2" s="1046"/>
      <c r="AU2" s="1046"/>
      <c r="AV2" s="1046">
        <f ca="1">AV4</f>
        <v>41855</v>
      </c>
      <c r="AW2" s="1046"/>
      <c r="AX2" s="1046"/>
      <c r="AY2" s="1046"/>
      <c r="AZ2" s="1046"/>
      <c r="BA2" s="1046"/>
      <c r="BB2" s="1046"/>
      <c r="BC2" s="1046">
        <f ca="1">BC4</f>
        <v>41862</v>
      </c>
      <c r="BD2" s="1046"/>
      <c r="BE2" s="1046"/>
      <c r="BF2" s="1046"/>
      <c r="BG2" s="1046"/>
      <c r="BH2" s="1046"/>
      <c r="BI2" s="1046"/>
    </row>
    <row r="3" spans="1:61" ht="18.75" thickBot="1">
      <c r="A3" s="1052">
        <f ca="1">TODAY()+E4</f>
        <v>41813</v>
      </c>
      <c r="B3" s="1052"/>
      <c r="C3" s="1052"/>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8" t="s">
        <v>356</v>
      </c>
      <c r="B4" s="1048"/>
      <c r="C4" s="1049"/>
      <c r="D4" s="635"/>
      <c r="E4" s="589">
        <v>0</v>
      </c>
      <c r="F4" s="590">
        <f ca="1">IF(WEEKDAY($A$3,3)&lt;&gt;0,"-",$A$3)</f>
        <v>41813</v>
      </c>
      <c r="G4" s="590">
        <f ca="1">IF(WEEKDAY($A$3,3)=1,$A$3,IF(WEEKDAY($A$3,3)&lt;1,F4+1,"-"))</f>
        <v>41814</v>
      </c>
      <c r="H4" s="590">
        <f ca="1">IF(WEEKDAY($A$3,3)=2,$A$3,IF(WEEKDAY($A$3,3)&lt;2,G4+1,"-"))</f>
        <v>41815</v>
      </c>
      <c r="I4" s="590">
        <f ca="1">IF(WEEKDAY($A$3,3)=3,$A$3,IF(WEEKDAY($A$3,3)&lt;3,H4+1,"-"))</f>
        <v>41816</v>
      </c>
      <c r="J4" s="590">
        <f ca="1">IF(WEEKDAY($A$3,3)=4,$A$3,IF(WEEKDAY($A$3,3)&lt;4,I4+1,"-"))</f>
        <v>41817</v>
      </c>
      <c r="K4" s="591">
        <f ca="1">IF(WEEKDAY($A$3,3)=5,$A$3,IF(WEEKDAY($A$3,3)&lt;5,J4+1,"-"))</f>
        <v>41818</v>
      </c>
      <c r="L4" s="591">
        <f ca="1">IF(WEEKDAY($A$3,3)=6,$A$3,IF(WEEKDAY($A$3,3)&lt;6,K4+1,"-"))</f>
        <v>41819</v>
      </c>
      <c r="M4" s="592">
        <f ca="1">L4+1</f>
        <v>41820</v>
      </c>
      <c r="N4" s="592">
        <f t="shared" ref="N4:AG4" ca="1" si="0">M4+1</f>
        <v>41821</v>
      </c>
      <c r="O4" s="592">
        <f t="shared" ca="1" si="0"/>
        <v>41822</v>
      </c>
      <c r="P4" s="592">
        <f t="shared" ca="1" si="0"/>
        <v>41823</v>
      </c>
      <c r="Q4" s="592">
        <f t="shared" ca="1" si="0"/>
        <v>41824</v>
      </c>
      <c r="R4" s="593">
        <f t="shared" ca="1" si="0"/>
        <v>41825</v>
      </c>
      <c r="S4" s="593">
        <f t="shared" ca="1" si="0"/>
        <v>41826</v>
      </c>
      <c r="T4" s="592">
        <f t="shared" ca="1" si="0"/>
        <v>41827</v>
      </c>
      <c r="U4" s="592">
        <f t="shared" ca="1" si="0"/>
        <v>41828</v>
      </c>
      <c r="V4" s="592">
        <f t="shared" ca="1" si="0"/>
        <v>41829</v>
      </c>
      <c r="W4" s="592">
        <f t="shared" ca="1" si="0"/>
        <v>41830</v>
      </c>
      <c r="X4" s="592">
        <f t="shared" ca="1" si="0"/>
        <v>41831</v>
      </c>
      <c r="Y4" s="593">
        <f t="shared" ca="1" si="0"/>
        <v>41832</v>
      </c>
      <c r="Z4" s="593">
        <f t="shared" ca="1" si="0"/>
        <v>41833</v>
      </c>
      <c r="AA4" s="592">
        <f t="shared" ca="1" si="0"/>
        <v>41834</v>
      </c>
      <c r="AB4" s="592">
        <f t="shared" ca="1" si="0"/>
        <v>41835</v>
      </c>
      <c r="AC4" s="592">
        <f t="shared" ca="1" si="0"/>
        <v>41836</v>
      </c>
      <c r="AD4" s="592">
        <f t="shared" ca="1" si="0"/>
        <v>41837</v>
      </c>
      <c r="AE4" s="592">
        <f t="shared" ca="1" si="0"/>
        <v>41838</v>
      </c>
      <c r="AF4" s="593">
        <f t="shared" ca="1" si="0"/>
        <v>41839</v>
      </c>
      <c r="AG4" s="593">
        <f t="shared" ca="1" si="0"/>
        <v>41840</v>
      </c>
      <c r="AH4" s="592">
        <f t="shared" ref="AH4:BI4" ca="1" si="1">AG4+1</f>
        <v>41841</v>
      </c>
      <c r="AI4" s="592">
        <f t="shared" ca="1" si="1"/>
        <v>41842</v>
      </c>
      <c r="AJ4" s="592">
        <f t="shared" ca="1" si="1"/>
        <v>41843</v>
      </c>
      <c r="AK4" s="592">
        <f t="shared" ca="1" si="1"/>
        <v>41844</v>
      </c>
      <c r="AL4" s="592">
        <f t="shared" ca="1" si="1"/>
        <v>41845</v>
      </c>
      <c r="AM4" s="593">
        <f t="shared" ca="1" si="1"/>
        <v>41846</v>
      </c>
      <c r="AN4" s="593">
        <f t="shared" ca="1" si="1"/>
        <v>41847</v>
      </c>
      <c r="AO4" s="592">
        <f t="shared" ca="1" si="1"/>
        <v>41848</v>
      </c>
      <c r="AP4" s="592">
        <f t="shared" ca="1" si="1"/>
        <v>41849</v>
      </c>
      <c r="AQ4" s="592">
        <f t="shared" ca="1" si="1"/>
        <v>41850</v>
      </c>
      <c r="AR4" s="592">
        <f t="shared" ca="1" si="1"/>
        <v>41851</v>
      </c>
      <c r="AS4" s="592">
        <f t="shared" ca="1" si="1"/>
        <v>41852</v>
      </c>
      <c r="AT4" s="593">
        <f t="shared" ca="1" si="1"/>
        <v>41853</v>
      </c>
      <c r="AU4" s="593">
        <f t="shared" ca="1" si="1"/>
        <v>41854</v>
      </c>
      <c r="AV4" s="592">
        <f t="shared" ca="1" si="1"/>
        <v>41855</v>
      </c>
      <c r="AW4" s="592">
        <f t="shared" ca="1" si="1"/>
        <v>41856</v>
      </c>
      <c r="AX4" s="592">
        <f t="shared" ca="1" si="1"/>
        <v>41857</v>
      </c>
      <c r="AY4" s="592">
        <f t="shared" ca="1" si="1"/>
        <v>41858</v>
      </c>
      <c r="AZ4" s="592">
        <f t="shared" ca="1" si="1"/>
        <v>41859</v>
      </c>
      <c r="BA4" s="593">
        <f t="shared" ca="1" si="1"/>
        <v>41860</v>
      </c>
      <c r="BB4" s="593">
        <f t="shared" ca="1" si="1"/>
        <v>41861</v>
      </c>
      <c r="BC4" s="592">
        <f t="shared" ca="1" si="1"/>
        <v>41862</v>
      </c>
      <c r="BD4" s="592">
        <f t="shared" ca="1" si="1"/>
        <v>41863</v>
      </c>
      <c r="BE4" s="592">
        <f t="shared" ca="1" si="1"/>
        <v>41864</v>
      </c>
      <c r="BF4" s="592">
        <f t="shared" ca="1" si="1"/>
        <v>41865</v>
      </c>
      <c r="BG4" s="592">
        <f t="shared" ca="1" si="1"/>
        <v>41866</v>
      </c>
      <c r="BH4" s="593">
        <f t="shared" ca="1" si="1"/>
        <v>41867</v>
      </c>
      <c r="BI4" s="593">
        <f t="shared" ca="1" si="1"/>
        <v>41868</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41963</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41907</v>
      </c>
      <c r="C45" s="607">
        <f>S.Notice.ADABriefing</f>
        <v>41907</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41908</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41960</v>
      </c>
      <c r="C49" s="607">
        <f>S.Notice.LastHearingDate</f>
        <v>41960</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3" sqref="B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792</v>
      </c>
      <c r="C2" s="210" t="s">
        <v>790</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6" t="s">
        <v>485</v>
      </c>
      <c r="C4" s="1056"/>
      <c r="D4" s="1056"/>
      <c r="E4" s="1056"/>
      <c r="F4" s="1056"/>
      <c r="G4" s="1056"/>
      <c r="H4" s="1056"/>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787</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4" t="s">
        <v>343</v>
      </c>
      <c r="C31" s="1055"/>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4" t="s">
        <v>345</v>
      </c>
      <c r="C36" s="1055"/>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0" t="str">
        <f>S.General.RulemakingTitle</f>
        <v>Grants Pass Limited Maintenance Plans for CO and PM10</v>
      </c>
      <c r="C2" s="1060"/>
      <c r="D2" s="1060"/>
      <c r="E2" s="1060"/>
      <c r="F2" s="75"/>
      <c r="G2" s="526">
        <f ca="1">TODAY()</f>
        <v>41813</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7" t="s">
        <v>128</v>
      </c>
      <c r="F4" s="75"/>
      <c r="G4" s="453" t="s">
        <v>233</v>
      </c>
      <c r="H4" s="75"/>
      <c r="I4" s="75"/>
      <c r="J4" s="75"/>
      <c r="K4" s="75"/>
      <c r="L4" s="75"/>
      <c r="M4" s="75"/>
      <c r="N4" s="75"/>
      <c r="O4" s="75"/>
    </row>
    <row r="5" spans="1:15" s="23" customFormat="1" ht="18.75" thickBot="1">
      <c r="A5" s="75"/>
      <c r="B5" s="792" t="s">
        <v>646</v>
      </c>
      <c r="C5" s="792" t="s">
        <v>569</v>
      </c>
      <c r="D5" s="792" t="s">
        <v>570</v>
      </c>
      <c r="E5" s="1058"/>
      <c r="F5" s="75"/>
      <c r="G5" s="778"/>
      <c r="H5" s="75"/>
      <c r="I5" s="75"/>
      <c r="J5" s="75"/>
      <c r="K5" s="75"/>
      <c r="L5" s="75"/>
      <c r="M5" s="75"/>
      <c r="N5" s="75"/>
      <c r="O5" s="75"/>
    </row>
    <row r="6" spans="1:15" ht="15" thickTop="1">
      <c r="A6" s="75"/>
      <c r="B6" s="451" t="str">
        <f>S.Hearing.1stCity</f>
        <v>Portland</v>
      </c>
      <c r="C6" s="788">
        <f>S.Hearing.1stDate</f>
        <v>41960</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41960</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9" t="s">
        <v>231</v>
      </c>
      <c r="C17" s="1059"/>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NOTICE.AD2JournalOfCommerce</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2" t="s">
        <v>350</v>
      </c>
      <c r="H4" s="1062"/>
      <c r="I4" s="1062"/>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2"/>
      <c r="H5" s="1062"/>
      <c r="I5" s="1062"/>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2"/>
      <c r="H6" s="1062"/>
      <c r="I6" s="1062"/>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2"/>
      <c r="H7" s="1062"/>
      <c r="I7" s="1062"/>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1" t="s">
        <v>34</v>
      </c>
      <c r="K27" s="1061"/>
      <c r="L27" s="1061"/>
      <c r="M27" s="1061"/>
      <c r="N27" s="1061"/>
      <c r="O27" s="1061"/>
      <c r="P27" s="1061"/>
      <c r="Q27" s="53"/>
      <c r="R27" s="2"/>
      <c r="S27" s="2"/>
      <c r="T27" s="2"/>
    </row>
    <row r="28" spans="1:20">
      <c r="A28" s="22">
        <v>41275</v>
      </c>
      <c r="B28" s="20" t="s">
        <v>5</v>
      </c>
      <c r="C28" s="30">
        <f>A28</f>
        <v>41275</v>
      </c>
      <c r="D28" s="30"/>
      <c r="E28" s="55"/>
      <c r="F28" s="55"/>
      <c r="G28" s="55"/>
      <c r="H28" s="55"/>
      <c r="I28" s="2"/>
      <c r="J28" s="1061"/>
      <c r="K28" s="1061"/>
      <c r="L28" s="1061"/>
      <c r="M28" s="1061"/>
      <c r="N28" s="1061"/>
      <c r="O28" s="1061"/>
      <c r="P28" s="1061"/>
      <c r="Q28" s="53"/>
      <c r="R28" s="2"/>
      <c r="S28" s="2"/>
      <c r="T28" s="2"/>
    </row>
    <row r="29" spans="1:20">
      <c r="A29" s="22">
        <v>41292</v>
      </c>
      <c r="B29" s="20" t="s">
        <v>3</v>
      </c>
      <c r="C29" s="30">
        <f t="shared" ref="C29:C76" si="8">A29</f>
        <v>41292</v>
      </c>
      <c r="D29" s="30"/>
      <c r="E29" s="55"/>
      <c r="F29" s="55"/>
      <c r="G29" s="55"/>
      <c r="H29" s="55"/>
      <c r="I29" s="2"/>
      <c r="J29" s="1061"/>
      <c r="K29" s="1061"/>
      <c r="L29" s="1061"/>
      <c r="M29" s="1061"/>
      <c r="N29" s="1061"/>
      <c r="O29" s="1061"/>
      <c r="P29" s="1061"/>
      <c r="Q29" s="53"/>
      <c r="R29" s="2"/>
      <c r="S29" s="2"/>
      <c r="T29" s="2"/>
    </row>
    <row r="30" spans="1:20">
      <c r="A30" s="22">
        <v>41295</v>
      </c>
      <c r="B30" s="20" t="s">
        <v>6</v>
      </c>
      <c r="C30" s="30">
        <f t="shared" si="8"/>
        <v>41295</v>
      </c>
      <c r="D30" s="30"/>
      <c r="E30" s="55"/>
      <c r="F30" s="55"/>
      <c r="G30" s="55"/>
      <c r="H30" s="55"/>
      <c r="I30" s="2"/>
      <c r="J30" s="1061"/>
      <c r="K30" s="1061"/>
      <c r="L30" s="1061"/>
      <c r="M30" s="1061"/>
      <c r="N30" s="1061"/>
      <c r="O30" s="1061"/>
      <c r="P30" s="1061"/>
      <c r="Q30" s="53"/>
      <c r="R30" s="2"/>
      <c r="S30" s="2"/>
      <c r="T30" s="2"/>
    </row>
    <row r="31" spans="1:20">
      <c r="A31" s="22">
        <v>41323</v>
      </c>
      <c r="B31" s="20" t="s">
        <v>7</v>
      </c>
      <c r="C31" s="30">
        <f t="shared" si="8"/>
        <v>41323</v>
      </c>
      <c r="D31" s="30"/>
      <c r="E31" s="55"/>
      <c r="F31" s="55"/>
      <c r="G31" s="55"/>
      <c r="H31" s="55"/>
      <c r="I31" s="2"/>
      <c r="J31" s="1061"/>
      <c r="K31" s="1061"/>
      <c r="L31" s="1061"/>
      <c r="M31" s="1061"/>
      <c r="N31" s="1061"/>
      <c r="O31" s="1061"/>
      <c r="P31" s="1061"/>
      <c r="Q31" s="53"/>
      <c r="R31" s="2"/>
      <c r="S31" s="2"/>
      <c r="T31" s="2"/>
    </row>
    <row r="32" spans="1:20">
      <c r="A32" s="22">
        <v>41383</v>
      </c>
      <c r="B32" s="20" t="s">
        <v>3</v>
      </c>
      <c r="C32" s="30">
        <f t="shared" si="8"/>
        <v>41383</v>
      </c>
      <c r="D32" s="30"/>
      <c r="E32" s="55"/>
      <c r="F32" s="55"/>
      <c r="G32" s="55"/>
      <c r="H32" s="55"/>
      <c r="I32" s="2"/>
      <c r="J32" s="1061"/>
      <c r="K32" s="1061"/>
      <c r="L32" s="1061"/>
      <c r="M32" s="1061"/>
      <c r="N32" s="1061"/>
      <c r="O32" s="1061"/>
      <c r="P32" s="1061"/>
      <c r="Q32" s="53"/>
      <c r="R32" s="2"/>
      <c r="S32" s="2"/>
      <c r="T32" s="2"/>
    </row>
    <row r="33" spans="1:20">
      <c r="A33" s="22">
        <v>41418</v>
      </c>
      <c r="B33" s="20" t="s">
        <v>3</v>
      </c>
      <c r="C33" s="30">
        <f t="shared" si="8"/>
        <v>41418</v>
      </c>
      <c r="D33" s="30"/>
      <c r="E33" s="55"/>
      <c r="F33" s="55"/>
      <c r="G33" s="55"/>
      <c r="H33" s="55"/>
      <c r="I33" s="2"/>
      <c r="J33" s="1061"/>
      <c r="K33" s="1061"/>
      <c r="L33" s="1061"/>
      <c r="M33" s="1061"/>
      <c r="N33" s="1061"/>
      <c r="O33" s="1061"/>
      <c r="P33" s="1061"/>
      <c r="Q33" s="53"/>
      <c r="R33" s="2"/>
      <c r="S33" s="2"/>
      <c r="T33" s="2"/>
    </row>
    <row r="34" spans="1:20">
      <c r="A34" s="22">
        <v>41421</v>
      </c>
      <c r="B34" s="20" t="s">
        <v>8</v>
      </c>
      <c r="C34" s="30">
        <f t="shared" si="8"/>
        <v>41421</v>
      </c>
      <c r="D34" s="30"/>
      <c r="E34" s="55"/>
      <c r="F34" s="55"/>
      <c r="G34" s="55"/>
      <c r="H34" s="55"/>
      <c r="I34" s="2"/>
      <c r="J34" s="1061"/>
      <c r="K34" s="1061"/>
      <c r="L34" s="1061"/>
      <c r="M34" s="1061"/>
      <c r="N34" s="1061"/>
      <c r="O34" s="1061"/>
      <c r="P34" s="1061"/>
      <c r="Q34" s="53"/>
      <c r="R34" s="2"/>
      <c r="S34" s="2"/>
      <c r="T34" s="2"/>
    </row>
    <row r="35" spans="1:20">
      <c r="A35" s="22">
        <v>41459</v>
      </c>
      <c r="B35" s="20" t="s">
        <v>9</v>
      </c>
      <c r="C35" s="30">
        <f t="shared" si="8"/>
        <v>41459</v>
      </c>
      <c r="D35" s="30"/>
      <c r="E35" s="55"/>
      <c r="F35" s="55"/>
      <c r="G35" s="55"/>
      <c r="H35" s="55"/>
      <c r="I35" s="2"/>
      <c r="J35" s="1061"/>
      <c r="K35" s="1061"/>
      <c r="L35" s="1061"/>
      <c r="M35" s="1061"/>
      <c r="N35" s="1061"/>
      <c r="O35" s="1061"/>
      <c r="P35" s="1061"/>
      <c r="Q35" s="53"/>
      <c r="R35" s="2"/>
      <c r="S35" s="2"/>
      <c r="T35" s="2"/>
    </row>
    <row r="36" spans="1:20">
      <c r="A36" s="22">
        <v>41519</v>
      </c>
      <c r="B36" s="20" t="s">
        <v>10</v>
      </c>
      <c r="C36" s="30">
        <f t="shared" si="8"/>
        <v>41519</v>
      </c>
      <c r="D36" s="30"/>
      <c r="E36" s="55"/>
      <c r="F36" s="55"/>
      <c r="G36" s="55"/>
      <c r="H36" s="55"/>
      <c r="I36" s="2"/>
      <c r="J36" s="1061"/>
      <c r="K36" s="1061"/>
      <c r="L36" s="1061"/>
      <c r="M36" s="1061"/>
      <c r="N36" s="1061"/>
      <c r="O36" s="1061"/>
      <c r="P36" s="1061"/>
      <c r="Q36" s="53"/>
      <c r="R36" s="2"/>
      <c r="S36" s="2"/>
      <c r="T36" s="2"/>
    </row>
    <row r="37" spans="1:20">
      <c r="A37" s="22">
        <v>41589</v>
      </c>
      <c r="B37" s="20" t="s">
        <v>1</v>
      </c>
      <c r="C37" s="30">
        <f t="shared" si="8"/>
        <v>41589</v>
      </c>
      <c r="D37" s="30"/>
      <c r="E37" s="55"/>
      <c r="F37" s="55"/>
      <c r="G37" s="55"/>
      <c r="H37" s="55"/>
      <c r="I37" s="2"/>
      <c r="J37" s="1061"/>
      <c r="K37" s="1061"/>
      <c r="L37" s="1061"/>
      <c r="M37" s="1061"/>
      <c r="N37" s="1061"/>
      <c r="O37" s="1061"/>
      <c r="P37" s="1061"/>
      <c r="Q37" s="53"/>
      <c r="R37" s="2"/>
      <c r="S37" s="2"/>
      <c r="T37" s="2"/>
    </row>
    <row r="38" spans="1:20">
      <c r="A38" s="22">
        <v>41606</v>
      </c>
      <c r="B38" s="20" t="s">
        <v>2</v>
      </c>
      <c r="C38" s="30">
        <f t="shared" si="8"/>
        <v>41606</v>
      </c>
      <c r="D38" s="30"/>
      <c r="E38" s="55"/>
      <c r="F38" s="55"/>
      <c r="G38" s="55"/>
      <c r="H38" s="55"/>
      <c r="I38" s="2"/>
      <c r="J38" s="1061"/>
      <c r="K38" s="1061"/>
      <c r="L38" s="1061"/>
      <c r="M38" s="1061"/>
      <c r="N38" s="1061"/>
      <c r="O38" s="1061"/>
      <c r="P38" s="1061"/>
      <c r="Q38" s="53"/>
      <c r="R38" s="2"/>
      <c r="S38" s="2"/>
      <c r="T38" s="2"/>
    </row>
    <row r="39" spans="1:20">
      <c r="A39" s="22">
        <v>41633</v>
      </c>
      <c r="B39" s="20" t="s">
        <v>4</v>
      </c>
      <c r="C39" s="30">
        <f t="shared" si="8"/>
        <v>41633</v>
      </c>
      <c r="D39" s="30"/>
      <c r="E39" s="55"/>
      <c r="F39" s="55"/>
      <c r="G39" s="55"/>
      <c r="H39" s="55"/>
      <c r="I39" s="2"/>
      <c r="J39" s="1061"/>
      <c r="K39" s="1061"/>
      <c r="L39" s="1061"/>
      <c r="M39" s="1061"/>
      <c r="N39" s="1061"/>
      <c r="O39" s="1061"/>
      <c r="P39" s="1061"/>
      <c r="Q39" s="53"/>
      <c r="R39" s="2"/>
      <c r="S39" s="2"/>
      <c r="T39" s="2"/>
    </row>
    <row r="40" spans="1:20">
      <c r="A40" s="22">
        <v>41640</v>
      </c>
      <c r="B40" s="20" t="s">
        <v>5</v>
      </c>
      <c r="C40" s="30">
        <f t="shared" si="8"/>
        <v>41640</v>
      </c>
      <c r="D40" s="30"/>
      <c r="E40" s="55"/>
      <c r="F40" s="55"/>
      <c r="G40" s="55"/>
      <c r="H40" s="55"/>
      <c r="I40" s="2"/>
      <c r="J40" s="1061"/>
      <c r="K40" s="1061"/>
      <c r="L40" s="1061"/>
      <c r="M40" s="1061"/>
      <c r="N40" s="1061"/>
      <c r="O40" s="1061"/>
      <c r="P40" s="1061"/>
      <c r="Q40" s="53"/>
      <c r="R40" s="2"/>
      <c r="S40" s="2"/>
      <c r="T40" s="2"/>
    </row>
    <row r="41" spans="1:20">
      <c r="A41" s="22">
        <v>41659</v>
      </c>
      <c r="B41" s="20" t="s">
        <v>6</v>
      </c>
      <c r="C41" s="30">
        <f t="shared" si="8"/>
        <v>41659</v>
      </c>
      <c r="D41" s="30"/>
      <c r="E41" s="55"/>
      <c r="F41" s="55"/>
      <c r="G41" s="55"/>
      <c r="H41" s="55"/>
      <c r="I41" s="2"/>
      <c r="J41" s="1061"/>
      <c r="K41" s="1061"/>
      <c r="L41" s="1061"/>
      <c r="M41" s="1061"/>
      <c r="N41" s="1061"/>
      <c r="O41" s="1061"/>
      <c r="P41" s="1061"/>
      <c r="Q41" s="53"/>
      <c r="R41" s="2"/>
      <c r="S41" s="2"/>
      <c r="T41" s="2"/>
    </row>
    <row r="42" spans="1:20">
      <c r="A42" s="22">
        <v>41687</v>
      </c>
      <c r="B42" s="20" t="s">
        <v>7</v>
      </c>
      <c r="C42" s="30">
        <f t="shared" si="8"/>
        <v>41687</v>
      </c>
      <c r="D42" s="30"/>
      <c r="E42" s="55"/>
      <c r="F42" s="55"/>
      <c r="G42" s="55"/>
      <c r="H42" s="55"/>
      <c r="I42" s="2"/>
      <c r="J42" s="1061"/>
      <c r="K42" s="1061"/>
      <c r="L42" s="1061"/>
      <c r="M42" s="1061"/>
      <c r="N42" s="1061"/>
      <c r="O42" s="1061"/>
      <c r="P42" s="1061"/>
      <c r="Q42" s="53"/>
      <c r="R42" s="2"/>
      <c r="S42" s="2"/>
      <c r="T42" s="2"/>
    </row>
    <row r="43" spans="1:20">
      <c r="A43" s="22">
        <v>41785</v>
      </c>
      <c r="B43" s="20" t="s">
        <v>8</v>
      </c>
      <c r="C43" s="30">
        <f t="shared" si="8"/>
        <v>41785</v>
      </c>
      <c r="D43" s="30"/>
      <c r="E43" s="55"/>
      <c r="F43" s="55"/>
      <c r="G43" s="55"/>
      <c r="H43" s="55"/>
      <c r="I43" s="2"/>
      <c r="J43" s="1061"/>
      <c r="K43" s="1061"/>
      <c r="L43" s="1061"/>
      <c r="M43" s="1061"/>
      <c r="N43" s="1061"/>
      <c r="O43" s="1061"/>
      <c r="P43" s="1061"/>
      <c r="Q43" s="53"/>
      <c r="R43" s="2"/>
      <c r="S43" s="2"/>
      <c r="T43" s="2"/>
    </row>
    <row r="44" spans="1:20">
      <c r="A44" s="22">
        <v>41824</v>
      </c>
      <c r="B44" s="20" t="s">
        <v>9</v>
      </c>
      <c r="C44" s="30">
        <f t="shared" si="8"/>
        <v>41824</v>
      </c>
      <c r="D44" s="30"/>
      <c r="E44" s="55"/>
      <c r="F44" s="55"/>
      <c r="G44" s="55"/>
      <c r="H44" s="55"/>
      <c r="I44" s="2"/>
      <c r="J44" s="1061"/>
      <c r="K44" s="1061"/>
      <c r="L44" s="1061"/>
      <c r="M44" s="1061"/>
      <c r="N44" s="1061"/>
      <c r="O44" s="1061"/>
      <c r="P44" s="1061"/>
      <c r="Q44" s="53"/>
      <c r="R44" s="2"/>
      <c r="S44" s="2"/>
      <c r="T44" s="2"/>
    </row>
    <row r="45" spans="1:20">
      <c r="A45" s="22">
        <v>41884</v>
      </c>
      <c r="B45" s="20" t="s">
        <v>10</v>
      </c>
      <c r="C45" s="30">
        <f t="shared" si="8"/>
        <v>41884</v>
      </c>
      <c r="D45" s="30"/>
      <c r="E45" s="55"/>
      <c r="F45" s="55"/>
      <c r="G45" s="55"/>
      <c r="H45" s="55"/>
      <c r="I45" s="2"/>
      <c r="J45" s="1061"/>
      <c r="K45" s="1061"/>
      <c r="L45" s="1061"/>
      <c r="M45" s="1061"/>
      <c r="N45" s="1061"/>
      <c r="O45" s="1061"/>
      <c r="P45" s="1061"/>
      <c r="Q45" s="53"/>
      <c r="R45" s="2"/>
      <c r="S45" s="2"/>
      <c r="T45" s="2"/>
    </row>
    <row r="46" spans="1:20">
      <c r="A46" s="22">
        <v>41954</v>
      </c>
      <c r="B46" s="20" t="s">
        <v>1</v>
      </c>
      <c r="C46" s="30">
        <f t="shared" si="8"/>
        <v>41954</v>
      </c>
      <c r="D46" s="30"/>
      <c r="E46" s="55"/>
      <c r="F46" s="55"/>
      <c r="G46" s="55"/>
      <c r="H46" s="55"/>
      <c r="I46" s="2"/>
      <c r="J46" s="1061"/>
      <c r="K46" s="1061"/>
      <c r="L46" s="1061"/>
      <c r="M46" s="1061"/>
      <c r="N46" s="1061"/>
      <c r="O46" s="1061"/>
      <c r="P46" s="1061"/>
      <c r="Q46" s="53"/>
      <c r="R46" s="2"/>
      <c r="S46" s="2"/>
      <c r="T46" s="2"/>
    </row>
    <row r="47" spans="1:20">
      <c r="A47" s="22">
        <v>41970</v>
      </c>
      <c r="B47" s="20" t="s">
        <v>2</v>
      </c>
      <c r="C47" s="30">
        <f t="shared" si="8"/>
        <v>41970</v>
      </c>
      <c r="D47" s="30"/>
      <c r="E47" s="55"/>
      <c r="F47" s="55"/>
      <c r="G47" s="55"/>
      <c r="H47" s="55"/>
      <c r="I47" s="2"/>
      <c r="J47" s="1061"/>
      <c r="K47" s="1061"/>
      <c r="L47" s="1061"/>
      <c r="M47" s="1061"/>
      <c r="N47" s="1061"/>
      <c r="O47" s="1061"/>
      <c r="P47" s="1061"/>
      <c r="Q47" s="53"/>
      <c r="R47" s="2"/>
      <c r="S47" s="2"/>
      <c r="T47" s="2"/>
    </row>
    <row r="48" spans="1:20">
      <c r="A48" s="22">
        <v>41998</v>
      </c>
      <c r="B48" s="20" t="s">
        <v>4</v>
      </c>
      <c r="C48" s="30">
        <f t="shared" si="8"/>
        <v>41998</v>
      </c>
      <c r="D48" s="30"/>
      <c r="E48" s="55"/>
      <c r="F48" s="55"/>
      <c r="G48" s="55"/>
      <c r="H48" s="55"/>
      <c r="I48" s="2"/>
      <c r="J48" s="1061"/>
      <c r="K48" s="1061"/>
      <c r="L48" s="1061"/>
      <c r="M48" s="1061"/>
      <c r="N48" s="1061"/>
      <c r="O48" s="1061"/>
      <c r="P48" s="1061"/>
      <c r="Q48" s="53"/>
      <c r="R48" s="2"/>
      <c r="S48" s="2"/>
      <c r="T48" s="2"/>
    </row>
    <row r="49" spans="1:20">
      <c r="A49" s="22">
        <v>42005</v>
      </c>
      <c r="B49" s="20" t="s">
        <v>5</v>
      </c>
      <c r="C49" s="30">
        <f t="shared" si="8"/>
        <v>42005</v>
      </c>
      <c r="D49" s="30"/>
      <c r="E49" s="55"/>
      <c r="F49" s="55"/>
      <c r="G49" s="55"/>
      <c r="H49" s="55"/>
      <c r="I49" s="2"/>
      <c r="J49" s="1061"/>
      <c r="K49" s="1061"/>
      <c r="L49" s="1061"/>
      <c r="M49" s="1061"/>
      <c r="N49" s="1061"/>
      <c r="O49" s="1061"/>
      <c r="P49" s="1061"/>
      <c r="Q49" s="53"/>
      <c r="R49" s="2"/>
      <c r="S49" s="2"/>
      <c r="T49" s="2"/>
    </row>
    <row r="50" spans="1:20">
      <c r="A50" s="22">
        <v>42023</v>
      </c>
      <c r="B50" s="20" t="s">
        <v>6</v>
      </c>
      <c r="C50" s="30">
        <f t="shared" si="8"/>
        <v>42023</v>
      </c>
      <c r="D50" s="30"/>
      <c r="E50" s="55"/>
      <c r="F50" s="55"/>
      <c r="G50" s="55"/>
      <c r="H50" s="55"/>
      <c r="I50" s="2"/>
      <c r="J50" s="1061"/>
      <c r="K50" s="1061"/>
      <c r="L50" s="1061"/>
      <c r="M50" s="1061"/>
      <c r="N50" s="1061"/>
      <c r="O50" s="1061"/>
      <c r="P50" s="1061"/>
      <c r="Q50" s="53"/>
      <c r="R50" s="2"/>
      <c r="S50" s="2"/>
      <c r="T50" s="2"/>
    </row>
    <row r="51" spans="1:20">
      <c r="A51" s="22">
        <v>42051</v>
      </c>
      <c r="B51" s="20" t="s">
        <v>7</v>
      </c>
      <c r="C51" s="30">
        <f t="shared" si="8"/>
        <v>42051</v>
      </c>
      <c r="D51" s="30"/>
      <c r="E51" s="55"/>
      <c r="F51" s="55"/>
      <c r="G51" s="55"/>
      <c r="H51" s="55"/>
      <c r="I51" s="2"/>
      <c r="J51" s="1061"/>
      <c r="K51" s="1061"/>
      <c r="L51" s="1061"/>
      <c r="M51" s="1061"/>
      <c r="N51" s="1061"/>
      <c r="O51" s="1061"/>
      <c r="P51" s="1061"/>
      <c r="Q51" s="53"/>
      <c r="R51" s="2"/>
      <c r="S51" s="2"/>
      <c r="T51" s="2"/>
    </row>
    <row r="52" spans="1:20">
      <c r="A52" s="22">
        <v>42149</v>
      </c>
      <c r="B52" s="20" t="s">
        <v>8</v>
      </c>
      <c r="C52" s="30">
        <f t="shared" si="8"/>
        <v>42149</v>
      </c>
      <c r="D52" s="30"/>
      <c r="E52" s="55"/>
      <c r="F52" s="55"/>
      <c r="G52" s="55"/>
      <c r="H52" s="55"/>
      <c r="I52" s="2"/>
      <c r="J52" s="1061"/>
      <c r="K52" s="1061"/>
      <c r="L52" s="1061"/>
      <c r="M52" s="1061"/>
      <c r="N52" s="1061"/>
      <c r="O52" s="1061"/>
      <c r="P52" s="1061"/>
      <c r="Q52" s="53"/>
      <c r="R52" s="2"/>
      <c r="S52" s="2"/>
      <c r="T52" s="2"/>
    </row>
    <row r="53" spans="1:20">
      <c r="A53" s="22">
        <v>42188</v>
      </c>
      <c r="B53" s="20" t="s">
        <v>9</v>
      </c>
      <c r="C53" s="30">
        <f t="shared" si="8"/>
        <v>42188</v>
      </c>
      <c r="D53" s="30"/>
      <c r="E53" s="55"/>
      <c r="F53" s="55"/>
      <c r="G53" s="55"/>
      <c r="H53" s="55"/>
      <c r="I53" s="2"/>
      <c r="J53" s="1061"/>
      <c r="K53" s="1061"/>
      <c r="L53" s="1061"/>
      <c r="M53" s="1061"/>
      <c r="N53" s="1061"/>
      <c r="O53" s="1061"/>
      <c r="P53" s="1061"/>
      <c r="Q53" s="53"/>
      <c r="R53" s="2"/>
      <c r="S53" s="2"/>
      <c r="T53" s="2"/>
    </row>
    <row r="54" spans="1:20">
      <c r="A54" s="22">
        <v>42254</v>
      </c>
      <c r="B54" s="20" t="s">
        <v>10</v>
      </c>
      <c r="C54" s="30">
        <f t="shared" si="8"/>
        <v>42254</v>
      </c>
      <c r="D54" s="30"/>
      <c r="E54" s="55"/>
      <c r="F54" s="55"/>
      <c r="G54" s="55"/>
      <c r="H54" s="55"/>
      <c r="I54" s="2"/>
      <c r="J54" s="1061"/>
      <c r="K54" s="1061"/>
      <c r="L54" s="1061"/>
      <c r="M54" s="1061"/>
      <c r="N54" s="1061"/>
      <c r="O54" s="1061"/>
      <c r="P54" s="1061"/>
      <c r="Q54" s="53"/>
      <c r="R54" s="2"/>
      <c r="S54" s="2"/>
      <c r="T54" s="2"/>
    </row>
    <row r="55" spans="1:20">
      <c r="A55" s="22">
        <v>42319</v>
      </c>
      <c r="B55" s="20" t="s">
        <v>1</v>
      </c>
      <c r="C55" s="30">
        <f t="shared" si="8"/>
        <v>42319</v>
      </c>
      <c r="D55" s="30"/>
      <c r="E55" s="55"/>
      <c r="F55" s="55"/>
      <c r="G55" s="55"/>
      <c r="H55" s="55"/>
      <c r="I55" s="2"/>
      <c r="J55" s="1061"/>
      <c r="K55" s="1061"/>
      <c r="L55" s="1061"/>
      <c r="M55" s="1061"/>
      <c r="N55" s="1061"/>
      <c r="O55" s="1061"/>
      <c r="P55" s="1061"/>
      <c r="Q55" s="53"/>
      <c r="R55" s="2"/>
      <c r="S55" s="2"/>
      <c r="T55" s="2"/>
    </row>
    <row r="56" spans="1:20">
      <c r="A56" s="22">
        <v>42334</v>
      </c>
      <c r="B56" s="20" t="s">
        <v>2</v>
      </c>
      <c r="C56" s="30">
        <f t="shared" si="8"/>
        <v>42334</v>
      </c>
      <c r="D56" s="30"/>
      <c r="E56" s="55"/>
      <c r="F56" s="55"/>
      <c r="G56" s="55"/>
      <c r="H56" s="55"/>
      <c r="I56" s="2"/>
      <c r="J56" s="1061"/>
      <c r="K56" s="1061"/>
      <c r="L56" s="1061"/>
      <c r="M56" s="1061"/>
      <c r="N56" s="1061"/>
      <c r="O56" s="1061"/>
      <c r="P56" s="1061"/>
      <c r="Q56" s="53"/>
      <c r="R56" s="2"/>
      <c r="S56" s="2"/>
      <c r="T56" s="2"/>
    </row>
    <row r="57" spans="1:20">
      <c r="A57" s="22">
        <v>42363</v>
      </c>
      <c r="B57" s="20" t="s">
        <v>4</v>
      </c>
      <c r="C57" s="30">
        <f t="shared" si="8"/>
        <v>42363</v>
      </c>
      <c r="D57" s="30"/>
      <c r="E57" s="55"/>
      <c r="F57" s="55"/>
      <c r="G57" s="55"/>
      <c r="H57" s="55"/>
      <c r="I57" s="2"/>
      <c r="J57" s="1061"/>
      <c r="K57" s="1061"/>
      <c r="L57" s="1061"/>
      <c r="M57" s="1061"/>
      <c r="N57" s="1061"/>
      <c r="O57" s="1061"/>
      <c r="P57" s="1061"/>
      <c r="Q57" s="53"/>
      <c r="R57" s="2"/>
      <c r="S57" s="2"/>
      <c r="T57" s="2"/>
    </row>
    <row r="58" spans="1:20">
      <c r="A58" s="22">
        <v>42370</v>
      </c>
      <c r="B58" s="20" t="s">
        <v>5</v>
      </c>
      <c r="C58" s="30">
        <f t="shared" ref="C58:C66" si="9">A58</f>
        <v>42370</v>
      </c>
      <c r="D58" s="30"/>
      <c r="E58" s="55"/>
      <c r="F58" s="55"/>
      <c r="G58" s="55"/>
      <c r="H58" s="55"/>
      <c r="I58" s="2"/>
      <c r="J58" s="1061"/>
      <c r="K58" s="1061"/>
      <c r="L58" s="1061"/>
      <c r="M58" s="1061"/>
      <c r="N58" s="1061"/>
      <c r="O58" s="1061"/>
      <c r="P58" s="1061"/>
      <c r="Q58" s="53"/>
      <c r="R58" s="2"/>
      <c r="S58" s="2"/>
      <c r="T58" s="2"/>
    </row>
    <row r="59" spans="1:20">
      <c r="A59" s="22">
        <v>42387</v>
      </c>
      <c r="B59" s="20" t="s">
        <v>6</v>
      </c>
      <c r="C59" s="30">
        <f t="shared" si="9"/>
        <v>42387</v>
      </c>
      <c r="D59" s="30"/>
      <c r="E59" s="55"/>
      <c r="F59" s="55"/>
      <c r="G59" s="55"/>
      <c r="H59" s="55"/>
      <c r="I59" s="2"/>
      <c r="J59" s="1061"/>
      <c r="K59" s="1061"/>
      <c r="L59" s="1061"/>
      <c r="M59" s="1061"/>
      <c r="N59" s="1061"/>
      <c r="O59" s="1061"/>
      <c r="P59" s="1061"/>
      <c r="Q59" s="53"/>
      <c r="R59" s="2"/>
      <c r="S59" s="2"/>
      <c r="T59" s="2"/>
    </row>
    <row r="60" spans="1:20">
      <c r="A60" s="22">
        <v>42415</v>
      </c>
      <c r="B60" s="20" t="s">
        <v>7</v>
      </c>
      <c r="C60" s="30">
        <f t="shared" si="9"/>
        <v>42415</v>
      </c>
      <c r="D60" s="30"/>
      <c r="E60" s="55"/>
      <c r="F60" s="55"/>
      <c r="G60" s="55"/>
      <c r="H60" s="55"/>
      <c r="I60" s="2"/>
      <c r="J60" s="1061"/>
      <c r="K60" s="1061"/>
      <c r="L60" s="1061"/>
      <c r="M60" s="1061"/>
      <c r="N60" s="1061"/>
      <c r="O60" s="1061"/>
      <c r="P60" s="1061"/>
      <c r="Q60" s="53"/>
      <c r="R60" s="2"/>
      <c r="S60" s="2"/>
      <c r="T60" s="2"/>
    </row>
    <row r="61" spans="1:20">
      <c r="A61" s="22">
        <v>42520</v>
      </c>
      <c r="B61" s="20" t="s">
        <v>8</v>
      </c>
      <c r="C61" s="30">
        <f t="shared" si="9"/>
        <v>42520</v>
      </c>
      <c r="D61" s="30"/>
      <c r="E61" s="55"/>
      <c r="F61" s="55"/>
      <c r="G61" s="55"/>
      <c r="H61" s="55"/>
      <c r="I61" s="2"/>
      <c r="J61" s="1061"/>
      <c r="K61" s="1061"/>
      <c r="L61" s="1061"/>
      <c r="M61" s="1061"/>
      <c r="N61" s="1061"/>
      <c r="O61" s="1061"/>
      <c r="P61" s="1061"/>
      <c r="Q61" s="53"/>
      <c r="R61" s="2"/>
      <c r="S61" s="2"/>
      <c r="T61" s="2"/>
    </row>
    <row r="62" spans="1:20">
      <c r="A62" s="22">
        <v>42555</v>
      </c>
      <c r="B62" s="20" t="s">
        <v>9</v>
      </c>
      <c r="C62" s="30">
        <f t="shared" si="9"/>
        <v>42555</v>
      </c>
      <c r="D62" s="30"/>
      <c r="E62" s="55"/>
      <c r="F62" s="55"/>
      <c r="G62" s="55"/>
      <c r="H62" s="55"/>
      <c r="I62" s="2"/>
      <c r="J62" s="1061"/>
      <c r="K62" s="1061"/>
      <c r="L62" s="1061"/>
      <c r="M62" s="1061"/>
      <c r="N62" s="1061"/>
      <c r="O62" s="1061"/>
      <c r="P62" s="1061"/>
      <c r="Q62" s="53"/>
      <c r="R62" s="2"/>
      <c r="S62" s="2"/>
      <c r="T62" s="2"/>
    </row>
    <row r="63" spans="1:20">
      <c r="A63" s="22">
        <v>42618</v>
      </c>
      <c r="B63" s="20" t="s">
        <v>10</v>
      </c>
      <c r="C63" s="30">
        <f t="shared" si="9"/>
        <v>42618</v>
      </c>
      <c r="D63" s="30"/>
      <c r="E63" s="55"/>
      <c r="F63" s="55"/>
      <c r="G63" s="55"/>
      <c r="H63" s="55"/>
      <c r="I63" s="2"/>
      <c r="J63" s="1061"/>
      <c r="K63" s="1061"/>
      <c r="L63" s="1061"/>
      <c r="M63" s="1061"/>
      <c r="N63" s="1061"/>
      <c r="O63" s="1061"/>
      <c r="P63" s="1061"/>
      <c r="Q63" s="53"/>
      <c r="R63" s="2"/>
      <c r="S63" s="2"/>
      <c r="T63" s="2"/>
    </row>
    <row r="64" spans="1:20">
      <c r="A64" s="22">
        <v>42685</v>
      </c>
      <c r="B64" s="20" t="s">
        <v>1</v>
      </c>
      <c r="C64" s="30">
        <f t="shared" si="9"/>
        <v>42685</v>
      </c>
      <c r="D64" s="30"/>
      <c r="E64" s="55"/>
      <c r="F64" s="55"/>
      <c r="G64" s="55"/>
      <c r="H64" s="55"/>
      <c r="I64" s="2"/>
      <c r="J64" s="1061"/>
      <c r="K64" s="1061"/>
      <c r="L64" s="1061"/>
      <c r="M64" s="1061"/>
      <c r="N64" s="1061"/>
      <c r="O64" s="1061"/>
      <c r="P64" s="1061"/>
      <c r="Q64" s="53"/>
      <c r="R64" s="2"/>
      <c r="S64" s="2"/>
      <c r="T64" s="2"/>
    </row>
    <row r="65" spans="1:20">
      <c r="A65" s="22">
        <v>42698</v>
      </c>
      <c r="B65" s="20" t="s">
        <v>2</v>
      </c>
      <c r="C65" s="30">
        <f t="shared" si="9"/>
        <v>42698</v>
      </c>
      <c r="D65" s="30"/>
      <c r="E65" s="55"/>
      <c r="F65" s="55"/>
      <c r="G65" s="55"/>
      <c r="H65" s="55"/>
      <c r="I65" s="2"/>
      <c r="J65" s="1061"/>
      <c r="K65" s="1061"/>
      <c r="L65" s="1061"/>
      <c r="M65" s="1061"/>
      <c r="N65" s="1061"/>
      <c r="O65" s="1061"/>
      <c r="P65" s="1061"/>
      <c r="Q65" s="53"/>
      <c r="R65" s="2"/>
      <c r="S65" s="2"/>
      <c r="T65" s="2"/>
    </row>
    <row r="66" spans="1:20">
      <c r="A66" s="22">
        <v>42730</v>
      </c>
      <c r="B66" s="20" t="s">
        <v>4</v>
      </c>
      <c r="C66" s="30">
        <f t="shared" si="9"/>
        <v>42730</v>
      </c>
      <c r="D66" s="30"/>
      <c r="E66" s="55"/>
      <c r="F66" s="55"/>
      <c r="G66" s="55"/>
      <c r="H66" s="55"/>
      <c r="I66" s="2"/>
      <c r="J66" s="1061"/>
      <c r="K66" s="1061"/>
      <c r="L66" s="1061"/>
      <c r="M66" s="1061"/>
      <c r="N66" s="1061"/>
      <c r="O66" s="1061"/>
      <c r="P66" s="1061"/>
      <c r="Q66" s="53"/>
      <c r="R66" s="2"/>
      <c r="S66" s="2"/>
      <c r="T66" s="2"/>
    </row>
    <row r="67" spans="1:20">
      <c r="A67" s="22">
        <v>42737</v>
      </c>
      <c r="B67" s="20" t="s">
        <v>5</v>
      </c>
      <c r="C67" s="30">
        <f t="shared" ref="C67:C75" si="10">A67</f>
        <v>42737</v>
      </c>
      <c r="D67" s="30"/>
      <c r="E67" s="55"/>
      <c r="F67" s="55"/>
      <c r="G67" s="55"/>
      <c r="H67" s="55"/>
      <c r="I67" s="2"/>
      <c r="J67" s="1061"/>
      <c r="K67" s="1061"/>
      <c r="L67" s="1061"/>
      <c r="M67" s="1061"/>
      <c r="N67" s="1061"/>
      <c r="O67" s="1061"/>
      <c r="P67" s="1061"/>
      <c r="Q67" s="53"/>
      <c r="R67" s="2"/>
      <c r="S67" s="2"/>
      <c r="T67" s="2"/>
    </row>
    <row r="68" spans="1:20">
      <c r="A68" s="22">
        <v>42751</v>
      </c>
      <c r="B68" s="20" t="s">
        <v>6</v>
      </c>
      <c r="C68" s="30">
        <f t="shared" si="10"/>
        <v>42751</v>
      </c>
      <c r="D68" s="30"/>
      <c r="E68" s="55"/>
      <c r="F68" s="55"/>
      <c r="G68" s="55"/>
      <c r="H68" s="55"/>
      <c r="I68" s="2"/>
      <c r="J68" s="1061"/>
      <c r="K68" s="1061"/>
      <c r="L68" s="1061"/>
      <c r="M68" s="1061"/>
      <c r="N68" s="1061"/>
      <c r="O68" s="1061"/>
      <c r="P68" s="1061"/>
      <c r="Q68" s="53"/>
      <c r="R68" s="2"/>
      <c r="S68" s="2"/>
      <c r="T68" s="2"/>
    </row>
    <row r="69" spans="1:20">
      <c r="A69" s="22">
        <v>42786</v>
      </c>
      <c r="B69" s="20" t="s">
        <v>7</v>
      </c>
      <c r="C69" s="30">
        <f t="shared" si="10"/>
        <v>42786</v>
      </c>
      <c r="D69" s="30"/>
      <c r="E69" s="55"/>
      <c r="F69" s="55"/>
      <c r="G69" s="55"/>
      <c r="H69" s="55"/>
      <c r="I69" s="2"/>
      <c r="J69" s="1061"/>
      <c r="K69" s="1061"/>
      <c r="L69" s="1061"/>
      <c r="M69" s="1061"/>
      <c r="N69" s="1061"/>
      <c r="O69" s="1061"/>
      <c r="P69" s="1061"/>
      <c r="Q69" s="53"/>
      <c r="R69" s="2"/>
      <c r="S69" s="2"/>
      <c r="T69" s="2"/>
    </row>
    <row r="70" spans="1:20">
      <c r="A70" s="22">
        <v>42884</v>
      </c>
      <c r="B70" s="20" t="s">
        <v>8</v>
      </c>
      <c r="C70" s="30">
        <f t="shared" si="10"/>
        <v>42884</v>
      </c>
      <c r="D70" s="30"/>
      <c r="E70" s="55"/>
      <c r="F70" s="55"/>
      <c r="G70" s="55"/>
      <c r="H70" s="55"/>
      <c r="I70" s="2"/>
      <c r="J70" s="1061"/>
      <c r="K70" s="1061"/>
      <c r="L70" s="1061"/>
      <c r="M70" s="1061"/>
      <c r="N70" s="1061"/>
      <c r="O70" s="1061"/>
      <c r="P70" s="1061"/>
      <c r="Q70" s="53"/>
      <c r="R70" s="2"/>
      <c r="S70" s="2"/>
      <c r="T70" s="2"/>
    </row>
    <row r="71" spans="1:20">
      <c r="A71" s="22">
        <v>42920</v>
      </c>
      <c r="B71" s="20" t="s">
        <v>9</v>
      </c>
      <c r="C71" s="30">
        <f t="shared" si="10"/>
        <v>42920</v>
      </c>
      <c r="D71" s="30"/>
      <c r="E71" s="55"/>
      <c r="F71" s="55"/>
      <c r="G71" s="55"/>
      <c r="H71" s="55"/>
      <c r="I71" s="2"/>
      <c r="J71" s="1061"/>
      <c r="K71" s="1061"/>
      <c r="L71" s="1061"/>
      <c r="M71" s="1061"/>
      <c r="N71" s="1061"/>
      <c r="O71" s="1061"/>
      <c r="P71" s="1061"/>
      <c r="Q71" s="53"/>
      <c r="R71" s="2"/>
      <c r="S71" s="2"/>
      <c r="T71" s="2"/>
    </row>
    <row r="72" spans="1:20">
      <c r="A72" s="22">
        <v>42982</v>
      </c>
      <c r="B72" s="20" t="s">
        <v>10</v>
      </c>
      <c r="C72" s="30">
        <f t="shared" si="10"/>
        <v>42982</v>
      </c>
      <c r="D72" s="30"/>
      <c r="E72" s="55"/>
      <c r="F72" s="55"/>
      <c r="G72" s="55"/>
      <c r="H72" s="55"/>
      <c r="I72" s="2"/>
      <c r="J72" s="1061"/>
      <c r="K72" s="1061"/>
      <c r="L72" s="1061"/>
      <c r="M72" s="1061"/>
      <c r="N72" s="1061"/>
      <c r="O72" s="1061"/>
      <c r="P72" s="1061"/>
      <c r="Q72" s="53"/>
      <c r="R72" s="2"/>
      <c r="S72" s="2"/>
      <c r="T72" s="2"/>
    </row>
    <row r="73" spans="1:20">
      <c r="A73" s="22">
        <v>43049</v>
      </c>
      <c r="B73" s="20" t="s">
        <v>1</v>
      </c>
      <c r="C73" s="30">
        <f t="shared" si="10"/>
        <v>43049</v>
      </c>
      <c r="D73" s="30"/>
      <c r="E73" s="55"/>
      <c r="F73" s="55"/>
      <c r="G73" s="55"/>
      <c r="H73" s="55"/>
      <c r="I73" s="2"/>
      <c r="J73" s="1061"/>
      <c r="K73" s="1061"/>
      <c r="L73" s="1061"/>
      <c r="M73" s="1061"/>
      <c r="N73" s="1061"/>
      <c r="O73" s="1061"/>
      <c r="P73" s="1061"/>
      <c r="Q73" s="53"/>
      <c r="R73" s="2"/>
      <c r="S73" s="2"/>
      <c r="T73" s="2"/>
    </row>
    <row r="74" spans="1:20">
      <c r="A74" s="22">
        <v>43062</v>
      </c>
      <c r="B74" s="20" t="s">
        <v>2</v>
      </c>
      <c r="C74" s="30">
        <f t="shared" si="10"/>
        <v>43062</v>
      </c>
      <c r="D74" s="30"/>
      <c r="E74" s="55"/>
      <c r="F74" s="55"/>
      <c r="G74" s="55"/>
      <c r="H74" s="55"/>
      <c r="I74" s="2"/>
      <c r="J74" s="1061"/>
      <c r="K74" s="1061"/>
      <c r="L74" s="1061"/>
      <c r="M74" s="1061"/>
      <c r="N74" s="1061"/>
      <c r="O74" s="1061"/>
      <c r="P74" s="1061"/>
      <c r="Q74" s="53"/>
      <c r="R74" s="2"/>
      <c r="S74" s="2"/>
      <c r="T74" s="2"/>
    </row>
    <row r="75" spans="1:20">
      <c r="A75" s="22">
        <v>43094</v>
      </c>
      <c r="B75" s="20" t="s">
        <v>4</v>
      </c>
      <c r="C75" s="30">
        <f t="shared" si="10"/>
        <v>43094</v>
      </c>
      <c r="D75" s="30"/>
      <c r="E75" s="55"/>
      <c r="F75" s="55"/>
      <c r="G75" s="55"/>
      <c r="H75" s="55"/>
      <c r="I75" s="2"/>
      <c r="J75" s="1061"/>
      <c r="K75" s="1061"/>
      <c r="L75" s="1061"/>
      <c r="M75" s="1061"/>
      <c r="N75" s="1061"/>
      <c r="O75" s="1061"/>
      <c r="P75" s="1061"/>
      <c r="Q75" s="53"/>
      <c r="R75" s="2"/>
      <c r="S75" s="2"/>
      <c r="T75" s="2"/>
    </row>
    <row r="76" spans="1:20">
      <c r="A76" s="22">
        <v>43101</v>
      </c>
      <c r="B76" s="20" t="s">
        <v>5</v>
      </c>
      <c r="C76" s="30">
        <f t="shared" si="8"/>
        <v>43101</v>
      </c>
      <c r="D76" s="30"/>
      <c r="E76" s="55"/>
      <c r="F76" s="55"/>
      <c r="G76" s="55"/>
      <c r="H76" s="55"/>
      <c r="I76" s="2"/>
      <c r="J76" s="1061"/>
      <c r="K76" s="1061"/>
      <c r="L76" s="1061"/>
      <c r="M76" s="1061"/>
      <c r="N76" s="1061"/>
      <c r="O76" s="1061"/>
      <c r="P76" s="1061"/>
      <c r="Q76" s="53"/>
      <c r="R76" s="2"/>
      <c r="S76" s="2"/>
      <c r="T76" s="2"/>
    </row>
    <row r="77" spans="1:20">
      <c r="A77" s="18" t="s">
        <v>17</v>
      </c>
      <c r="B77" s="19"/>
      <c r="C77" s="7"/>
      <c r="D77" s="7"/>
      <c r="E77" s="56"/>
      <c r="F77" s="56"/>
      <c r="G77" s="56"/>
      <c r="H77" s="56"/>
      <c r="I77" s="2"/>
      <c r="J77" s="1061"/>
      <c r="K77" s="1061"/>
      <c r="L77" s="1061"/>
      <c r="M77" s="1061"/>
      <c r="N77" s="1061"/>
      <c r="O77" s="1061"/>
      <c r="P77" s="106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3" t="s">
        <v>363</v>
      </c>
      <c r="C2" s="1063"/>
      <c r="D2" s="1063"/>
      <c r="E2" s="1063"/>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5" t="s">
        <v>414</v>
      </c>
      <c r="C15" s="1065"/>
      <c r="D15" s="1065"/>
      <c r="E15" s="1065"/>
      <c r="F15" s="1065"/>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4" t="str">
        <f>S.Staff.Program.Mgr.FullName&amp;", "&amp;S.Staff.Program.Mgr.Div&amp;": "&amp;S.Staff.Program.Mgr.SectionName&amp;""</f>
        <v>David Collier, OP: Air Quality Planning</v>
      </c>
      <c r="D17" s="1064"/>
      <c r="E17" s="1064"/>
      <c r="F17" s="75"/>
      <c r="G17" s="75"/>
      <c r="H17" s="75"/>
      <c r="I17" s="75"/>
      <c r="J17" s="75"/>
      <c r="K17" s="75"/>
      <c r="L17" s="75"/>
      <c r="M17" s="75"/>
      <c r="N17" s="75"/>
    </row>
    <row r="18" spans="1:14" ht="25.5" customHeight="1">
      <c r="B18" s="612" t="s">
        <v>478</v>
      </c>
      <c r="C18" s="1064" t="str">
        <f>S.Staff.Subject.Expert.FullName&amp;", "&amp;S.Staff.Program.Mgr.Div&amp;": "&amp;S.Staff.Program.Mgr.SectionName&amp;""</f>
        <v>Brian Finneran, OP: Air Quality Planning</v>
      </c>
      <c r="D18" s="1064"/>
      <c r="E18" s="1064"/>
      <c r="F18" s="75"/>
      <c r="G18" s="75"/>
      <c r="H18" s="75"/>
      <c r="I18" s="75"/>
      <c r="J18" s="75"/>
      <c r="K18" s="75"/>
      <c r="L18" s="75"/>
      <c r="M18" s="75"/>
      <c r="N18" s="75"/>
    </row>
    <row r="19" spans="1:14" ht="25.5" customHeight="1">
      <c r="B19" s="612" t="s">
        <v>479</v>
      </c>
      <c r="C19" s="1064" t="str">
        <f>S.Staff.RG.Lead.Full.Name&amp;", "&amp;S.Staff.RG.Lead.Div&amp;": "&amp;S.Staff.RG.Lead.SectionName&amp;""</f>
        <v>Andrea Gartenbaum, OP: Agency Rules</v>
      </c>
      <c r="D19" s="1064"/>
      <c r="E19" s="1064"/>
      <c r="F19" s="75"/>
      <c r="G19" s="75"/>
      <c r="H19" s="75"/>
      <c r="I19" s="75"/>
      <c r="J19" s="75"/>
      <c r="K19" s="75"/>
      <c r="L19" s="75"/>
      <c r="M19" s="75"/>
      <c r="N19" s="75"/>
    </row>
    <row r="20" spans="1:14" ht="12" customHeight="1">
      <c r="B20" s="1066" t="s">
        <v>519</v>
      </c>
      <c r="C20" s="1066"/>
      <c r="D20" s="1066"/>
      <c r="E20" s="1066"/>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41908</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7" t="s">
        <v>360</v>
      </c>
      <c r="B103" s="1067"/>
      <c r="C103" s="615"/>
      <c r="D103" s="615"/>
      <c r="E103" s="615"/>
      <c r="F103" s="75"/>
      <c r="G103" s="75"/>
      <c r="H103" s="75"/>
      <c r="I103" s="75"/>
      <c r="J103" s="75"/>
      <c r="K103" s="75"/>
      <c r="L103" s="75"/>
      <c r="M103" s="75"/>
      <c r="N103" s="75"/>
    </row>
    <row r="104" spans="1:14" s="23" customFormat="1" ht="20.25">
      <c r="A104" s="616"/>
      <c r="B104" s="75"/>
      <c r="C104" s="1068" t="str">
        <f>S.Staff.Program.Mgr.FullName&amp;", "&amp;S.Staff.Program.Mgr.Div&amp;": "&amp;S.Staff.Program.Mgr.SectionName&amp;"     DATE"</f>
        <v>David Collier, OP: Air Quality Planning     DATE</v>
      </c>
      <c r="D104" s="1068"/>
      <c r="E104" s="106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7" t="s">
        <v>479</v>
      </c>
      <c r="B106" s="1067"/>
      <c r="C106" s="615"/>
      <c r="D106" s="615"/>
      <c r="E106" s="615"/>
      <c r="F106" s="75"/>
      <c r="G106" s="75"/>
      <c r="H106" s="75"/>
      <c r="I106" s="75"/>
      <c r="J106" s="75"/>
      <c r="K106" s="75"/>
      <c r="L106" s="75"/>
      <c r="M106" s="75"/>
      <c r="N106" s="75"/>
    </row>
    <row r="107" spans="1:14" s="23" customFormat="1" ht="30.75" customHeight="1">
      <c r="A107" s="75"/>
      <c r="B107" s="75"/>
      <c r="C107" s="1069" t="str">
        <f>S.Staff.RG.Lead.Full.Name&amp;", "&amp;S.Staff.RG.Lead.Div&amp;": "&amp;S.Staff.RG.Lead.SectionName&amp;"     DATE"</f>
        <v>Andrea Gartenbaum, OP: Agency Rules     DATE</v>
      </c>
      <c r="D107" s="1069"/>
      <c r="E107" s="1069"/>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2014-05-14T17:00:39Z</cp:lastPrinted>
  <dcterms:created xsi:type="dcterms:W3CDTF">2012-04-11T21:44:01Z</dcterms:created>
  <dcterms:modified xsi:type="dcterms:W3CDTF">2014-06-23T22:37:57Z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