
<file path=[Content_Types].xml><?xml version="1.0" encoding="utf-8"?>
<Types xmlns="http://schemas.openxmlformats.org/package/2006/content-types">
  <Default Extension="bin" ContentType="application/vnd.openxmlformats-officedocument.spreadsheetml.printerSettings"/>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aveExternalLinkValues="0" codeName="ThisWorkbook"/>
  <bookViews>
    <workbookView xWindow="0" yWindow="0" windowWidth="15600" windowHeight="11760" tabRatio="488"/>
  </bookViews>
  <sheets>
    <sheet name="CodeName.ScheduleOfTasks" sheetId="94" r:id="rId1"/>
    <sheet name="ConditionalFormat" sheetId="93" state="hidden" r:id="rId2"/>
    <sheet name="AddToPlan" sheetId="97" state="hidden" r:id="rId3"/>
    <sheet name="AQ.CFPp2.Calendar" sheetId="102" state="hidden" r:id="rId4"/>
    <sheet name="GetStarted" sheetId="96" r:id="rId5"/>
    <sheet name="HearingAndAdDates" sheetId="99" state="hidden" r:id="rId6"/>
    <sheet name="DDLs" sheetId="84" r:id="rId7"/>
    <sheet name="PartnershipAgreement" sheetId="103" state="hidden" r:id="rId8"/>
    <sheet name="OwnConsultInform" sheetId="104" state="hidden" r:id="rId9"/>
  </sheets>
  <definedNames>
    <definedName name="_xlnm.Print_Area" localSheetId="3">AQ.CFPp2.Calendar!$A$1:$BI$56</definedName>
    <definedName name="_xlnm.Print_Area" localSheetId="0">CodeName.ScheduleOfTasks!$B$1:$H$866</definedName>
    <definedName name="S.AC.BANNER.Begin">CodeName.ScheduleOfTasks!$G$12</definedName>
    <definedName name="S.AC.BANNER.End">CodeName.ScheduleOfTasks!$H$12</definedName>
    <definedName name="S.AC.Charter">CodeName.ScheduleOfTasks!$C$319</definedName>
    <definedName name="S.AC.CommitteeInvolved">CodeName.ScheduleOfTasks!$C$12</definedName>
    <definedName name="S.AC.DateMeeting1">CodeName.ScheduleOfTasks!$G$332</definedName>
    <definedName name="S.AC.DateMeeting2">CodeName.ScheduleOfTasks!$G$357</definedName>
    <definedName name="S.AC.DateMeeting3">CodeName.ScheduleOfTasks!$G$380</definedName>
    <definedName name="S.AC.DateMeeting4">CodeName.ScheduleOfTasks!$G$403</definedName>
    <definedName name="S.AC.DateMeeting5">CodeName.ScheduleOfTasks!$G$426</definedName>
    <definedName name="S.AC.InvolveMeeting1">CodeName.ScheduleOfTasks!$C$332</definedName>
    <definedName name="S.AC.InvolveMeeting2">CodeName.ScheduleOfTasks!$C$357</definedName>
    <definedName name="S.AC.InvolveMeeting3">CodeName.ScheduleOfTasks!$C$380</definedName>
    <definedName name="S.AC.InvolveMeeting4">CodeName.ScheduleOfTasks!$C$403</definedName>
    <definedName name="S.AC.InvolveMeeting5">CodeName.ScheduleOfTasks!$C$426</definedName>
    <definedName name="S.AC.Presentation1">CodeName.ScheduleOfTasks!$C$346</definedName>
    <definedName name="S.AC.Presentation2">CodeName.ScheduleOfTasks!$C$368</definedName>
    <definedName name="S.AC.Presentation3">CodeName.ScheduleOfTasks!$C$391</definedName>
    <definedName name="S.AC.Presentation4">CodeName.ScheduleOfTasks!$C$414</definedName>
    <definedName name="S.AC.Presentation5">CodeName.ScheduleOfTasks!$C$437</definedName>
    <definedName name="S.AC.SendInvitation">CodeName.ScheduleOfTasks!$H$330</definedName>
    <definedName name="S.AC.WebPage">CodeName.ScheduleOfTasks!$C$318</definedName>
    <definedName name="S.Comment.ApproveResponseLoop2">CodeName.ScheduleOfTasks!$C$709</definedName>
    <definedName name="S.Comment.ApproveResponseLoop3">CodeName.ScheduleOfTasks!$C$710</definedName>
    <definedName name="S.Comment.ApproveResponseLoop4">CodeName.ScheduleOfTasks!$C$711</definedName>
    <definedName name="S.DDL.BudgetAnalyst">GetStarted!$B$37:$B$39</definedName>
    <definedName name="S.DDL.EQC.Cell1">DDLs!$D$1</definedName>
    <definedName name="S.DDL.EQC.Year">DDLs!#REF!</definedName>
    <definedName name="S.DDL.LegLiason">GetStarted!$B$42:$B$44</definedName>
    <definedName name="S.DDL.MediaManager">GetStarted!$B$32:$B$34</definedName>
    <definedName name="S.DDL_Bulletin">DDLs!$A$80:$A$187</definedName>
    <definedName name="S.DDL_DEQClosed">DDLs!$A$28:$A$76</definedName>
    <definedName name="S.DDL_EQCMeeting">DDLs!$A$4:$A$25</definedName>
    <definedName name="S.Default6">CodeName.ScheduleOfTasks!$AG$718</definedName>
    <definedName name="S.DIRECTOR.Approves.ForDEQRulemakingPlan">CodeName.ScheduleOfTasks!$AH$6</definedName>
    <definedName name="S.EndOfRulemaking">CodeName.ScheduleOfTasks!$H$864</definedName>
    <definedName name="S.EQC.1on1Briefing">CodeName.ScheduleOfTasks!$C$779</definedName>
    <definedName name="S.EQC.ApprovePacketLoop1">CodeName.ScheduleOfTasks!$C$766</definedName>
    <definedName name="S.EQC.ApprovePacketLoop2">CodeName.ScheduleOfTasks!$C$770</definedName>
    <definedName name="S.EQC.ApprovePacketLoop3">CodeName.ScheduleOfTasks!$C$774</definedName>
    <definedName name="S.EQC.ApprovePacketLoop4">CodeName.ScheduleOfTasks!$C$785</definedName>
    <definedName name="S.EQC.ApprovePresentationLoop2">CodeName.ScheduleOfTasks!$C$664</definedName>
    <definedName name="S.EQC.ApprovePresentationLoop3">CodeName.ScheduleOfTasks!$C$665</definedName>
    <definedName name="S.EQC.ApprovePresentationLoop4">CodeName.ScheduleOfTasks!$C$666</definedName>
    <definedName name="S.EQC.BANNER.Begin">CodeName.ScheduleOfTasks!$G$34</definedName>
    <definedName name="S.EQC.BANNER.End">CodeName.ScheduleOfTasks!$H$34</definedName>
    <definedName name="S.EQC.DirectorsReport1">CodeName.ScheduleOfTasks!$G$37</definedName>
    <definedName name="S.EQC.DirectorsReport2">CodeName.ScheduleOfTasks!$H$37</definedName>
    <definedName name="S.EQC.DirReport">CodeName.ScheduleOfTasks!$C$37</definedName>
    <definedName name="S.EQC.FacHearing">CodeName.ScheduleOfTasks!$C$39</definedName>
    <definedName name="S.EQC.FacHearing1">CodeName.ScheduleOfTasks!$G$39</definedName>
    <definedName name="S.EQC.FacHearing2">CodeName.ScheduleOfTasks!$H$39</definedName>
    <definedName name="S.EQC.FacHearingDates">CodeName.ScheduleOfTasks!$G$219:$G$226</definedName>
    <definedName name="S.EQC.InfoItem">CodeName.ScheduleOfTasks!$C$38</definedName>
    <definedName name="S.EQC.InfoItem1">CodeName.ScheduleOfTasks!$G$38</definedName>
    <definedName name="S.EQC.InfoItem2">CodeName.ScheduleOfTasks!$H$38</definedName>
    <definedName name="S.EQC.Meeting">CodeName.ScheduleOfTasks!$H$42</definedName>
    <definedName name="S.EQC.MeetingNEXT">CodeName.ScheduleOfTasks!$AH$5</definedName>
    <definedName name="S.EQC.PacketBeginReview">CodeName.ScheduleOfTasks!$G$766</definedName>
    <definedName name="S.EQC.PacketEndReview">CodeName.ScheduleOfTasks!$H$787</definedName>
    <definedName name="S.EQC.SubmitStaffRpt">CodeName.ScheduleOfTasks!$H$41</definedName>
    <definedName name="S.Fee.ApproveDASdenialResponseLoop1">CodeName.ScheduleOfTasks!$C$479</definedName>
    <definedName name="S.Fee.ApproveDASdenialResponseLoop2">CodeName.ScheduleOfTasks!$C$480</definedName>
    <definedName name="S.Fee.ApproveDASdenialResponseLoop4">CodeName.ScheduleOfTasks!$C$481</definedName>
    <definedName name="S.Fee.ApprovePacketLoop2">CodeName.ScheduleOfTasks!$C$468</definedName>
    <definedName name="S.Fee.ApprovePacketLoop3">CodeName.ScheduleOfTasks!$C$469</definedName>
    <definedName name="S.Fee.ApprovePacketLoop4">CodeName.ScheduleOfTasks!$C$470</definedName>
    <definedName name="S.Fee.BANNER.Begin">CodeName.ScheduleOfTasks!$G$14</definedName>
    <definedName name="S.Fee.BANNER.End">CodeName.ScheduleOfTasks!$H$14</definedName>
    <definedName name="S.Fee.DASApprovalRequired">CodeName.ScheduleOfTasks!$C$15</definedName>
    <definedName name="S.Fee.Involved">CodeName.ScheduleOfTasks!$C$14</definedName>
    <definedName name="S.Fee.SubmitToDAS">CodeName.ScheduleOfTasks!$H$16</definedName>
    <definedName name="S.General.CodeName">GetStarted!$C$2</definedName>
    <definedName name="S.General.Complexity">CodeName.ScheduleOfTasks!$C$10</definedName>
    <definedName name="S.General.DaysRecommended">CodeName.ScheduleOfTasks!$I$44</definedName>
    <definedName name="S.General.LastCellSchedule">CodeName.ScheduleOfTasks!$H$866</definedName>
    <definedName name="S.General.RulemakingTitle">GetStarted!$B$2</definedName>
    <definedName name="S.General.RuleType">CodeName.ScheduleOfTasks!$C$8</definedName>
    <definedName name="S.Hearing.1stCity">CodeName.ScheduleOfTasks!$B$219</definedName>
    <definedName name="S.Hearing.1stDate">CodeName.ScheduleOfTasks!$H$31</definedName>
    <definedName name="S.Hearing.1stInvolve">CodeName.ScheduleOfTasks!$C$29</definedName>
    <definedName name="S.Hearing.1stTime">CodeName.ScheduleOfTasks!$H$219</definedName>
    <definedName name="S.Hearing.2ndCity">CodeName.ScheduleOfTasks!$B$220</definedName>
    <definedName name="S.Hearing.2ndDate">CodeName.ScheduleOfTasks!$G$220</definedName>
    <definedName name="S.Hearing.2ndInvolve">CodeName.ScheduleOfTasks!$C$220</definedName>
    <definedName name="S.Hearing.2ndTime">CodeName.ScheduleOfTasks!$H$220</definedName>
    <definedName name="S.Hearing.3rdCity">CodeName.ScheduleOfTasks!$B$221</definedName>
    <definedName name="S.Hearing.3rdDate">CodeName.ScheduleOfTasks!$G$221</definedName>
    <definedName name="S.Hearing.3rdInvolve">CodeName.ScheduleOfTasks!$C$221</definedName>
    <definedName name="S.Hearing.3rdTime">CodeName.ScheduleOfTasks!$H$221</definedName>
    <definedName name="S.Hearing.4thCity">CodeName.ScheduleOfTasks!$B$222</definedName>
    <definedName name="S.Hearing.4thDate">CodeName.ScheduleOfTasks!$G$222</definedName>
    <definedName name="S.Hearing.4thInvolve">CodeName.ScheduleOfTasks!$C$222</definedName>
    <definedName name="S.Hearing.4thTime">CodeName.ScheduleOfTasks!$H$222</definedName>
    <definedName name="S.Hearing.5thCity">CodeName.ScheduleOfTasks!$B$223</definedName>
    <definedName name="S.Hearing.5thDate">CodeName.ScheduleOfTasks!$G$223</definedName>
    <definedName name="S.Hearing.5thInvolve">CodeName.ScheduleOfTasks!$C$223</definedName>
    <definedName name="S.Hearing.5thTime">CodeName.ScheduleOfTasks!$H$223</definedName>
    <definedName name="S.Hearing.6thCity">CodeName.ScheduleOfTasks!$B$224</definedName>
    <definedName name="S.Hearing.6thDate">CodeName.ScheduleOfTasks!$G$224</definedName>
    <definedName name="S.Hearing.6thInvolve">CodeName.ScheduleOfTasks!$C$224</definedName>
    <definedName name="S.Hearing.6thTime">CodeName.ScheduleOfTasks!$H$224</definedName>
    <definedName name="S.Hearing.7thCity">CodeName.ScheduleOfTasks!$B$225</definedName>
    <definedName name="S.Hearing.7thDate">CodeName.ScheduleOfTasks!$G$225</definedName>
    <definedName name="S.Hearing.7thInvolve">CodeName.ScheduleOfTasks!$C$225</definedName>
    <definedName name="S.Hearing.7thTime">CodeName.ScheduleOfTasks!$H$225</definedName>
    <definedName name="S.Hearing.8thCity">CodeName.ScheduleOfTasks!$B$226</definedName>
    <definedName name="S.Hearing.8thDate">CodeName.ScheduleOfTasks!$G$226</definedName>
    <definedName name="S.Hearing.8thTime">CodeName.ScheduleOfTasks!$H$226</definedName>
    <definedName name="S.Hearing.8thtInvolve">CodeName.ScheduleOfTasks!$C$226</definedName>
    <definedName name="S.Hearing.BANNER.Begin">CodeName.ScheduleOfTasks!$G$29</definedName>
    <definedName name="S.Hearing.BANNER.End">CodeName.ScheduleOfTasks!$H$651</definedName>
    <definedName name="S.HearingsOfficers">HearingAndAdDates!$E$4</definedName>
    <definedName name="S.Link.RuleDevelopment">GetStarted!#REF!</definedName>
    <definedName name="S.LinkSharePoint">GetStarted!#REF!</definedName>
    <definedName name="S.Newspapers">DDLs!$B$194:$B$202</definedName>
    <definedName name="S.Notice.AD.Involved">CodeName.ScheduleOfTasks!$C$194</definedName>
    <definedName name="S.Notice.AD.PubDate1">CodeName.ScheduleOfTasks!$H$237</definedName>
    <definedName name="S.Notice.AD.PubDate2">CodeName.ScheduleOfTasks!$H$238</definedName>
    <definedName name="S.Notice.AD.PubDate3">CodeName.ScheduleOfTasks!$H$239</definedName>
    <definedName name="S.Notice.AD.PubDate4">CodeName.ScheduleOfTasks!$H$240</definedName>
    <definedName name="S.Notice.AD.PubDate5">CodeName.ScheduleOfTasks!$H$241</definedName>
    <definedName name="S.Notice.AD.PubDate6">CodeName.ScheduleOfTasks!$H$242</definedName>
    <definedName name="S.Notice.AD.PubDate7">CodeName.ScheduleOfTasks!$H$243</definedName>
    <definedName name="S.Notice.AD.PubDate8">CodeName.ScheduleOfTasks!$H$244</definedName>
    <definedName name="S.Notice.AD.PubID1">CodeName.ScheduleOfTasks!$B$237</definedName>
    <definedName name="S.Notice.AD.PubID2">CodeName.ScheduleOfTasks!$B$238</definedName>
    <definedName name="S.Notice.AD.PubID3">CodeName.ScheduleOfTasks!$B$239</definedName>
    <definedName name="S.Notice.AD.PubID4">CodeName.ScheduleOfTasks!$B$240</definedName>
    <definedName name="S.Notice.AD.PubID5">CodeName.ScheduleOfTasks!$B$241</definedName>
    <definedName name="S.Notice.AD.PubID6">CodeName.ScheduleOfTasks!$B$242</definedName>
    <definedName name="S.Notice.AD.PubID7">CodeName.ScheduleOfTasks!$B$243</definedName>
    <definedName name="S.Notice.AD.PubID8">CodeName.ScheduleOfTasks!$B$244</definedName>
    <definedName name="S.Notice.AD.ToContractServices">CodeName.ScheduleOfTasks!$H$249</definedName>
    <definedName name="S.Notice.ADABriefing">CodeName.ScheduleOfTasks!$H$589</definedName>
    <definedName name="S.Notice.ApprovePacketLoop2">CodeName.ScheduleOfTasks!$C$581</definedName>
    <definedName name="S.Notice.ApprovePacketLoop3">CodeName.ScheduleOfTasks!$C$582</definedName>
    <definedName name="S.Notice.ApprovePacketLoop4">CodeName.ScheduleOfTasks!$C$583</definedName>
    <definedName name="S.Notice.BANNER.Begin">CodeName.ScheduleOfTasks!$G$22</definedName>
    <definedName name="S.Notice.BANNER.End">CodeName.ScheduleOfTasks!$H$22</definedName>
    <definedName name="S.Notice.CloseComment">CodeName.ScheduleOfTasks!$H$32</definedName>
    <definedName name="S.Notice.CustomReviewLoop1">CodeName.ScheduleOfTasks!$C$548</definedName>
    <definedName name="S.Notice.CustomReviewLoop2">CodeName.ScheduleOfTasks!$C$552</definedName>
    <definedName name="S.Notice.CustomReviewLoop3">CodeName.ScheduleOfTasks!$C$556</definedName>
    <definedName name="S.Notice.DASNotification">CodeName.ScheduleOfTasks!$G$623</definedName>
    <definedName name="S.Notice.EndInvolveResources">CodeName.ScheduleOfTasks!#REF!</definedName>
    <definedName name="S.Notice.EPA.180days">CodeName.ScheduleOfTasks!$H$19</definedName>
    <definedName name="S.Notice.HearingInvolved">CodeName.ScheduleOfTasks!$C$29</definedName>
    <definedName name="S.Notice.InformationMeeting">CodeName.ScheduleOfTasks!$C$197</definedName>
    <definedName name="S.Notice.InOregonBulletin">CodeName.ScheduleOfTasks!$H$27</definedName>
    <definedName name="S.Notice.Involved">CodeName.ScheduleOfTasks!$C$22</definedName>
    <definedName name="S.Notice.LA.BriefingMeeting">CodeName.ScheduleOfTasks!$G$588</definedName>
    <definedName name="S.Notice.LastHearingDate">CodeName.ScheduleOfTasks!$G$227</definedName>
    <definedName name="S.Notice.MgrNoticeApproval">CodeName.ScheduleOfTasks!$H$605</definedName>
    <definedName name="S.Notice.NewsRelease">CodeName.ScheduleOfTasks!$C$195</definedName>
    <definedName name="S.Notice.OK.ToPublish">CodeName.ScheduleOfTasks!$H$610</definedName>
    <definedName name="S.Notice.OpenComment">CodeName.ScheduleOfTasks!$H$30</definedName>
    <definedName name="S.Notice.PreviewBegin">CodeName.ScheduleOfTasks!$G$593</definedName>
    <definedName name="S.Notice.PreviewEnd">CodeName.ScheduleOfTasks!$H$593</definedName>
    <definedName name="S.Notice.StartDraft">CodeName.ScheduleOfTasks!$G$493</definedName>
    <definedName name="S.Notice.StartInvolveResources">CodeName.ScheduleOfTasks!#REF!</definedName>
    <definedName name="S.Notice.Submit.ToADA">CodeName.ScheduleOfTasks!$G$25</definedName>
    <definedName name="S.Notice.Submit.ToRG">CodeName.ScheduleOfTasks!$G$24</definedName>
    <definedName name="S.Notice.Submit.ToSponsoringMgr">CodeName.ScheduleOfTasks!$G$23</definedName>
    <definedName name="S.Notice.SubmitToEPA">CodeName.ScheduleOfTasks!$H$20</definedName>
    <definedName name="S.Notice.SubmitToSOS">CodeName.ScheduleOfTasks!$H$26</definedName>
    <definedName name="S.Overview.BANNER.End">CodeName.ScheduleOfTasks!$H$3</definedName>
    <definedName name="S.Overview.BANNER.Start">CodeName.ScheduleOfTasks!$G$3</definedName>
    <definedName name="S.Planning.AddConceptToPlanDate">CodeName.ScheduleOfTasks!$H$163</definedName>
    <definedName name="S.Planning.ApproveCommunicationsLoop2">CodeName.ScheduleOfTasks!$C$208</definedName>
    <definedName name="S.Planning.ApproveCommunicationsLoop3">CodeName.ScheduleOfTasks!$C$209</definedName>
    <definedName name="S.Planning.ApproveCommunicationsLoop4">CodeName.ScheduleOfTasks!$C$210</definedName>
    <definedName name="S.Planning.BANNER.Begin">CodeName.ScheduleOfTasks!$G$54</definedName>
    <definedName name="S.Planning.BANNER.End">CodeName.ScheduleOfTasks!$H$54</definedName>
    <definedName name="S.Planning.CommunicationMeeting">CodeName.ScheduleOfTasks!$H$190</definedName>
    <definedName name="S.Planning.CommunicationsPlan">CodeName.ScheduleOfTasks!$C$192</definedName>
    <definedName name="S.Planning.DecisionToAddToPlan">CodeName.ScheduleOfTasks!$C$170</definedName>
    <definedName name="S.Planning.DraftWorkbooksEnd">CodeName.ScheduleOfTasks!$H$146</definedName>
    <definedName name="S.Planning.DraftWorkbooksStart">CodeName.ScheduleOfTasks!$G$146</definedName>
    <definedName name="S.Planning.ExpandTeam">CodeName.ScheduleOfTasks!$C$174</definedName>
    <definedName name="S.Planning.MessageMap">CodeName.ScheduleOfTasks!$C$193</definedName>
    <definedName name="S.Planning.ProgramWebPage">CodeName.ScheduleOfTasks!$C$196</definedName>
    <definedName name="S.PlanningKickoff">CodeName.ScheduleOfTasks!$H$129</definedName>
    <definedName name="S.PlanningWorkbooksStart">CodeName.ScheduleOfTasks!$G$146</definedName>
    <definedName name="S.PostEQC.BANNER.Begin">CodeName.ScheduleOfTasks!$G$46</definedName>
    <definedName name="S.PostEQC.BANNER.End">CodeName.ScheduleOfTasks!$H$46</definedName>
    <definedName name="S.PostEQC.EffectiveUponFiling">CodeName.ScheduleOfTasks!$C$49</definedName>
    <definedName name="S.PostEQC.FileRuleWithSOS">CodeName.ScheduleOfTasks!$H$47</definedName>
    <definedName name="S.PostEQC.NotifyStakeholders">CodeName.ScheduleOfTasks!$C$815</definedName>
    <definedName name="S.PostEQC.RuleEffective">CodeName.ScheduleOfTasks!$H$49</definedName>
    <definedName name="S.PostEQC.SubmitDASPart2">CodeName.ScheduleOfTasks!$H$48</definedName>
    <definedName name="S.PostEQC.SubmitSIPToEPA">CodeName.ScheduleOfTasks!$H$50</definedName>
    <definedName name="S.PublicInformartionOfficer.Involved">CodeName.ScheduleOfTasks!$AI$192</definedName>
    <definedName name="S.QtimeEnd">CodeName.ScheduleOfTasks!$H$175</definedName>
    <definedName name="S.QtimeStart">CodeName.ScheduleOfTasks!$G$123</definedName>
    <definedName name="S.SIP.Involved">CodeName.ScheduleOfTasks!$C$18</definedName>
    <definedName name="S.Staff.AAG">GetStarted!$C$17</definedName>
    <definedName name="S.Staff.AgencyRulesCoordinator">GetStarted!$C$10</definedName>
    <definedName name="S.Staff.Assistant.DA.Div">GetStarted!$E$8</definedName>
    <definedName name="S.Staff.Assistant.DA.LongName">GetStarted!$D$8</definedName>
    <definedName name="S.Staff.Assistant.DA.Pronoun">GetStarted!$G$8</definedName>
    <definedName name="S.Staff.Assistant.DA.ShortName">GetStarted!$C$8</definedName>
    <definedName name="S.Staff.Assistant.DA.Title">GetStarted!$F$8</definedName>
    <definedName name="S.Staff.Budget">GetStarted!$C$16</definedName>
    <definedName name="S.Staff.DA.ForProgram.FirstName">GetStarted!$C$24</definedName>
    <definedName name="S.Staff.DA.ForRulesGroup.FirstName">GetStarted!$C$23</definedName>
    <definedName name="S.Staff.DA.Support.ForProgram.FirstName">GetStarted!$C$25</definedName>
    <definedName name="S.Staff.Director">GetStarted!$C$21</definedName>
    <definedName name="S.Staff.EQCAssistant">GetStarted!$C$12</definedName>
    <definedName name="S.Staff.FiscalReviewer">GetStarted!$C$15</definedName>
    <definedName name="S.Staff.LegislativeLiason">GetStarted!$C$18</definedName>
    <definedName name="S.Staff.Program.Mgr.Div">GetStarted!$E$7</definedName>
    <definedName name="S.Staff.Program.Mgr.FirstName">GetStarted!$C$7</definedName>
    <definedName name="S.Staff.Program.Mgr.FullName">GetStarted!$D$7</definedName>
    <definedName name="S.Staff.Program.Mgr.Pronoun">GetStarted!$G$7</definedName>
    <definedName name="S.Staff.Program.Mgr.SectionName">GetStarted!$F$7</definedName>
    <definedName name="S.Staff.PublicAffairsOfficer">GetStarted!$C$11</definedName>
    <definedName name="S.Staff.RG.Lead.Div">GetStarted!$E$9</definedName>
    <definedName name="S.Staff.RG.Lead.FirstName">GetStarted!$C$9</definedName>
    <definedName name="S.Staff.RG.Lead.Full.Name">GetStarted!$D$9</definedName>
    <definedName name="S.Staff.RG.Lead.Pronoun">GetStarted!$G$9</definedName>
    <definedName name="S.Staff.RG.Lead.SectionName">GetStarted!$F$9</definedName>
    <definedName name="S.Staff.SIPCo">GetStarted!$C$13</definedName>
    <definedName name="S.Staff.Subject.Expert.FirstName">GetStarted!$C$6</definedName>
    <definedName name="S.Staff.Subject.Expert.FullName">GetStarted!$D$6</definedName>
    <definedName name="S.Staff.Subject.Expert.Pronoun">GetStarted!$G$6</definedName>
    <definedName name="S.Staff.Support">GetStarted!$C$19</definedName>
    <definedName name="S.Staff.TimeAccounting">GetStarted!$C$20</definedName>
    <definedName name="S.Staff.WebMaster">GetStarted!$C$14</definedName>
    <definedName name="S.StartYear">CodeName.ScheduleOfTasks!$AI$3</definedName>
    <definedName name="S.WePageLink">GetStarted!#REF!</definedName>
    <definedName name="VL_Bulletin">DDLs!$A$80:$B$187</definedName>
    <definedName name="VL_EQCActivities">DDLs!$A$4:$F$25</definedName>
  </definedNames>
  <calcPr calcId="125725"/>
</workbook>
</file>

<file path=xl/calcChain.xml><?xml version="1.0" encoding="utf-8"?>
<calcChain xmlns="http://schemas.openxmlformats.org/spreadsheetml/2006/main">
  <c r="B221" i="94"/>
  <c r="C636"/>
  <c r="C624"/>
  <c r="C597"/>
  <c r="AF229"/>
  <c r="AK31"/>
  <c r="AK233" l="1"/>
  <c r="F20"/>
  <c r="AK183"/>
  <c r="AK105"/>
  <c r="AK112"/>
  <c r="D2" i="96" l="1"/>
  <c r="B488" i="94"/>
  <c r="B288"/>
  <c r="B53"/>
  <c r="B2"/>
  <c r="AK562"/>
  <c r="AK580"/>
  <c r="AK579"/>
  <c r="AK604"/>
  <c r="AK598"/>
  <c r="AK592"/>
  <c r="AK590"/>
  <c r="AK584"/>
  <c r="AK568" l="1"/>
  <c r="B568" s="1"/>
  <c r="AK566"/>
  <c r="AF568"/>
  <c r="AF567"/>
  <c r="AK570"/>
  <c r="AK530"/>
  <c r="B530" s="1"/>
  <c r="AF531"/>
  <c r="AF530"/>
  <c r="AF543"/>
  <c r="AK542"/>
  <c r="AK543"/>
  <c r="B543" s="1"/>
  <c r="AF575"/>
  <c r="C575"/>
  <c r="C620"/>
  <c r="AF620"/>
  <c r="AK521"/>
  <c r="AK545"/>
  <c r="AK546"/>
  <c r="AF538"/>
  <c r="AK79"/>
  <c r="B79" s="1"/>
  <c r="I38"/>
  <c r="I29"/>
  <c r="I24"/>
  <c r="I23"/>
  <c r="I20"/>
  <c r="I16" s="1"/>
  <c r="I18"/>
  <c r="I15"/>
  <c r="I14"/>
  <c r="I12"/>
  <c r="I10"/>
  <c r="I8"/>
  <c r="AK32"/>
  <c r="AK41"/>
  <c r="AK25"/>
  <c r="AF564"/>
  <c r="AK24"/>
  <c r="AK23"/>
  <c r="AF25"/>
  <c r="AK97"/>
  <c r="B97" s="1"/>
  <c r="AK82"/>
  <c r="AF79"/>
  <c r="AK70"/>
  <c r="B70" s="1"/>
  <c r="AK81"/>
  <c r="AF81"/>
  <c r="AK96"/>
  <c r="AF96"/>
  <c r="AF69"/>
  <c r="AF70"/>
  <c r="AK83"/>
  <c r="AK94"/>
  <c r="AF94"/>
  <c r="AK87"/>
  <c r="AF87"/>
  <c r="AF97"/>
  <c r="C116"/>
  <c r="B82" l="1"/>
  <c r="AK58"/>
  <c r="AK71"/>
  <c r="AF82"/>
  <c r="AI192"/>
  <c r="AF195"/>
  <c r="AF194"/>
  <c r="D12"/>
  <c r="F18" l="1"/>
  <c r="F16"/>
  <c r="AK153"/>
  <c r="B153" s="1"/>
  <c r="AK161"/>
  <c r="AK152"/>
  <c r="B152" s="1"/>
  <c r="AK151"/>
  <c r="B151" s="1"/>
  <c r="AK160"/>
  <c r="AF784"/>
  <c r="AF783"/>
  <c r="AF782"/>
  <c r="AF781"/>
  <c r="AF780"/>
  <c r="AK761"/>
  <c r="B761" s="1"/>
  <c r="AK759"/>
  <c r="AK756"/>
  <c r="B756" s="1"/>
  <c r="AK760"/>
  <c r="B760" s="1"/>
  <c r="AK753"/>
  <c r="B753" s="1"/>
  <c r="AK754"/>
  <c r="B754" s="1"/>
  <c r="AK701"/>
  <c r="AK700"/>
  <c r="AK707"/>
  <c r="AF666"/>
  <c r="AF665"/>
  <c r="AF664"/>
  <c r="AK654"/>
  <c r="AF363"/>
  <c r="AF362"/>
  <c r="AF361"/>
  <c r="AF360"/>
  <c r="AK295"/>
  <c r="B295" s="1"/>
  <c r="AF293"/>
  <c r="AF296"/>
  <c r="AF303"/>
  <c r="AK292"/>
  <c r="AK157"/>
  <c r="B157" s="1"/>
  <c r="AF156"/>
  <c r="AK159"/>
  <c r="B159" s="1"/>
  <c r="AF158"/>
  <c r="AF155"/>
  <c r="AK154"/>
  <c r="B154" s="1"/>
  <c r="AH154"/>
  <c r="H154" s="1"/>
  <c r="AK162"/>
  <c r="AF615"/>
  <c r="AK614"/>
  <c r="B614" s="1"/>
  <c r="AF614"/>
  <c r="AK606"/>
  <c r="AK610"/>
  <c r="B610" s="1"/>
  <c r="AF610"/>
  <c r="AK616"/>
  <c r="B616" s="1"/>
  <c r="AF616"/>
  <c r="AK609"/>
  <c r="AF592"/>
  <c r="AF591"/>
  <c r="B580"/>
  <c r="AF580"/>
  <c r="AF572"/>
  <c r="AK22"/>
  <c r="AK572" l="1"/>
  <c r="B570"/>
  <c r="AF570"/>
  <c r="B562"/>
  <c r="AK571"/>
  <c r="B571" s="1"/>
  <c r="AF577"/>
  <c r="AK576"/>
  <c r="B566"/>
  <c r="AK569"/>
  <c r="B569" s="1"/>
  <c r="AF571"/>
  <c r="AF569"/>
  <c r="AF562"/>
  <c r="AF566"/>
  <c r="AK642"/>
  <c r="B642" s="1"/>
  <c r="AK646"/>
  <c r="AF647"/>
  <c r="AK637"/>
  <c r="AF621"/>
  <c r="AF636"/>
  <c r="AF624"/>
  <c r="AK625"/>
  <c r="AK617"/>
  <c r="AK629"/>
  <c r="AF629"/>
  <c r="AF608"/>
  <c r="AF607"/>
  <c r="B622"/>
  <c r="B592"/>
  <c r="AK591"/>
  <c r="AK587"/>
  <c r="AF528"/>
  <c r="AF527"/>
  <c r="AK526"/>
  <c r="B526" s="1"/>
  <c r="AK523"/>
  <c r="AF522"/>
  <c r="AK529"/>
  <c r="B529" s="1"/>
  <c r="AF529"/>
  <c r="AF526"/>
  <c r="AF489"/>
  <c r="B23"/>
  <c r="AF23"/>
  <c r="AG3"/>
  <c r="G3" s="1"/>
  <c r="AF6"/>
  <c r="AF509"/>
  <c r="AF508"/>
  <c r="AF507"/>
  <c r="AF32"/>
  <c r="AF30"/>
  <c r="AF22"/>
  <c r="AF29"/>
  <c r="AF18"/>
  <c r="AF14"/>
  <c r="AF12"/>
  <c r="B24"/>
  <c r="AF234"/>
  <c r="B6" i="99"/>
  <c r="E13"/>
  <c r="E12"/>
  <c r="E11"/>
  <c r="E10"/>
  <c r="E9"/>
  <c r="E8"/>
  <c r="E7"/>
  <c r="E6"/>
  <c r="D13"/>
  <c r="D12"/>
  <c r="D11"/>
  <c r="D10"/>
  <c r="D9"/>
  <c r="D7"/>
  <c r="D6"/>
  <c r="AF216" i="94"/>
  <c r="AF217"/>
  <c r="AK217"/>
  <c r="B217" s="1"/>
  <c r="AF218"/>
  <c r="AK218"/>
  <c r="AF219"/>
  <c r="AF220"/>
  <c r="AH220"/>
  <c r="H220" s="1"/>
  <c r="AF221"/>
  <c r="AH221"/>
  <c r="H221" s="1"/>
  <c r="D8" i="99" s="1"/>
  <c r="B222" i="94"/>
  <c r="AF222"/>
  <c r="AG222"/>
  <c r="G222" s="1"/>
  <c r="AH222"/>
  <c r="H222" s="1"/>
  <c r="B223"/>
  <c r="AF223"/>
  <c r="AG223"/>
  <c r="G223" s="1"/>
  <c r="AH223"/>
  <c r="H223" s="1"/>
  <c r="B224"/>
  <c r="AF224"/>
  <c r="AG224"/>
  <c r="G224" s="1"/>
  <c r="AH224"/>
  <c r="H224" s="1"/>
  <c r="B225"/>
  <c r="AF225"/>
  <c r="AG225"/>
  <c r="G225" s="1"/>
  <c r="AH225"/>
  <c r="H225" s="1"/>
  <c r="B226"/>
  <c r="AF226"/>
  <c r="AG226"/>
  <c r="G226" s="1"/>
  <c r="AH226"/>
  <c r="H226" s="1"/>
  <c r="AF227"/>
  <c r="AK229"/>
  <c r="B229" s="1"/>
  <c r="AF230"/>
  <c r="AK230"/>
  <c r="B230" s="1"/>
  <c r="AK524"/>
  <c r="AK516"/>
  <c r="B516" s="1"/>
  <c r="AF516"/>
  <c r="B107"/>
  <c r="AF107"/>
  <c r="AF106"/>
  <c r="B105"/>
  <c r="AF105"/>
  <c r="AF104"/>
  <c r="AF108"/>
  <c r="AF103"/>
  <c r="AK114"/>
  <c r="AF113"/>
  <c r="AF111"/>
  <c r="AF109"/>
  <c r="AK110"/>
  <c r="C640" l="1"/>
  <c r="AK638"/>
  <c r="AK626"/>
  <c r="AF626"/>
  <c r="AK605"/>
  <c r="AK603"/>
  <c r="AK602"/>
  <c r="AK586"/>
  <c r="AK512"/>
  <c r="AK525"/>
  <c r="B545"/>
  <c r="AF545"/>
  <c r="AK539"/>
  <c r="AK517"/>
  <c r="AF502"/>
  <c r="AF501"/>
  <c r="AK98" l="1"/>
  <c r="AK507"/>
  <c r="AF585"/>
  <c r="AK588"/>
  <c r="B587"/>
  <c r="AF587"/>
  <c r="AF525"/>
  <c r="B525"/>
  <c r="B524"/>
  <c r="AF524"/>
  <c r="AK515"/>
  <c r="AK511"/>
  <c r="AF238" l="1"/>
  <c r="AF239"/>
  <c r="AF240"/>
  <c r="AF241"/>
  <c r="AF242"/>
  <c r="AF243"/>
  <c r="AF244"/>
  <c r="AF237"/>
  <c r="AK238"/>
  <c r="B238" s="1"/>
  <c r="AK239"/>
  <c r="B239" s="1"/>
  <c r="AK240"/>
  <c r="B240" s="1"/>
  <c r="AK241"/>
  <c r="B241" s="1"/>
  <c r="AK242"/>
  <c r="B242" s="1"/>
  <c r="AK243"/>
  <c r="B243" s="1"/>
  <c r="AK244"/>
  <c r="B244" s="1"/>
  <c r="AK237"/>
  <c r="B237" s="1"/>
  <c r="AF235"/>
  <c r="B586"/>
  <c r="AF586"/>
  <c r="AF641" l="1"/>
  <c r="B637"/>
  <c r="B625"/>
  <c r="AF561"/>
  <c r="AF560"/>
  <c r="AF549"/>
  <c r="AF550"/>
  <c r="AF551"/>
  <c r="AF548"/>
  <c r="B584"/>
  <c r="AF514"/>
  <c r="AF565"/>
  <c r="AF563"/>
  <c r="AF513"/>
  <c r="AF584"/>
  <c r="B579"/>
  <c r="AF579"/>
  <c r="AF578"/>
  <c r="AK532"/>
  <c r="AF534"/>
  <c r="AK493"/>
  <c r="AF625"/>
  <c r="AK250"/>
  <c r="AK251"/>
  <c r="AF236"/>
  <c r="AF613"/>
  <c r="B233" l="1"/>
  <c r="AF232"/>
  <c r="B576"/>
  <c r="AF576"/>
  <c r="B546"/>
  <c r="AF546"/>
  <c r="AF506"/>
  <c r="AF505"/>
  <c r="AF504"/>
  <c r="AF500"/>
  <c r="AF503"/>
  <c r="AF499"/>
  <c r="AF498"/>
  <c r="AF497"/>
  <c r="AF496"/>
  <c r="AF495"/>
  <c r="AF494"/>
  <c r="AF492"/>
  <c r="AF256"/>
  <c r="AF255"/>
  <c r="AF254"/>
  <c r="AF253"/>
  <c r="AF258"/>
  <c r="AF259"/>
  <c r="AF260"/>
  <c r="AF261"/>
  <c r="AF257"/>
  <c r="B521"/>
  <c r="B512"/>
  <c r="AF512"/>
  <c r="B515"/>
  <c r="AF515"/>
  <c r="B517"/>
  <c r="AF517"/>
  <c r="AF574"/>
  <c r="B572"/>
  <c r="AF573"/>
  <c r="AF521"/>
  <c r="AF547"/>
  <c r="AF539"/>
  <c r="B507"/>
  <c r="AK537"/>
  <c r="AK509"/>
  <c r="AK544"/>
  <c r="B544" s="1"/>
  <c r="AF544"/>
  <c r="B542"/>
  <c r="AF542"/>
  <c r="AK541"/>
  <c r="AK540"/>
  <c r="AK254"/>
  <c r="B254" s="1"/>
  <c r="AK280"/>
  <c r="B280" s="1"/>
  <c r="AF280"/>
  <c r="AK282"/>
  <c r="AK270"/>
  <c r="B270" s="1"/>
  <c r="AF271"/>
  <c r="AF270"/>
  <c r="AK274"/>
  <c r="B274" s="1"/>
  <c r="AF265"/>
  <c r="AK182"/>
  <c r="B182" s="1"/>
  <c r="AF182"/>
  <c r="AK181"/>
  <c r="B181" s="1"/>
  <c r="AK150"/>
  <c r="B150" s="1"/>
  <c r="AK174"/>
  <c r="AF189"/>
  <c r="AK177"/>
  <c r="AF267"/>
  <c r="AF266"/>
  <c r="AF268"/>
  <c r="C268"/>
  <c r="AF269"/>
  <c r="C269"/>
  <c r="AF204"/>
  <c r="AF202"/>
  <c r="AK200"/>
  <c r="AK211"/>
  <c r="AK206"/>
  <c r="AK201"/>
  <c r="AK191"/>
  <c r="AK190"/>
  <c r="AF149"/>
  <c r="AF148"/>
  <c r="AF147"/>
  <c r="AF181"/>
  <c r="AF180"/>
  <c r="AK175"/>
  <c r="AK171"/>
  <c r="AK168"/>
  <c r="AK167"/>
  <c r="AK166"/>
  <c r="AK169"/>
  <c r="AK146"/>
  <c r="AF24"/>
  <c r="C136"/>
  <c r="AK117"/>
  <c r="AK122"/>
  <c r="B122" s="1"/>
  <c r="AK123"/>
  <c r="AK121"/>
  <c r="AK99"/>
  <c r="AK100"/>
  <c r="AH257" l="1"/>
  <c r="AK259"/>
  <c r="F257" s="1"/>
  <c r="C126"/>
  <c r="AK118"/>
  <c r="B117"/>
  <c r="AK120"/>
  <c r="B100"/>
  <c r="B99"/>
  <c r="C18" i="103"/>
  <c r="B71"/>
  <c r="E58"/>
  <c r="E57"/>
  <c r="E85"/>
  <c r="E52"/>
  <c r="E78"/>
  <c r="E71"/>
  <c r="E77"/>
  <c r="E70"/>
  <c r="E69"/>
  <c r="E68"/>
  <c r="B47"/>
  <c r="B69"/>
  <c r="E67"/>
  <c r="E66"/>
  <c r="B65"/>
  <c r="E25"/>
  <c r="E51"/>
  <c r="E49"/>
  <c r="D27"/>
  <c r="E45"/>
  <c r="B45"/>
  <c r="B25"/>
  <c r="B24"/>
  <c r="E48"/>
  <c r="E47"/>
  <c r="E46"/>
  <c r="E43"/>
  <c r="E44"/>
  <c r="E42"/>
  <c r="E24"/>
  <c r="E26" l="1"/>
  <c r="C19"/>
  <c r="C17"/>
  <c r="C107"/>
  <c r="C104"/>
  <c r="B32"/>
  <c r="B49"/>
  <c r="B26"/>
  <c r="B48"/>
  <c r="B85"/>
  <c r="B31"/>
  <c r="B41"/>
  <c r="B43"/>
  <c r="B46"/>
  <c r="B51"/>
  <c r="B77"/>
  <c r="B70"/>
  <c r="B68"/>
  <c r="B57"/>
  <c r="B52"/>
  <c r="B86"/>
  <c r="B79"/>
  <c r="B78"/>
  <c r="B66"/>
  <c r="B58"/>
  <c r="B50"/>
  <c r="B28"/>
  <c r="B27"/>
  <c r="B44"/>
  <c r="AK176" i="94"/>
  <c r="B176" s="1"/>
  <c r="AF176"/>
  <c r="E28" i="103"/>
  <c r="AK129" i="94" l="1"/>
  <c r="B98"/>
  <c r="B83"/>
  <c r="B71"/>
  <c r="B58"/>
  <c r="B25" i="102"/>
  <c r="C25" s="1"/>
  <c r="A1"/>
  <c r="A4" i="103"/>
  <c r="A3"/>
  <c r="F1" i="102"/>
  <c r="AK639" i="94"/>
  <c r="A3" i="102"/>
  <c r="B46"/>
  <c r="C46" s="1"/>
  <c r="AK706" i="94"/>
  <c r="AK705"/>
  <c r="B705" s="1"/>
  <c r="AF705"/>
  <c r="B701"/>
  <c r="AF637"/>
  <c r="B541"/>
  <c r="AF357"/>
  <c r="AF358"/>
  <c r="AF359"/>
  <c r="AK359"/>
  <c r="B359" s="1"/>
  <c r="C360"/>
  <c r="C362"/>
  <c r="AF364"/>
  <c r="AF365"/>
  <c r="AF366"/>
  <c r="AF367"/>
  <c r="AF368"/>
  <c r="AF369"/>
  <c r="C370"/>
  <c r="AF370"/>
  <c r="AF371"/>
  <c r="AF372"/>
  <c r="AF373"/>
  <c r="C374"/>
  <c r="AF374"/>
  <c r="AK374"/>
  <c r="B374" s="1"/>
  <c r="AF375"/>
  <c r="AF376"/>
  <c r="AK376"/>
  <c r="B376" s="1"/>
  <c r="AF377"/>
  <c r="C378"/>
  <c r="AF378"/>
  <c r="AF379"/>
  <c r="AF380"/>
  <c r="AF381"/>
  <c r="B175"/>
  <c r="E25" i="102" l="1"/>
  <c r="E56"/>
  <c r="E46"/>
  <c r="E57"/>
  <c r="F2"/>
  <c r="F4"/>
  <c r="AK471" i="94"/>
  <c r="AK464"/>
  <c r="B464" s="1"/>
  <c r="AF465"/>
  <c r="AF464"/>
  <c r="AK458"/>
  <c r="AK466"/>
  <c r="B466" s="1"/>
  <c r="D8" i="84"/>
  <c r="E8" s="1"/>
  <c r="D7"/>
  <c r="F8" s="1"/>
  <c r="D6"/>
  <c r="F7" s="1"/>
  <c r="D5"/>
  <c r="F6" s="1"/>
  <c r="D4"/>
  <c r="F5" s="1"/>
  <c r="G4" i="102" l="1"/>
  <c r="H4" s="1"/>
  <c r="I4" s="1"/>
  <c r="J4" s="1"/>
  <c r="K4" s="1"/>
  <c r="L4" s="1"/>
  <c r="M4" s="1"/>
  <c r="E7" i="84"/>
  <c r="E4"/>
  <c r="E5"/>
  <c r="E6"/>
  <c r="M2" i="102" l="1"/>
  <c r="N4"/>
  <c r="O4" s="1"/>
  <c r="P4" s="1"/>
  <c r="Q4" s="1"/>
  <c r="R4" s="1"/>
  <c r="S4" s="1"/>
  <c r="T4" s="1"/>
  <c r="T2" s="1"/>
  <c r="D9" i="84"/>
  <c r="AK338" i="94"/>
  <c r="B338" s="1"/>
  <c r="AF340"/>
  <c r="C304"/>
  <c r="AF305"/>
  <c r="AF304"/>
  <c r="AF297"/>
  <c r="AK337"/>
  <c r="B337" s="1"/>
  <c r="AF337"/>
  <c r="AF338"/>
  <c r="AK323"/>
  <c r="B14" i="102"/>
  <c r="AK284" i="94"/>
  <c r="AF320"/>
  <c r="C320"/>
  <c r="AF183"/>
  <c r="AF173"/>
  <c r="D38"/>
  <c r="D37"/>
  <c r="U4" i="102" l="1"/>
  <c r="V4" s="1"/>
  <c r="W4" s="1"/>
  <c r="X4" s="1"/>
  <c r="Y4" s="1"/>
  <c r="Z4" s="1"/>
  <c r="AA4" s="1"/>
  <c r="AB4" s="1"/>
  <c r="AC4" s="1"/>
  <c r="AD4" s="1"/>
  <c r="AE4" s="1"/>
  <c r="AF4" s="1"/>
  <c r="AG4" s="1"/>
  <c r="AH4" s="1"/>
  <c r="E9" i="84"/>
  <c r="F10"/>
  <c r="D15" i="94"/>
  <c r="AA2" i="102" l="1"/>
  <c r="AI4"/>
  <c r="AJ4" s="1"/>
  <c r="AK4" s="1"/>
  <c r="AL4" s="1"/>
  <c r="AM4" s="1"/>
  <c r="AN4" s="1"/>
  <c r="AO4" s="1"/>
  <c r="AH2"/>
  <c r="AK814" i="94"/>
  <c r="AF457"/>
  <c r="AO2" i="102" l="1"/>
  <c r="AP4"/>
  <c r="AQ4" s="1"/>
  <c r="AR4" s="1"/>
  <c r="AS4" s="1"/>
  <c r="AT4" s="1"/>
  <c r="AU4" s="1"/>
  <c r="AV4" s="1"/>
  <c r="B112" i="94"/>
  <c r="B110"/>
  <c r="B114"/>
  <c r="AK14"/>
  <c r="B452" s="1"/>
  <c r="C134"/>
  <c r="C133"/>
  <c r="AF448"/>
  <c r="AF447"/>
  <c r="AF446"/>
  <c r="AF445"/>
  <c r="AF444"/>
  <c r="AF443"/>
  <c r="AF442"/>
  <c r="AF441"/>
  <c r="AF440"/>
  <c r="AF439"/>
  <c r="AF438"/>
  <c r="AF432"/>
  <c r="AF431"/>
  <c r="AF430"/>
  <c r="AF429"/>
  <c r="AF425"/>
  <c r="AF424"/>
  <c r="AF423"/>
  <c r="AF422"/>
  <c r="AF421"/>
  <c r="AF420"/>
  <c r="AF419"/>
  <c r="AF418"/>
  <c r="AF417"/>
  <c r="AF416"/>
  <c r="AF415"/>
  <c r="AF409"/>
  <c r="AF408"/>
  <c r="AF407"/>
  <c r="AF406"/>
  <c r="AF398"/>
  <c r="AF397"/>
  <c r="AF396"/>
  <c r="AF395"/>
  <c r="AF394"/>
  <c r="AF393"/>
  <c r="AF392"/>
  <c r="AF386"/>
  <c r="AF385"/>
  <c r="AF384"/>
  <c r="AF383"/>
  <c r="AW4" i="102" l="1"/>
  <c r="AX4" s="1"/>
  <c r="AY4" s="1"/>
  <c r="AZ4" s="1"/>
  <c r="BA4" s="1"/>
  <c r="BB4" s="1"/>
  <c r="BC4" s="1"/>
  <c r="AV2"/>
  <c r="C56" i="94"/>
  <c r="AK845"/>
  <c r="C845"/>
  <c r="AK836"/>
  <c r="B836" s="1"/>
  <c r="AF836"/>
  <c r="BC2" i="102" l="1"/>
  <c r="BD4"/>
  <c r="BE4" s="1"/>
  <c r="BF4" s="1"/>
  <c r="BG4" s="1"/>
  <c r="BH4" s="1"/>
  <c r="BI4" s="1"/>
  <c r="AK39" i="94"/>
  <c r="AK38"/>
  <c r="AK37"/>
  <c r="AK666"/>
  <c r="AK665"/>
  <c r="AK664"/>
  <c r="AK663"/>
  <c r="C805"/>
  <c r="C720"/>
  <c r="C653"/>
  <c r="C491"/>
  <c r="C291"/>
  <c r="C456"/>
  <c r="AF704"/>
  <c r="AF703"/>
  <c r="AF702"/>
  <c r="AF701"/>
  <c r="AF700"/>
  <c r="B129"/>
  <c r="B2" i="99"/>
  <c r="AK164" i="94"/>
  <c r="AF484"/>
  <c r="AK704"/>
  <c r="B700"/>
  <c r="AF324"/>
  <c r="AF323"/>
  <c r="AF315"/>
  <c r="AF314"/>
  <c r="AF313"/>
  <c r="AF312"/>
  <c r="AF311"/>
  <c r="AK205"/>
  <c r="AK779"/>
  <c r="C833" l="1"/>
  <c r="C622"/>
  <c r="C284"/>
  <c r="C458"/>
  <c r="AF310"/>
  <c r="AF292"/>
  <c r="B292"/>
  <c r="C294"/>
  <c r="AF294"/>
  <c r="C295"/>
  <c r="AF295"/>
  <c r="AF724"/>
  <c r="AF723"/>
  <c r="AF722"/>
  <c r="AF806"/>
  <c r="AK204"/>
  <c r="AK203"/>
  <c r="C723" l="1"/>
  <c r="C736"/>
  <c r="C533"/>
  <c r="C637"/>
  <c r="C586"/>
  <c r="C247"/>
  <c r="C246"/>
  <c r="C255"/>
  <c r="C462"/>
  <c r="C463"/>
  <c r="AK463"/>
  <c r="AK462"/>
  <c r="C447"/>
  <c r="C424"/>
  <c r="C401"/>
  <c r="C355"/>
  <c r="C443"/>
  <c r="C420"/>
  <c r="C397"/>
  <c r="C352"/>
  <c r="C439"/>
  <c r="C416"/>
  <c r="C393"/>
  <c r="C348"/>
  <c r="C431"/>
  <c r="C408"/>
  <c r="C385"/>
  <c r="C339"/>
  <c r="C429"/>
  <c r="C406"/>
  <c r="C383"/>
  <c r="C335"/>
  <c r="C328"/>
  <c r="C300"/>
  <c r="C299"/>
  <c r="C271"/>
  <c r="C203"/>
  <c r="C201"/>
  <c r="C171"/>
  <c r="C449"/>
  <c r="C484"/>
  <c r="C646"/>
  <c r="C713"/>
  <c r="C798"/>
  <c r="C862"/>
  <c r="C828"/>
  <c r="C846"/>
  <c r="C826"/>
  <c r="C817"/>
  <c r="C818"/>
  <c r="AK727"/>
  <c r="AK817"/>
  <c r="AK861"/>
  <c r="B861" s="1"/>
  <c r="B845" l="1"/>
  <c r="AK824"/>
  <c r="AK816"/>
  <c r="AK807"/>
  <c r="AK818"/>
  <c r="AF792"/>
  <c r="AF791"/>
  <c r="AF770"/>
  <c r="AK36" l="1"/>
  <c r="AK18"/>
  <c r="AK42"/>
  <c r="B42" s="1"/>
  <c r="AK8"/>
  <c r="B8" s="1"/>
  <c r="B41"/>
  <c r="AK12"/>
  <c r="AK29"/>
  <c r="B38"/>
  <c r="B37"/>
  <c r="AK30"/>
  <c r="AK16"/>
  <c r="AK27"/>
  <c r="AK26"/>
  <c r="B25"/>
  <c r="AK15"/>
  <c r="AK670"/>
  <c r="AF696"/>
  <c r="AF695"/>
  <c r="AF693"/>
  <c r="AF689"/>
  <c r="AF688"/>
  <c r="AF686"/>
  <c r="AF685"/>
  <c r="AF684"/>
  <c r="AF683"/>
  <c r="AF682"/>
  <c r="AF681"/>
  <c r="AF680"/>
  <c r="AF679"/>
  <c r="AF678"/>
  <c r="AF677"/>
  <c r="AF676"/>
  <c r="AF675"/>
  <c r="AF674"/>
  <c r="AF673"/>
  <c r="AF672"/>
  <c r="AF671"/>
  <c r="AF667"/>
  <c r="AF663"/>
  <c r="AF662"/>
  <c r="AF661"/>
  <c r="AF660"/>
  <c r="AF659"/>
  <c r="AF658"/>
  <c r="AF657"/>
  <c r="AF655"/>
  <c r="AF654"/>
  <c r="AF39"/>
  <c r="AF31"/>
  <c r="AK778"/>
  <c r="AK750"/>
  <c r="AK738"/>
  <c r="AK725"/>
  <c r="AK141"/>
  <c r="F15"/>
  <c r="AF178"/>
  <c r="AF177"/>
  <c r="AF175"/>
  <c r="AF179"/>
  <c r="AK723"/>
  <c r="AK722"/>
  <c r="AK724"/>
  <c r="AK721"/>
  <c r="AF532"/>
  <c r="H866"/>
  <c r="F14"/>
  <c r="AK859"/>
  <c r="B859" s="1"/>
  <c r="AK856"/>
  <c r="B856" s="1"/>
  <c r="AK865"/>
  <c r="B865" s="1"/>
  <c r="AG858"/>
  <c r="AG859"/>
  <c r="B29" l="1"/>
  <c r="B649"/>
  <c r="AF559"/>
  <c r="AF558"/>
  <c r="AF557"/>
  <c r="AF556"/>
  <c r="AF555"/>
  <c r="AF554"/>
  <c r="AF553"/>
  <c r="AF552"/>
  <c r="AF187"/>
  <c r="B183"/>
  <c r="AF186"/>
  <c r="B174"/>
  <c r="AF174"/>
  <c r="AF185"/>
  <c r="AK855"/>
  <c r="AF735"/>
  <c r="AF734"/>
  <c r="AF210"/>
  <c r="AG210" s="1"/>
  <c r="G210" s="1"/>
  <c r="AF209"/>
  <c r="AG209" s="1"/>
  <c r="G209" s="1"/>
  <c r="AF208"/>
  <c r="AG208" s="1"/>
  <c r="B707"/>
  <c r="AF707"/>
  <c r="B706"/>
  <c r="AF706"/>
  <c r="B704"/>
  <c r="B190"/>
  <c r="B191"/>
  <c r="AF191"/>
  <c r="AK655"/>
  <c r="AK645"/>
  <c r="AK214"/>
  <c r="B214" s="1"/>
  <c r="AF213"/>
  <c r="AF214"/>
  <c r="AF212"/>
  <c r="AF211"/>
  <c r="B211"/>
  <c r="B206"/>
  <c r="AF206"/>
  <c r="B205"/>
  <c r="AF205"/>
  <c r="AF207"/>
  <c r="AF190"/>
  <c r="AF193"/>
  <c r="B204"/>
  <c r="B203"/>
  <c r="B201"/>
  <c r="B200"/>
  <c r="AF203"/>
  <c r="AF200"/>
  <c r="AF199"/>
  <c r="AF196"/>
  <c r="AK321"/>
  <c r="AF302"/>
  <c r="AK264"/>
  <c r="AK165"/>
  <c r="AF459"/>
  <c r="AF38"/>
  <c r="AF37"/>
  <c r="AF19"/>
  <c r="AF733"/>
  <c r="AF732"/>
  <c r="AF731"/>
  <c r="AF730"/>
  <c r="AF729"/>
  <c r="AF728"/>
  <c r="AF727"/>
  <c r="AF714"/>
  <c r="AF713"/>
  <c r="AF712"/>
  <c r="AF691"/>
  <c r="AF711"/>
  <c r="AG711" s="1"/>
  <c r="AF710"/>
  <c r="AG710" s="1"/>
  <c r="AF709"/>
  <c r="AG709" s="1"/>
  <c r="AF708"/>
  <c r="AF698"/>
  <c r="AF697"/>
  <c r="AF694"/>
  <c r="AF692"/>
  <c r="AF690"/>
  <c r="AF687"/>
  <c r="AF670"/>
  <c r="AF669"/>
  <c r="AF668"/>
  <c r="AF656"/>
  <c r="AF646"/>
  <c r="AF645"/>
  <c r="AF635"/>
  <c r="AF634"/>
  <c r="AF644"/>
  <c r="AF643"/>
  <c r="AF639"/>
  <c r="AF633"/>
  <c r="AF632"/>
  <c r="AF631"/>
  <c r="AF630"/>
  <c r="AF628"/>
  <c r="AF623"/>
  <c r="AF622"/>
  <c r="AF627"/>
  <c r="AF619"/>
  <c r="AF618"/>
  <c r="AF617"/>
  <c r="AF609"/>
  <c r="AF114"/>
  <c r="AF112"/>
  <c r="AF110"/>
  <c r="AF606"/>
  <c r="AF612"/>
  <c r="AF611"/>
  <c r="AF605"/>
  <c r="AF604"/>
  <c r="AF603"/>
  <c r="AF602"/>
  <c r="AF601"/>
  <c r="AF600"/>
  <c r="AF598"/>
  <c r="AF599"/>
  <c r="AF597"/>
  <c r="AF596"/>
  <c r="AF595"/>
  <c r="AF594"/>
  <c r="AF593"/>
  <c r="AF590"/>
  <c r="AF589"/>
  <c r="AF588"/>
  <c r="AF638"/>
  <c r="AF642"/>
  <c r="AF640"/>
  <c r="AF251"/>
  <c r="AF250"/>
  <c r="AF249"/>
  <c r="AF248"/>
  <c r="AF247"/>
  <c r="AF246"/>
  <c r="AF233"/>
  <c r="AF583"/>
  <c r="AF582"/>
  <c r="AF581"/>
  <c r="AG581" s="1"/>
  <c r="G581" s="1"/>
  <c r="AF523"/>
  <c r="AF520"/>
  <c r="AF519"/>
  <c r="AF518"/>
  <c r="AF511"/>
  <c r="AF510"/>
  <c r="AF541"/>
  <c r="AF540"/>
  <c r="AF537"/>
  <c r="AF536"/>
  <c r="AF535"/>
  <c r="AF533"/>
  <c r="AF493"/>
  <c r="AF139"/>
  <c r="AF137"/>
  <c r="AF27"/>
  <c r="AF26"/>
  <c r="AF16"/>
  <c r="AK823"/>
  <c r="AK822"/>
  <c r="AK821"/>
  <c r="AF483"/>
  <c r="AF482"/>
  <c r="AF481"/>
  <c r="AF480"/>
  <c r="AF479"/>
  <c r="AF478"/>
  <c r="AF477"/>
  <c r="AF476"/>
  <c r="AF475"/>
  <c r="AF474"/>
  <c r="AF473"/>
  <c r="AF472"/>
  <c r="AF471"/>
  <c r="AF470"/>
  <c r="AF469"/>
  <c r="AF468"/>
  <c r="AF467"/>
  <c r="AF466"/>
  <c r="AK461"/>
  <c r="AK460"/>
  <c r="AK48"/>
  <c r="AF463"/>
  <c r="AF462"/>
  <c r="AF461"/>
  <c r="AF460"/>
  <c r="AF458"/>
  <c r="AF824"/>
  <c r="AF823"/>
  <c r="AF822"/>
  <c r="AF821"/>
  <c r="AF485"/>
  <c r="AF140"/>
  <c r="AF48"/>
  <c r="AF15"/>
  <c r="AK50"/>
  <c r="AF818"/>
  <c r="AF817"/>
  <c r="AF450"/>
  <c r="AF449"/>
  <c r="AF437"/>
  <c r="AF436"/>
  <c r="AF435"/>
  <c r="AF434"/>
  <c r="AF433"/>
  <c r="AF428"/>
  <c r="AF427"/>
  <c r="AF426"/>
  <c r="AF414"/>
  <c r="AF413"/>
  <c r="AF412"/>
  <c r="AF411"/>
  <c r="AF410"/>
  <c r="AF405"/>
  <c r="AF404"/>
  <c r="AF403"/>
  <c r="AF402"/>
  <c r="AF401"/>
  <c r="AF400"/>
  <c r="AF399"/>
  <c r="AF391"/>
  <c r="AF390"/>
  <c r="AF389"/>
  <c r="AF388"/>
  <c r="AF387"/>
  <c r="AF382"/>
  <c r="AF356"/>
  <c r="AF355"/>
  <c r="AF354"/>
  <c r="AF353"/>
  <c r="AF352"/>
  <c r="AF351"/>
  <c r="AF350"/>
  <c r="AF349"/>
  <c r="AF348"/>
  <c r="AF347"/>
  <c r="AF346"/>
  <c r="AF345"/>
  <c r="AF344"/>
  <c r="AF343"/>
  <c r="AF342"/>
  <c r="AF341"/>
  <c r="AF339"/>
  <c r="AF336"/>
  <c r="AF335"/>
  <c r="AF334"/>
  <c r="AF333"/>
  <c r="AF332"/>
  <c r="AF331"/>
  <c r="AF330"/>
  <c r="AF329"/>
  <c r="AF328"/>
  <c r="AF327"/>
  <c r="AF326"/>
  <c r="AF325"/>
  <c r="AF322"/>
  <c r="AF321"/>
  <c r="AF319"/>
  <c r="AF318"/>
  <c r="AF317"/>
  <c r="AF316"/>
  <c r="AF309"/>
  <c r="AF308"/>
  <c r="AF307"/>
  <c r="AF306"/>
  <c r="AF301"/>
  <c r="AF300"/>
  <c r="AF299"/>
  <c r="AF298"/>
  <c r="AF816"/>
  <c r="AF283"/>
  <c r="AF50"/>
  <c r="AF20"/>
  <c r="B605"/>
  <c r="B604"/>
  <c r="AK611"/>
  <c r="B611" s="1"/>
  <c r="AK671"/>
  <c r="B671" s="1"/>
  <c r="AG550" l="1"/>
  <c r="AG549"/>
  <c r="AG548"/>
  <c r="AG551"/>
  <c r="AH552"/>
  <c r="AG552"/>
  <c r="AH554"/>
  <c r="AG554"/>
  <c r="AH556"/>
  <c r="AG556"/>
  <c r="AH558"/>
  <c r="AG558"/>
  <c r="AH553"/>
  <c r="AG553"/>
  <c r="AH555"/>
  <c r="AG555"/>
  <c r="AH557"/>
  <c r="AG557"/>
  <c r="AH559"/>
  <c r="AG559"/>
  <c r="AF201"/>
  <c r="AF192"/>
  <c r="AF276"/>
  <c r="AF278"/>
  <c r="AF275"/>
  <c r="AF274"/>
  <c r="B759"/>
  <c r="AF779"/>
  <c r="B779"/>
  <c r="AK787"/>
  <c r="B787" s="1"/>
  <c r="AK786"/>
  <c r="B786" s="1"/>
  <c r="AF777"/>
  <c r="AF776"/>
  <c r="AF775"/>
  <c r="AF773"/>
  <c r="AF772"/>
  <c r="AF771"/>
  <c r="AF769"/>
  <c r="AF768"/>
  <c r="AF767"/>
  <c r="AF766"/>
  <c r="AK762"/>
  <c r="B762" s="1"/>
  <c r="B523"/>
  <c r="B539"/>
  <c r="AK798" l="1"/>
  <c r="AK712"/>
  <c r="B712" s="1"/>
  <c r="B638"/>
  <c r="AK484"/>
  <c r="AK449"/>
  <c r="B590"/>
  <c r="AK589"/>
  <c r="B589" s="1"/>
  <c r="B251"/>
  <c r="B250"/>
  <c r="C13" i="99"/>
  <c r="B13"/>
  <c r="G2"/>
  <c r="B12"/>
  <c r="B11"/>
  <c r="B10"/>
  <c r="B9"/>
  <c r="B8"/>
  <c r="B7"/>
  <c r="C12"/>
  <c r="C11"/>
  <c r="C10"/>
  <c r="C9"/>
  <c r="B25"/>
  <c r="B24"/>
  <c r="B23"/>
  <c r="B22"/>
  <c r="B21"/>
  <c r="B20"/>
  <c r="B18"/>
  <c r="B19"/>
  <c r="B171" i="94"/>
  <c r="B169"/>
  <c r="AK687"/>
  <c r="AK656"/>
  <c r="B656" s="1"/>
  <c r="AK643"/>
  <c r="B609"/>
  <c r="B606"/>
  <c r="B540"/>
  <c r="AK685"/>
  <c r="B685" s="1"/>
  <c r="AG481"/>
  <c r="AG480"/>
  <c r="AG479"/>
  <c r="AK477"/>
  <c r="AG469"/>
  <c r="AH469"/>
  <c r="AH470"/>
  <c r="AH468"/>
  <c r="AG468"/>
  <c r="AK481"/>
  <c r="B481" s="1"/>
  <c r="AK480"/>
  <c r="B480" s="1"/>
  <c r="AK479"/>
  <c r="B479" s="1"/>
  <c r="AK478"/>
  <c r="B478" s="1"/>
  <c r="AK583"/>
  <c r="AK582"/>
  <c r="AK581"/>
  <c r="AK470"/>
  <c r="B470" s="1"/>
  <c r="AK469"/>
  <c r="B469" s="1"/>
  <c r="AK467"/>
  <c r="B467" s="1"/>
  <c r="AK468"/>
  <c r="B468" s="1"/>
  <c r="AK445"/>
  <c r="B445" s="1"/>
  <c r="AK443"/>
  <c r="B443" s="1"/>
  <c r="AK422"/>
  <c r="B422" s="1"/>
  <c r="AK420"/>
  <c r="B420" s="1"/>
  <c r="AK397"/>
  <c r="B397" s="1"/>
  <c r="AK352"/>
  <c r="B352" s="1"/>
  <c r="AK334" l="1"/>
  <c r="AK308"/>
  <c r="B532"/>
  <c r="AF774"/>
  <c r="AF815"/>
  <c r="B666"/>
  <c r="B665"/>
  <c r="B664"/>
  <c r="B663"/>
  <c r="AK662"/>
  <c r="B662" s="1"/>
  <c r="B655"/>
  <c r="AF197"/>
  <c r="B639" l="1"/>
  <c r="B617"/>
  <c r="B603"/>
  <c r="B602"/>
  <c r="A41" i="103" l="1"/>
  <c r="B41" i="102"/>
  <c r="B168" i="94" l="1"/>
  <c r="AF168"/>
  <c r="AK854"/>
  <c r="AK850"/>
  <c r="B850" s="1"/>
  <c r="AK820"/>
  <c r="B820" s="1"/>
  <c r="B807"/>
  <c r="B493" l="1"/>
  <c r="B458"/>
  <c r="AK457"/>
  <c r="B457" s="1"/>
  <c r="AF272"/>
  <c r="B162"/>
  <c r="AK399"/>
  <c r="AK428"/>
  <c r="AK405"/>
  <c r="AK382"/>
  <c r="B323"/>
  <c r="AK283"/>
  <c r="B264"/>
  <c r="AF264"/>
  <c r="AK279"/>
  <c r="B855"/>
  <c r="AK692"/>
  <c r="B692" s="1"/>
  <c r="AK601" l="1"/>
  <c r="AK596"/>
  <c r="B596" s="1"/>
  <c r="B449"/>
  <c r="B723"/>
  <c r="B141"/>
  <c r="AF854"/>
  <c r="B537" l="1"/>
  <c r="B778"/>
  <c r="B722"/>
  <c r="B724"/>
  <c r="B721"/>
  <c r="B509"/>
  <c r="B30"/>
  <c r="B165"/>
  <c r="B164"/>
  <c r="AF165"/>
  <c r="AF164"/>
  <c r="AF285"/>
  <c r="AF284"/>
  <c r="AF282"/>
  <c r="AF281"/>
  <c r="AF279"/>
  <c r="AF277"/>
  <c r="AF273"/>
  <c r="AF263"/>
  <c r="AF184"/>
  <c r="AF167"/>
  <c r="AF166"/>
  <c r="B48" l="1"/>
  <c r="AK3"/>
  <c r="B177" l="1"/>
  <c r="B854" l="1"/>
  <c r="AK860"/>
  <c r="B860" s="1"/>
  <c r="AK825"/>
  <c r="B825" s="1"/>
  <c r="B818"/>
  <c r="B817"/>
  <c r="B816"/>
  <c r="B798"/>
  <c r="AK683"/>
  <c r="B683" s="1"/>
  <c r="AK681"/>
  <c r="B681" s="1"/>
  <c r="AK679"/>
  <c r="B679" s="1"/>
  <c r="AK677"/>
  <c r="B677" s="1"/>
  <c r="AK675"/>
  <c r="B675" s="1"/>
  <c r="AK673"/>
  <c r="B673" s="1"/>
  <c r="B646"/>
  <c r="B484"/>
  <c r="B814"/>
  <c r="B738"/>
  <c r="B727"/>
  <c r="B725"/>
  <c r="B687"/>
  <c r="B670"/>
  <c r="B654"/>
  <c r="AK482"/>
  <c r="B482" s="1"/>
  <c r="AK476"/>
  <c r="B476" s="1"/>
  <c r="B477"/>
  <c r="B471"/>
  <c r="B428"/>
  <c r="B405"/>
  <c r="B399"/>
  <c r="B382"/>
  <c r="B334"/>
  <c r="B308"/>
  <c r="AK327"/>
  <c r="B327" s="1"/>
  <c r="B321"/>
  <c r="B161"/>
  <c r="B283"/>
  <c r="B279"/>
  <c r="AK281"/>
  <c r="B167" l="1"/>
  <c r="B166"/>
  <c r="B146"/>
  <c r="AK124"/>
  <c r="B124" s="1"/>
  <c r="B121"/>
  <c r="B120"/>
  <c r="AK119"/>
  <c r="B119" s="1"/>
  <c r="B118"/>
  <c r="B645"/>
  <c r="B643"/>
  <c r="B601" l="1"/>
  <c r="B598"/>
  <c r="B591"/>
  <c r="B588"/>
  <c r="B583"/>
  <c r="B582"/>
  <c r="B581"/>
  <c r="B511"/>
  <c r="B750" l="1"/>
  <c r="B39" l="1"/>
  <c r="B287" l="1"/>
  <c r="B18"/>
  <c r="D20" i="84"/>
  <c r="E20" s="1"/>
  <c r="D21"/>
  <c r="E21" s="1"/>
  <c r="D22"/>
  <c r="E22" s="1"/>
  <c r="D23"/>
  <c r="E23" s="1"/>
  <c r="D24"/>
  <c r="E24" s="1"/>
  <c r="C15"/>
  <c r="C16"/>
  <c r="C17"/>
  <c r="C18"/>
  <c r="C19"/>
  <c r="C20"/>
  <c r="C21"/>
  <c r="C22"/>
  <c r="C23"/>
  <c r="C24"/>
  <c r="C25"/>
  <c r="C14"/>
  <c r="B15"/>
  <c r="B16"/>
  <c r="B17"/>
  <c r="B18"/>
  <c r="B19"/>
  <c r="B20"/>
  <c r="B21"/>
  <c r="B22"/>
  <c r="B23"/>
  <c r="B24"/>
  <c r="B25"/>
  <c r="B14"/>
  <c r="D10"/>
  <c r="E10" s="1"/>
  <c r="D11"/>
  <c r="F12" s="1"/>
  <c r="D12"/>
  <c r="E12" s="1"/>
  <c r="D13"/>
  <c r="E13" s="1"/>
  <c r="D14"/>
  <c r="E14" s="1"/>
  <c r="D15"/>
  <c r="E15" s="1"/>
  <c r="D16"/>
  <c r="E16" s="1"/>
  <c r="D17"/>
  <c r="E17" s="1"/>
  <c r="D18"/>
  <c r="E18" s="1"/>
  <c r="D19"/>
  <c r="F20" s="1"/>
  <c r="B27" i="94"/>
  <c r="B487"/>
  <c r="E19" i="84" l="1"/>
  <c r="E11"/>
  <c r="F19"/>
  <c r="F11"/>
  <c r="F18"/>
  <c r="F17"/>
  <c r="F24"/>
  <c r="F16"/>
  <c r="F23"/>
  <c r="F15"/>
  <c r="F22"/>
  <c r="F14"/>
  <c r="F21"/>
  <c r="F13"/>
  <c r="B823" i="94"/>
  <c r="B824"/>
  <c r="B822"/>
  <c r="B821"/>
  <c r="B462"/>
  <c r="B463"/>
  <c r="B460"/>
  <c r="B461"/>
  <c r="AK452"/>
  <c r="D25" i="84"/>
  <c r="B36" i="94"/>
  <c r="B26"/>
  <c r="B50"/>
  <c r="B15"/>
  <c r="B16"/>
  <c r="B22"/>
  <c r="B31"/>
  <c r="C80" i="84" l="1"/>
  <c r="B12" i="94"/>
  <c r="B7" i="102" l="1"/>
  <c r="B14" i="94"/>
  <c r="C75" i="84" l="1"/>
  <c r="C74"/>
  <c r="C73"/>
  <c r="C72"/>
  <c r="C71"/>
  <c r="C70"/>
  <c r="C69"/>
  <c r="C68"/>
  <c r="C67"/>
  <c r="C57"/>
  <c r="C56"/>
  <c r="C55"/>
  <c r="C54"/>
  <c r="C53"/>
  <c r="C52"/>
  <c r="C51"/>
  <c r="C50"/>
  <c r="C49"/>
  <c r="C66"/>
  <c r="C65"/>
  <c r="C64"/>
  <c r="C63"/>
  <c r="C62"/>
  <c r="C61"/>
  <c r="C60"/>
  <c r="C59"/>
  <c r="C58"/>
  <c r="C29"/>
  <c r="C30"/>
  <c r="C31"/>
  <c r="C32"/>
  <c r="C33"/>
  <c r="C34"/>
  <c r="C35"/>
  <c r="C36"/>
  <c r="C37"/>
  <c r="C38"/>
  <c r="C39"/>
  <c r="C40"/>
  <c r="C41"/>
  <c r="C42"/>
  <c r="C43"/>
  <c r="C44"/>
  <c r="C45"/>
  <c r="C46"/>
  <c r="C47"/>
  <c r="C48"/>
  <c r="C76"/>
  <c r="C28"/>
  <c r="C187" l="1"/>
  <c r="C186"/>
  <c r="C185"/>
  <c r="C184"/>
  <c r="C183"/>
  <c r="C182"/>
  <c r="C181"/>
  <c r="C180"/>
  <c r="C179"/>
  <c r="C178"/>
  <c r="C177"/>
  <c r="C176"/>
  <c r="C175"/>
  <c r="C174"/>
  <c r="C173"/>
  <c r="C172"/>
  <c r="C171"/>
  <c r="C170"/>
  <c r="C169"/>
  <c r="C168"/>
  <c r="C167"/>
  <c r="C166"/>
  <c r="C165"/>
  <c r="C164"/>
  <c r="C163"/>
  <c r="C162"/>
  <c r="C161"/>
  <c r="C160"/>
  <c r="C159"/>
  <c r="C158"/>
  <c r="C157"/>
  <c r="C156"/>
  <c r="C155"/>
  <c r="C154"/>
  <c r="C153"/>
  <c r="C152"/>
  <c r="C151"/>
  <c r="C150"/>
  <c r="C149"/>
  <c r="C148"/>
  <c r="C147"/>
  <c r="C146"/>
  <c r="C145"/>
  <c r="C144"/>
  <c r="C143"/>
  <c r="C142"/>
  <c r="C141"/>
  <c r="C140"/>
  <c r="C139"/>
  <c r="C138"/>
  <c r="C137"/>
  <c r="C136"/>
  <c r="C135"/>
  <c r="C134"/>
  <c r="C133"/>
  <c r="C132"/>
  <c r="C131"/>
  <c r="C130"/>
  <c r="C129"/>
  <c r="C128"/>
  <c r="C127"/>
  <c r="C126"/>
  <c r="C125"/>
  <c r="C124"/>
  <c r="C123"/>
  <c r="C122"/>
  <c r="C121"/>
  <c r="C120"/>
  <c r="C119"/>
  <c r="C118"/>
  <c r="C117"/>
  <c r="C116"/>
  <c r="C115"/>
  <c r="C114"/>
  <c r="C113"/>
  <c r="C112"/>
  <c r="C111"/>
  <c r="C110"/>
  <c r="C109"/>
  <c r="C108"/>
  <c r="C107"/>
  <c r="C106"/>
  <c r="C105"/>
  <c r="C104"/>
  <c r="C103"/>
  <c r="C102"/>
  <c r="C101"/>
  <c r="C100"/>
  <c r="C99"/>
  <c r="C98"/>
  <c r="C97"/>
  <c r="C96"/>
  <c r="C95"/>
  <c r="C94"/>
  <c r="C93"/>
  <c r="C92"/>
  <c r="C91"/>
  <c r="C90"/>
  <c r="C89"/>
  <c r="C88"/>
  <c r="C87"/>
  <c r="C86"/>
  <c r="C85"/>
  <c r="C84"/>
  <c r="C83"/>
  <c r="C82"/>
  <c r="C81"/>
  <c r="G557" i="94" l="1"/>
  <c r="G549"/>
  <c r="G555"/>
  <c r="G554"/>
  <c r="G553"/>
  <c r="G559"/>
  <c r="G551"/>
  <c r="G558"/>
  <c r="G550"/>
  <c r="AH677" l="1"/>
  <c r="H677" s="1"/>
  <c r="AH679"/>
  <c r="H679" s="1"/>
  <c r="G468" l="1"/>
  <c r="H468" l="1"/>
  <c r="F468" l="1"/>
  <c r="G469"/>
  <c r="H469" s="1"/>
  <c r="AG470" l="1"/>
  <c r="G470" s="1"/>
  <c r="G479"/>
  <c r="AH479" s="1"/>
  <c r="H479" s="1"/>
  <c r="F469"/>
  <c r="F479" l="1"/>
  <c r="G480"/>
  <c r="H470"/>
  <c r="AH480" l="1"/>
  <c r="H480" s="1"/>
  <c r="F470"/>
  <c r="AH283" l="1"/>
  <c r="G481"/>
  <c r="F480"/>
  <c r="H283" l="1"/>
  <c r="AH481"/>
  <c r="H481" s="1"/>
  <c r="F481" l="1"/>
  <c r="G208" l="1"/>
  <c r="AH208" l="1"/>
  <c r="H208" l="1"/>
  <c r="AH209" l="1"/>
  <c r="H209" s="1"/>
  <c r="AH210" l="1"/>
  <c r="H210" s="1"/>
  <c r="AH681" l="1"/>
  <c r="H681" s="1"/>
  <c r="AH685" l="1"/>
  <c r="H685" s="1"/>
  <c r="AH683"/>
  <c r="H683" s="1"/>
  <c r="G548" l="1"/>
  <c r="G552"/>
  <c r="G556" l="1"/>
  <c r="E6" i="102" l="1"/>
  <c r="E33"/>
  <c r="G797" i="94"/>
  <c r="E52" i="102" l="1"/>
  <c r="E18"/>
  <c r="C15" l="1"/>
  <c r="E15" s="1"/>
  <c r="AH550" i="94" l="1"/>
  <c r="H550" s="1"/>
  <c r="AH551"/>
  <c r="H551" s="1"/>
  <c r="AH548"/>
  <c r="H548" s="1"/>
  <c r="AH549"/>
  <c r="H549" s="1"/>
  <c r="H555"/>
  <c r="H553"/>
  <c r="H554"/>
  <c r="H552"/>
  <c r="H558"/>
  <c r="H557"/>
  <c r="H559"/>
  <c r="H556"/>
  <c r="A42" i="103" l="1"/>
  <c r="C41" i="102"/>
  <c r="E41" s="1"/>
  <c r="AH581" i="94" l="1"/>
  <c r="H581" s="1"/>
  <c r="AH659"/>
  <c r="AH658"/>
  <c r="AH660"/>
  <c r="AH657"/>
  <c r="AH661"/>
  <c r="AG664" l="1"/>
  <c r="AG665"/>
  <c r="AG666"/>
  <c r="AG582" l="1"/>
  <c r="G582" s="1"/>
  <c r="AH665"/>
  <c r="H665" s="1"/>
  <c r="G665"/>
  <c r="AH664"/>
  <c r="H664" s="1"/>
  <c r="G664"/>
  <c r="AH666"/>
  <c r="H666" s="1"/>
  <c r="G666"/>
  <c r="G709"/>
  <c r="AH582" l="1"/>
  <c r="H582" s="1"/>
  <c r="AH709"/>
  <c r="H709" s="1"/>
  <c r="AG583" l="1"/>
  <c r="G583" s="1"/>
  <c r="AH583"/>
  <c r="H583" s="1"/>
  <c r="G710"/>
  <c r="AH710" l="1"/>
  <c r="H710" s="1"/>
  <c r="G711" l="1"/>
  <c r="AH711" l="1"/>
  <c r="H711" s="1"/>
  <c r="C14" i="102" l="1"/>
  <c r="E14" l="1"/>
  <c r="E50" l="1"/>
  <c r="E26"/>
  <c r="E38" l="1"/>
  <c r="E22" l="1"/>
  <c r="B40" l="1"/>
  <c r="C40" s="1"/>
  <c r="E40" s="1"/>
  <c r="B20"/>
  <c r="C20" s="1"/>
  <c r="E20" s="1"/>
  <c r="E10" l="1"/>
  <c r="AH6" i="94"/>
  <c r="AG37" l="1"/>
  <c r="AH37"/>
  <c r="B35" i="102" s="1"/>
  <c r="C35" s="1"/>
  <c r="E35" s="1"/>
  <c r="AG22" i="94"/>
  <c r="G22" s="1"/>
  <c r="B13" i="102"/>
  <c r="AG12" i="94"/>
  <c r="AG14"/>
  <c r="AG54"/>
  <c r="AG283"/>
  <c r="G54"/>
  <c r="AH117"/>
  <c r="H117" s="1"/>
  <c r="AH118"/>
  <c r="H118" s="1"/>
  <c r="B34" i="102" l="1"/>
  <c r="C34" s="1"/>
  <c r="E34" s="1"/>
  <c r="AG493" i="94"/>
  <c r="G493" s="1"/>
  <c r="B15" i="102" s="1"/>
  <c r="G14" i="94"/>
  <c r="AG454" s="1"/>
  <c r="G454" s="1"/>
  <c r="AG328"/>
  <c r="G328" s="1"/>
  <c r="AG211"/>
  <c r="G211" s="1"/>
  <c r="AH211" s="1"/>
  <c r="H211" s="1"/>
  <c r="AG330"/>
  <c r="G330" s="1"/>
  <c r="AG308"/>
  <c r="G308" s="1"/>
  <c r="AG292"/>
  <c r="G292" s="1"/>
  <c r="AG449"/>
  <c r="G449" s="1"/>
  <c r="AG321"/>
  <c r="G321" s="1"/>
  <c r="AG289"/>
  <c r="G289" s="1"/>
  <c r="AH125"/>
  <c r="H125" s="1"/>
  <c r="AH122"/>
  <c r="H122" s="1"/>
  <c r="AH120"/>
  <c r="H120" s="1"/>
  <c r="AG507" l="1"/>
  <c r="G507" s="1"/>
  <c r="AG458"/>
  <c r="G458" s="1"/>
  <c r="AH458" s="1"/>
  <c r="H458" s="1"/>
  <c r="AG489"/>
  <c r="G489" s="1"/>
  <c r="AG251"/>
  <c r="G251" s="1"/>
  <c r="AG229"/>
  <c r="G229" s="1"/>
  <c r="AG651"/>
  <c r="G651" s="1"/>
  <c r="AG233"/>
  <c r="G233" s="1"/>
  <c r="AH54"/>
  <c r="H54" s="1"/>
  <c r="AG646"/>
  <c r="G646" s="1"/>
  <c r="AG250"/>
  <c r="G250" s="1"/>
  <c r="AH328"/>
  <c r="H328" s="1"/>
  <c r="AH330"/>
  <c r="H330" s="1"/>
  <c r="AH308"/>
  <c r="H308" s="1"/>
  <c r="AH292"/>
  <c r="H292" s="1"/>
  <c r="AH321"/>
  <c r="H321" s="1"/>
  <c r="AH129"/>
  <c r="H129" s="1"/>
  <c r="AG521" l="1"/>
  <c r="G521" s="1"/>
  <c r="AG530"/>
  <c r="G530" s="1"/>
  <c r="AG518"/>
  <c r="G518" s="1"/>
  <c r="AG520"/>
  <c r="G520" s="1"/>
  <c r="AG516"/>
  <c r="G516" s="1"/>
  <c r="AG515"/>
  <c r="G515" s="1"/>
  <c r="AG511"/>
  <c r="G511" s="1"/>
  <c r="AG509"/>
  <c r="G509" s="1"/>
  <c r="AG519"/>
  <c r="G519" s="1"/>
  <c r="AG517"/>
  <c r="G517" s="1"/>
  <c r="AG510"/>
  <c r="G510" s="1"/>
  <c r="AG512"/>
  <c r="G512" s="1"/>
  <c r="AG323"/>
  <c r="G323" s="1"/>
  <c r="AH323" s="1"/>
  <c r="H323" s="1"/>
  <c r="AG322"/>
  <c r="G322" s="1"/>
  <c r="B27" i="102"/>
  <c r="C27" s="1"/>
  <c r="E27" s="1"/>
  <c r="AG338" i="94"/>
  <c r="G338" s="1"/>
  <c r="AG332"/>
  <c r="AG334"/>
  <c r="G334" s="1"/>
  <c r="AG345"/>
  <c r="G345" s="1"/>
  <c r="AG343"/>
  <c r="G343" s="1"/>
  <c r="AG342"/>
  <c r="G342" s="1"/>
  <c r="AG344"/>
  <c r="G344" s="1"/>
  <c r="AG337"/>
  <c r="G337" s="1"/>
  <c r="AG317"/>
  <c r="G317" s="1"/>
  <c r="AG464"/>
  <c r="G464" s="1"/>
  <c r="B9" i="102"/>
  <c r="C9" s="1"/>
  <c r="E9" s="1"/>
  <c r="AG146" i="94"/>
  <c r="G146" s="1"/>
  <c r="A24" i="103"/>
  <c r="F458" i="94"/>
  <c r="AG348" l="1"/>
  <c r="G348" s="1"/>
  <c r="AH345"/>
  <c r="H345" s="1"/>
  <c r="AG325"/>
  <c r="G325" s="1"/>
  <c r="AH343"/>
  <c r="H343" s="1"/>
  <c r="AH322"/>
  <c r="H322" s="1"/>
  <c r="AH342"/>
  <c r="H342" s="1"/>
  <c r="AH344"/>
  <c r="H344" s="1"/>
  <c r="AH337"/>
  <c r="H337" s="1"/>
  <c r="AH338"/>
  <c r="H338" s="1"/>
  <c r="B28" i="102"/>
  <c r="C28" s="1"/>
  <c r="E28" s="1"/>
  <c r="AK416" i="94"/>
  <c r="B416" s="1"/>
  <c r="AK383"/>
  <c r="B383" s="1"/>
  <c r="AK393"/>
  <c r="B393" s="1"/>
  <c r="AK384"/>
  <c r="B384" s="1"/>
  <c r="AK406"/>
  <c r="B406" s="1"/>
  <c r="AK439"/>
  <c r="B439" s="1"/>
  <c r="AK348"/>
  <c r="B348" s="1"/>
  <c r="AK429"/>
  <c r="B429" s="1"/>
  <c r="AH354"/>
  <c r="H354" s="1"/>
  <c r="G402"/>
  <c r="AK355"/>
  <c r="B355" s="1"/>
  <c r="AG356"/>
  <c r="G356" s="1"/>
  <c r="G401"/>
  <c r="AK370"/>
  <c r="B370" s="1"/>
  <c r="AK360"/>
  <c r="B360" s="1"/>
  <c r="AK336"/>
  <c r="B336" s="1"/>
  <c r="AK361"/>
  <c r="B361" s="1"/>
  <c r="AK447"/>
  <c r="B447" s="1"/>
  <c r="AG357"/>
  <c r="AK407"/>
  <c r="B407" s="1"/>
  <c r="AK430"/>
  <c r="B430" s="1"/>
  <c r="AG355"/>
  <c r="G355" s="1"/>
  <c r="AK424"/>
  <c r="B424" s="1"/>
  <c r="AK378"/>
  <c r="B378" s="1"/>
  <c r="AK401"/>
  <c r="B401" s="1"/>
  <c r="AK335"/>
  <c r="B335" s="1"/>
  <c r="AG318"/>
  <c r="G318" s="1"/>
  <c r="AH317"/>
  <c r="H317" s="1"/>
  <c r="AH334"/>
  <c r="H334" s="1"/>
  <c r="AH464"/>
  <c r="H464" s="1"/>
  <c r="B11" i="102"/>
  <c r="AH146" i="94"/>
  <c r="H146" s="1"/>
  <c r="AH153" s="1"/>
  <c r="H153" s="1"/>
  <c r="AH151" l="1"/>
  <c r="H151" s="1"/>
  <c r="AH152"/>
  <c r="H152" s="1"/>
  <c r="AH159"/>
  <c r="H159" s="1"/>
  <c r="AH157"/>
  <c r="H157" s="1"/>
  <c r="AH355"/>
  <c r="H355" s="1"/>
  <c r="AH348"/>
  <c r="H348" s="1"/>
  <c r="AG350"/>
  <c r="G350" s="1"/>
  <c r="AH402"/>
  <c r="H402" s="1"/>
  <c r="AH325"/>
  <c r="H325" s="1"/>
  <c r="AG319"/>
  <c r="G319" s="1"/>
  <c r="AH318"/>
  <c r="H318" s="1"/>
  <c r="B29" i="102"/>
  <c r="C29" s="1"/>
  <c r="E29" s="1"/>
  <c r="AG358" i="94"/>
  <c r="G358" s="1"/>
  <c r="AG379"/>
  <c r="G379" s="1"/>
  <c r="AG380"/>
  <c r="AH377"/>
  <c r="H377" s="1"/>
  <c r="AG378"/>
  <c r="G378" s="1"/>
  <c r="AH356"/>
  <c r="H356" s="1"/>
  <c r="AH401"/>
  <c r="H401" s="1"/>
  <c r="AH466"/>
  <c r="H466" s="1"/>
  <c r="AG467" s="1"/>
  <c r="G467" s="1"/>
  <c r="F464"/>
  <c r="A25" i="103"/>
  <c r="AH150" i="94"/>
  <c r="H150" s="1"/>
  <c r="C11" i="102"/>
  <c r="E11" s="1"/>
  <c r="F402" i="94" l="1"/>
  <c r="AH400"/>
  <c r="H400" s="1"/>
  <c r="AG401"/>
  <c r="AG403"/>
  <c r="G403" s="1"/>
  <c r="AG402"/>
  <c r="B30" i="102"/>
  <c r="C30" s="1"/>
  <c r="E30" s="1"/>
  <c r="AG381" i="94"/>
  <c r="G381" s="1"/>
  <c r="AG326"/>
  <c r="G326" s="1"/>
  <c r="AH378"/>
  <c r="H378" s="1"/>
  <c r="AH319"/>
  <c r="H319" s="1"/>
  <c r="AH350"/>
  <c r="H350" s="1"/>
  <c r="AG351"/>
  <c r="G351" s="1"/>
  <c r="AH358"/>
  <c r="H358" s="1"/>
  <c r="AG360"/>
  <c r="G360" s="1"/>
  <c r="AH379"/>
  <c r="H379" s="1"/>
  <c r="F401"/>
  <c r="AG161"/>
  <c r="G161" s="1"/>
  <c r="AH161" s="1"/>
  <c r="H161" s="1"/>
  <c r="F358" l="1"/>
  <c r="F379"/>
  <c r="B31" i="102"/>
  <c r="C31" s="1"/>
  <c r="E31" s="1"/>
  <c r="AH423" i="94"/>
  <c r="H423" s="1"/>
  <c r="AG424"/>
  <c r="G424" s="1"/>
  <c r="AG404"/>
  <c r="G404" s="1"/>
  <c r="AG426"/>
  <c r="G426" s="1"/>
  <c r="AG425"/>
  <c r="G425" s="1"/>
  <c r="F378"/>
  <c r="AH360"/>
  <c r="H360" s="1"/>
  <c r="AG361"/>
  <c r="G361" s="1"/>
  <c r="AH381"/>
  <c r="H381" s="1"/>
  <c r="AG383"/>
  <c r="G383" s="1"/>
  <c r="AH326"/>
  <c r="H326" s="1"/>
  <c r="AH351"/>
  <c r="H351" s="1"/>
  <c r="AH163"/>
  <c r="H163" s="1"/>
  <c r="AG264" s="1"/>
  <c r="F360" l="1"/>
  <c r="AG362"/>
  <c r="G362" s="1"/>
  <c r="AH361"/>
  <c r="H361" s="1"/>
  <c r="AH424"/>
  <c r="H424" s="1"/>
  <c r="AG406"/>
  <c r="G406" s="1"/>
  <c r="AH404"/>
  <c r="H404" s="1"/>
  <c r="AH383"/>
  <c r="H383" s="1"/>
  <c r="AG384"/>
  <c r="G384" s="1"/>
  <c r="AG448"/>
  <c r="G448" s="1"/>
  <c r="B32" i="102"/>
  <c r="C32" s="1"/>
  <c r="E32" s="1"/>
  <c r="AG447" i="94"/>
  <c r="G447" s="1"/>
  <c r="AG427"/>
  <c r="G427" s="1"/>
  <c r="AH446"/>
  <c r="H446" s="1"/>
  <c r="F381"/>
  <c r="AH425"/>
  <c r="H425" s="1"/>
  <c r="AH182"/>
  <c r="H182" s="1"/>
  <c r="AG183"/>
  <c r="G183" s="1"/>
  <c r="AH183" s="1"/>
  <c r="H183" s="1"/>
  <c r="AH174"/>
  <c r="H174" s="1"/>
  <c r="G264"/>
  <c r="AH282"/>
  <c r="H282" s="1"/>
  <c r="AH284"/>
  <c r="H284" s="1"/>
  <c r="AH279"/>
  <c r="H279" s="1"/>
  <c r="AH175"/>
  <c r="H175" s="1"/>
  <c r="A26" i="103"/>
  <c r="AH181" i="94"/>
  <c r="H181" s="1"/>
  <c r="AH281"/>
  <c r="H281" s="1"/>
  <c r="B8" i="102"/>
  <c r="C8" s="1"/>
  <c r="E8" s="1"/>
  <c r="AH271" i="94"/>
  <c r="H271" s="1"/>
  <c r="AG190"/>
  <c r="G190" s="1"/>
  <c r="AH190" s="1"/>
  <c r="AH264" l="1"/>
  <c r="H264" s="1"/>
  <c r="F424"/>
  <c r="F361"/>
  <c r="F404"/>
  <c r="F425"/>
  <c r="AG363"/>
  <c r="G363" s="1"/>
  <c r="AH362"/>
  <c r="H362" s="1"/>
  <c r="AG385"/>
  <c r="G385" s="1"/>
  <c r="AH384"/>
  <c r="H384" s="1"/>
  <c r="F383"/>
  <c r="AH448"/>
  <c r="H448" s="1"/>
  <c r="AH447"/>
  <c r="H447" s="1"/>
  <c r="AH406"/>
  <c r="H406" s="1"/>
  <c r="AG407"/>
  <c r="G407" s="1"/>
  <c r="AG429"/>
  <c r="G429" s="1"/>
  <c r="AH427"/>
  <c r="H427" s="1"/>
  <c r="C7" i="102"/>
  <c r="E7" s="1"/>
  <c r="H190" i="94"/>
  <c r="F362" l="1"/>
  <c r="F448"/>
  <c r="F447"/>
  <c r="AH363"/>
  <c r="H363" s="1"/>
  <c r="AG364"/>
  <c r="G364" s="1"/>
  <c r="AH407"/>
  <c r="H407" s="1"/>
  <c r="AG408"/>
  <c r="G408" s="1"/>
  <c r="AG386"/>
  <c r="G386" s="1"/>
  <c r="AH385"/>
  <c r="H385" s="1"/>
  <c r="F384"/>
  <c r="F406"/>
  <c r="AG430"/>
  <c r="G430" s="1"/>
  <c r="AH429"/>
  <c r="H429" s="1"/>
  <c r="F427"/>
  <c r="AG201"/>
  <c r="G201" s="1"/>
  <c r="B12" i="102"/>
  <c r="C12" s="1"/>
  <c r="E12" s="1"/>
  <c r="F385" i="94" l="1"/>
  <c r="AG365"/>
  <c r="G365" s="1"/>
  <c r="AH364"/>
  <c r="H364" s="1"/>
  <c r="AG431"/>
  <c r="G431" s="1"/>
  <c r="AH430"/>
  <c r="H430" s="1"/>
  <c r="AH408"/>
  <c r="H408" s="1"/>
  <c r="AG409"/>
  <c r="G409" s="1"/>
  <c r="F363"/>
  <c r="F407"/>
  <c r="AG387"/>
  <c r="G387" s="1"/>
  <c r="AH386"/>
  <c r="H386" s="1"/>
  <c r="F429"/>
  <c r="AH201"/>
  <c r="H201" s="1"/>
  <c r="AG203"/>
  <c r="G203" s="1"/>
  <c r="F386" l="1"/>
  <c r="AH365"/>
  <c r="H365" s="1"/>
  <c r="AG366"/>
  <c r="G366" s="1"/>
  <c r="AG388"/>
  <c r="G388" s="1"/>
  <c r="AH387"/>
  <c r="H387" s="1"/>
  <c r="F364"/>
  <c r="AG432"/>
  <c r="G432" s="1"/>
  <c r="AH431"/>
  <c r="H431" s="1"/>
  <c r="F430"/>
  <c r="AG410"/>
  <c r="G410" s="1"/>
  <c r="AH409"/>
  <c r="H409" s="1"/>
  <c r="F408"/>
  <c r="AH203"/>
  <c r="H203" s="1"/>
  <c r="AG204"/>
  <c r="G204" s="1"/>
  <c r="AH204" s="1"/>
  <c r="H204" s="1"/>
  <c r="F387" l="1"/>
  <c r="F365"/>
  <c r="F409"/>
  <c r="AH366"/>
  <c r="H366" s="1"/>
  <c r="AG367"/>
  <c r="G367" s="1"/>
  <c r="F431"/>
  <c r="AG389"/>
  <c r="G389" s="1"/>
  <c r="AH388"/>
  <c r="H388" s="1"/>
  <c r="F388" s="1"/>
  <c r="AG411"/>
  <c r="G411" s="1"/>
  <c r="AH410"/>
  <c r="H410" s="1"/>
  <c r="AG433"/>
  <c r="G433" s="1"/>
  <c r="AH432"/>
  <c r="H432" s="1"/>
  <c r="AG206"/>
  <c r="G206" s="1"/>
  <c r="AH206" s="1"/>
  <c r="H206" s="1"/>
  <c r="F366" l="1"/>
  <c r="AH367"/>
  <c r="H367" s="1"/>
  <c r="AG370"/>
  <c r="G370" s="1"/>
  <c r="F410"/>
  <c r="AG390"/>
  <c r="G390" s="1"/>
  <c r="AH389"/>
  <c r="H389" s="1"/>
  <c r="F432"/>
  <c r="AG434"/>
  <c r="G434" s="1"/>
  <c r="AH433"/>
  <c r="H433" s="1"/>
  <c r="AG412"/>
  <c r="G412" s="1"/>
  <c r="AH411"/>
  <c r="H411" s="1"/>
  <c r="AG207"/>
  <c r="G207" s="1"/>
  <c r="AH207" s="1"/>
  <c r="H207" s="1"/>
  <c r="F389" l="1"/>
  <c r="F411"/>
  <c r="F433"/>
  <c r="F367"/>
  <c r="AH370"/>
  <c r="H370" s="1"/>
  <c r="AG372"/>
  <c r="G372" s="1"/>
  <c r="AH412"/>
  <c r="H412" s="1"/>
  <c r="AG413"/>
  <c r="G413" s="1"/>
  <c r="AH390"/>
  <c r="H390" s="1"/>
  <c r="AG393"/>
  <c r="G393" s="1"/>
  <c r="AH434"/>
  <c r="H434" s="1"/>
  <c r="AG435"/>
  <c r="G435" s="1"/>
  <c r="AI54"/>
  <c r="F434" l="1"/>
  <c r="F390"/>
  <c r="F370"/>
  <c r="AG373"/>
  <c r="G373" s="1"/>
  <c r="AH372"/>
  <c r="H372" s="1"/>
  <c r="AG436"/>
  <c r="G436" s="1"/>
  <c r="AH435"/>
  <c r="H435" s="1"/>
  <c r="AG416"/>
  <c r="G416" s="1"/>
  <c r="AH413"/>
  <c r="H413" s="1"/>
  <c r="F412"/>
  <c r="AH393"/>
  <c r="H393" s="1"/>
  <c r="AG395"/>
  <c r="G395" s="1"/>
  <c r="F435" l="1"/>
  <c r="F372"/>
  <c r="F413"/>
  <c r="AG374"/>
  <c r="G374" s="1"/>
  <c r="AH373"/>
  <c r="H373" s="1"/>
  <c r="AH395"/>
  <c r="H395" s="1"/>
  <c r="AG396"/>
  <c r="G396" s="1"/>
  <c r="AG439"/>
  <c r="G439" s="1"/>
  <c r="AH436"/>
  <c r="H436" s="1"/>
  <c r="F393"/>
  <c r="AH416"/>
  <c r="H416" s="1"/>
  <c r="AG418"/>
  <c r="G418" s="1"/>
  <c r="F436" l="1"/>
  <c r="AG375"/>
  <c r="G375" s="1"/>
  <c r="AH374"/>
  <c r="H374" s="1"/>
  <c r="AH418"/>
  <c r="H418" s="1"/>
  <c r="AG419"/>
  <c r="G419" s="1"/>
  <c r="F373"/>
  <c r="F395"/>
  <c r="AG397"/>
  <c r="G397" s="1"/>
  <c r="AH396"/>
  <c r="H396" s="1"/>
  <c r="AH439"/>
  <c r="H439" s="1"/>
  <c r="AG441"/>
  <c r="G441" s="1"/>
  <c r="F416"/>
  <c r="F374" l="1"/>
  <c r="F439"/>
  <c r="AH397"/>
  <c r="H397" s="1"/>
  <c r="AG398"/>
  <c r="G398" s="1"/>
  <c r="AG376"/>
  <c r="G376" s="1"/>
  <c r="AH375"/>
  <c r="H375" s="1"/>
  <c r="AG442"/>
  <c r="G442" s="1"/>
  <c r="AH441"/>
  <c r="H441" s="1"/>
  <c r="AH419"/>
  <c r="H419" s="1"/>
  <c r="AG420"/>
  <c r="G420" s="1"/>
  <c r="F418"/>
  <c r="F396"/>
  <c r="F375" l="1"/>
  <c r="F441"/>
  <c r="F397"/>
  <c r="AH398"/>
  <c r="H398" s="1"/>
  <c r="AG399"/>
  <c r="G399" s="1"/>
  <c r="AH420"/>
  <c r="H420" s="1"/>
  <c r="AG421"/>
  <c r="G421" s="1"/>
  <c r="AH376"/>
  <c r="H376" s="1"/>
  <c r="F419"/>
  <c r="AG443"/>
  <c r="G443" s="1"/>
  <c r="AH442"/>
  <c r="H442" s="1"/>
  <c r="F376" l="1"/>
  <c r="F442"/>
  <c r="AH421"/>
  <c r="H421" s="1"/>
  <c r="AG422"/>
  <c r="G422" s="1"/>
  <c r="AH443"/>
  <c r="H443" s="1"/>
  <c r="AG444"/>
  <c r="G444" s="1"/>
  <c r="AH399"/>
  <c r="H399" s="1"/>
  <c r="F398"/>
  <c r="F420"/>
  <c r="F399" l="1"/>
  <c r="F443"/>
  <c r="AH422"/>
  <c r="H422" s="1"/>
  <c r="F421"/>
  <c r="AH444"/>
  <c r="H444" s="1"/>
  <c r="AG445"/>
  <c r="G445" s="1"/>
  <c r="F422" l="1"/>
  <c r="F444"/>
  <c r="AH445"/>
  <c r="H445" s="1"/>
  <c r="F445" l="1"/>
  <c r="B32" l="1"/>
  <c r="AH50" l="1"/>
  <c r="H50" s="1"/>
  <c r="AH14"/>
  <c r="H14" s="1"/>
  <c r="AH454"/>
  <c r="H454" s="1"/>
  <c r="C48" i="102" l="1"/>
  <c r="E48" s="1"/>
  <c r="AH26" i="94"/>
  <c r="H26" s="1"/>
  <c r="AH20" s="1"/>
  <c r="AH779"/>
  <c r="H779" s="1"/>
  <c r="AH822"/>
  <c r="H822" s="1"/>
  <c r="AH824"/>
  <c r="H824" s="1"/>
  <c r="AH821"/>
  <c r="H821" s="1"/>
  <c r="AH823"/>
  <c r="H823" s="1"/>
  <c r="AH467"/>
  <c r="H467" s="1"/>
  <c r="B21" i="102"/>
  <c r="C21" s="1"/>
  <c r="E21" s="1"/>
  <c r="B55"/>
  <c r="C55" s="1"/>
  <c r="E55" s="1"/>
  <c r="AH30" i="94" l="1"/>
  <c r="H30" s="1"/>
  <c r="AG29"/>
  <c r="AH25"/>
  <c r="AH593" s="1"/>
  <c r="AH596" s="1"/>
  <c r="B48" i="102"/>
  <c r="AG34" i="94"/>
  <c r="G34" s="1"/>
  <c r="B17" i="102"/>
  <c r="C17" s="1"/>
  <c r="E17" s="1"/>
  <c r="B16"/>
  <c r="F467" i="94"/>
  <c r="C16" i="102"/>
  <c r="E16" s="1"/>
  <c r="AH229" i="94" l="1"/>
  <c r="AH637"/>
  <c r="AH250"/>
  <c r="AH233"/>
  <c r="AH251"/>
  <c r="AH249"/>
  <c r="AH642"/>
  <c r="AH630"/>
  <c r="AG749"/>
  <c r="AG761"/>
  <c r="AH244"/>
  <c r="H244" s="1"/>
  <c r="C25" i="99" s="1"/>
  <c r="AH243" i="94"/>
  <c r="H243" s="1"/>
  <c r="C24" i="99" s="1"/>
  <c r="AH242" i="94"/>
  <c r="H242" s="1"/>
  <c r="C23" i="99" s="1"/>
  <c r="AH240" i="94"/>
  <c r="H240" s="1"/>
  <c r="C21" i="99" s="1"/>
  <c r="AH239" i="94"/>
  <c r="H239" s="1"/>
  <c r="C20" i="99" s="1"/>
  <c r="AH238" i="94"/>
  <c r="H238" s="1"/>
  <c r="C19" i="99" s="1"/>
  <c r="AH241" i="94"/>
  <c r="H241" s="1"/>
  <c r="C22" i="99" s="1"/>
  <c r="AG724" i="94"/>
  <c r="G724" s="1"/>
  <c r="AG723"/>
  <c r="G723" s="1"/>
  <c r="AG765"/>
  <c r="G765" s="1"/>
  <c r="AG763"/>
  <c r="G763" s="1"/>
  <c r="AG787"/>
  <c r="G787" s="1"/>
  <c r="AG725"/>
  <c r="G725" s="1"/>
  <c r="AG788"/>
  <c r="G788" s="1"/>
  <c r="AG764"/>
  <c r="G764" s="1"/>
  <c r="AG722"/>
  <c r="G722" s="1"/>
  <c r="AG718"/>
  <c r="G718" s="1"/>
  <c r="AG762"/>
  <c r="G762" s="1"/>
  <c r="G749"/>
  <c r="AG736"/>
  <c r="G736" s="1"/>
  <c r="AG786"/>
  <c r="G786" s="1"/>
  <c r="AG779" l="1"/>
  <c r="G779" s="1"/>
  <c r="B44" i="102" l="1"/>
  <c r="AG645" i="94"/>
  <c r="G645" s="1"/>
  <c r="H233"/>
  <c r="H249" s="1"/>
  <c r="AH237"/>
  <c r="H237" s="1"/>
  <c r="C18" i="99" s="1"/>
  <c r="H251" i="94"/>
  <c r="AG637" s="1"/>
  <c r="AH19"/>
  <c r="H19" s="1"/>
  <c r="H642"/>
  <c r="H250"/>
  <c r="H630"/>
  <c r="H637"/>
  <c r="AH31"/>
  <c r="H31" s="1"/>
  <c r="AG220" s="1"/>
  <c r="G220" s="1"/>
  <c r="AH16"/>
  <c r="H16" s="1"/>
  <c r="AG221" l="1"/>
  <c r="G221" s="1"/>
  <c r="C7" i="99"/>
  <c r="AH673" i="94"/>
  <c r="H673" s="1"/>
  <c r="AH626"/>
  <c r="H626" s="1"/>
  <c r="B42" i="102"/>
  <c r="C42" s="1"/>
  <c r="E42" s="1"/>
  <c r="AH472" i="94"/>
  <c r="H472" s="1"/>
  <c r="AH475" s="1"/>
  <c r="H475" s="1"/>
  <c r="AH476" s="1"/>
  <c r="H476" s="1"/>
  <c r="B23" i="102"/>
  <c r="C23" s="1"/>
  <c r="E23" s="1"/>
  <c r="B19"/>
  <c r="C19" s="1"/>
  <c r="E19" s="1"/>
  <c r="B39"/>
  <c r="C39" s="1"/>
  <c r="E39" s="1"/>
  <c r="AK19" i="94"/>
  <c r="B19" s="1"/>
  <c r="C6" i="99"/>
  <c r="AG219" i="94"/>
  <c r="G219" s="1"/>
  <c r="AG227" s="1"/>
  <c r="G227" s="1"/>
  <c r="B49" i="102"/>
  <c r="AH669" i="94"/>
  <c r="H669" s="1"/>
  <c r="AH668"/>
  <c r="H668" s="1"/>
  <c r="AH654"/>
  <c r="H654" s="1"/>
  <c r="AH671"/>
  <c r="H671" s="1"/>
  <c r="C8" i="99" l="1"/>
  <c r="AH675" i="94"/>
  <c r="H675" s="1"/>
  <c r="AG482"/>
  <c r="G482" s="1"/>
  <c r="AH482" s="1"/>
  <c r="H482" s="1"/>
  <c r="AG477"/>
  <c r="G477" s="1"/>
  <c r="AG478"/>
  <c r="G478" s="1"/>
  <c r="AG687"/>
  <c r="G687" s="1"/>
  <c r="AH32"/>
  <c r="H32" s="1"/>
  <c r="C49" i="102"/>
  <c r="E49" s="1"/>
  <c r="H229" i="94"/>
  <c r="AG692"/>
  <c r="G692" s="1"/>
  <c r="AH42" l="1"/>
  <c r="AH692"/>
  <c r="H692" s="1"/>
  <c r="AH700" s="1"/>
  <c r="H700" s="1"/>
  <c r="AG701" s="1"/>
  <c r="G701" s="1"/>
  <c r="AH701" s="1"/>
  <c r="H701" s="1"/>
  <c r="AH707" s="1"/>
  <c r="H707" s="1"/>
  <c r="AH691"/>
  <c r="H691" s="1"/>
  <c r="AH477"/>
  <c r="H477" s="1"/>
  <c r="F477" s="1"/>
  <c r="AH478"/>
  <c r="H478" s="1"/>
  <c r="AG484" s="1"/>
  <c r="G484" s="1"/>
  <c r="AH22" l="1"/>
  <c r="H22" s="1"/>
  <c r="AH646" s="1"/>
  <c r="H646" s="1"/>
  <c r="C44" i="102"/>
  <c r="E44" s="1"/>
  <c r="AH27" i="94"/>
  <c r="AG39"/>
  <c r="G39" s="1"/>
  <c r="AG38"/>
  <c r="G38" s="1"/>
  <c r="AH797"/>
  <c r="H797" s="1"/>
  <c r="AH41"/>
  <c r="H41" s="1"/>
  <c r="AH796"/>
  <c r="H796" s="1"/>
  <c r="AG46"/>
  <c r="G46" s="1"/>
  <c r="B51" i="102"/>
  <c r="C51" s="1"/>
  <c r="E51" s="1"/>
  <c r="AH47" i="94"/>
  <c r="H47" s="1"/>
  <c r="AH788"/>
  <c r="H788" s="1"/>
  <c r="AG795" s="1"/>
  <c r="G795" s="1"/>
  <c r="AG796" s="1"/>
  <c r="G796" s="1"/>
  <c r="AH795"/>
  <c r="H795" s="1"/>
  <c r="AH794"/>
  <c r="H794" s="1"/>
  <c r="AG855"/>
  <c r="G855" s="1"/>
  <c r="AH48"/>
  <c r="H48" s="1"/>
  <c r="AI37"/>
  <c r="AH855"/>
  <c r="H855" s="1"/>
  <c r="AG798"/>
  <c r="G798" s="1"/>
  <c r="AH798" s="1"/>
  <c r="H798" s="1"/>
  <c r="F692"/>
  <c r="AH484"/>
  <c r="H484" s="1"/>
  <c r="F484" s="1"/>
  <c r="AG708"/>
  <c r="G708" s="1"/>
  <c r="AH708" s="1"/>
  <c r="H708" s="1"/>
  <c r="AH713" s="1"/>
  <c r="H713" s="1"/>
  <c r="AH489"/>
  <c r="H489" s="1"/>
  <c r="F478"/>
  <c r="AH762" l="1"/>
  <c r="H762" s="1"/>
  <c r="AH749"/>
  <c r="H749" s="1"/>
  <c r="AG766" s="1"/>
  <c r="G766" s="1"/>
  <c r="AH761"/>
  <c r="AH645"/>
  <c r="H645" s="1"/>
  <c r="F855"/>
  <c r="AG845"/>
  <c r="G845" s="1"/>
  <c r="AH853"/>
  <c r="AG851"/>
  <c r="G851" s="1"/>
  <c r="AH851" s="1"/>
  <c r="H851" s="1"/>
  <c r="F851" s="1"/>
  <c r="AH848"/>
  <c r="H848" s="1"/>
  <c r="AH826"/>
  <c r="H826" s="1"/>
  <c r="AH828"/>
  <c r="H828" s="1"/>
  <c r="B53" i="102"/>
  <c r="AH49" i="94"/>
  <c r="H49" s="1"/>
  <c r="AH833"/>
  <c r="H833" s="1"/>
  <c r="AH819"/>
  <c r="H819" s="1"/>
  <c r="AG803"/>
  <c r="G803" s="1"/>
  <c r="AH815"/>
  <c r="H815" s="1"/>
  <c r="AH46"/>
  <c r="H46" s="1"/>
  <c r="AH818"/>
  <c r="H818" s="1"/>
  <c r="AH816"/>
  <c r="H816" s="1"/>
  <c r="AH808"/>
  <c r="H808" s="1"/>
  <c r="AH817"/>
  <c r="H817" s="1"/>
  <c r="I41"/>
  <c r="I44" s="1"/>
  <c r="AH724"/>
  <c r="H724" s="1"/>
  <c r="AH723"/>
  <c r="H723" s="1"/>
  <c r="AH34"/>
  <c r="H34" s="1"/>
  <c r="AH718" s="1"/>
  <c r="H718" s="1"/>
  <c r="AH12"/>
  <c r="H12" s="1"/>
  <c r="AH765"/>
  <c r="H765" s="1"/>
  <c r="AH722"/>
  <c r="H722" s="1"/>
  <c r="AH725"/>
  <c r="H725" s="1"/>
  <c r="AH736"/>
  <c r="H736" s="1"/>
  <c r="AH786"/>
  <c r="H786" s="1"/>
  <c r="AH763"/>
  <c r="H763" s="1"/>
  <c r="AH764"/>
  <c r="H764" s="1"/>
  <c r="AH787"/>
  <c r="H787" s="1"/>
  <c r="AH29"/>
  <c r="H29" s="1"/>
  <c r="AH38"/>
  <c r="H38" s="1"/>
  <c r="B37" i="102" s="1"/>
  <c r="C37" s="1"/>
  <c r="E37" s="1"/>
  <c r="B36"/>
  <c r="C36" s="1"/>
  <c r="E36" s="1"/>
  <c r="B24"/>
  <c r="C24" s="1"/>
  <c r="E24" s="1"/>
  <c r="B54"/>
  <c r="C54" s="1"/>
  <c r="E54" s="1"/>
  <c r="AH39" i="94"/>
  <c r="AI39"/>
  <c r="H20"/>
  <c r="AK20" s="1"/>
  <c r="H25"/>
  <c r="AG25" s="1"/>
  <c r="G25" s="1"/>
  <c r="AG593" s="1"/>
  <c r="AI38" l="1"/>
  <c r="AH857"/>
  <c r="H857" s="1"/>
  <c r="AH864"/>
  <c r="H864" s="1"/>
  <c r="AH3" s="1"/>
  <c r="H3" s="1"/>
  <c r="C13" i="102" s="1"/>
  <c r="E13" s="1"/>
  <c r="AH859" i="94"/>
  <c r="H859" s="1"/>
  <c r="AH858"/>
  <c r="H858" s="1"/>
  <c r="AH803"/>
  <c r="H803" s="1"/>
  <c r="AH845"/>
  <c r="AG794"/>
  <c r="G794" s="1"/>
  <c r="AH651"/>
  <c r="H651" s="1"/>
  <c r="AH687" s="1"/>
  <c r="H687" s="1"/>
  <c r="F687" s="1"/>
  <c r="AH766"/>
  <c r="H766" s="1"/>
  <c r="AG770" s="1"/>
  <c r="G770" s="1"/>
  <c r="AG769"/>
  <c r="G769" s="1"/>
  <c r="AG767"/>
  <c r="G767" s="1"/>
  <c r="AH770"/>
  <c r="H770" s="1"/>
  <c r="AG774" s="1"/>
  <c r="G774" s="1"/>
  <c r="AH777"/>
  <c r="H777" s="1"/>
  <c r="AH775"/>
  <c r="H775" s="1"/>
  <c r="AH769"/>
  <c r="H769" s="1"/>
  <c r="AH771"/>
  <c r="H771" s="1"/>
  <c r="AH773"/>
  <c r="H773" s="1"/>
  <c r="AG768"/>
  <c r="G768" s="1"/>
  <c r="AH776"/>
  <c r="H776" s="1"/>
  <c r="AH768"/>
  <c r="H768" s="1"/>
  <c r="AH772"/>
  <c r="H772" s="1"/>
  <c r="AH774"/>
  <c r="H774" s="1"/>
  <c r="AH767"/>
  <c r="H767" s="1"/>
  <c r="AH289"/>
  <c r="AH449"/>
  <c r="H449" s="1"/>
  <c r="H289"/>
  <c r="AH827"/>
  <c r="H827" s="1"/>
  <c r="C53" i="102"/>
  <c r="E53" s="1"/>
  <c r="AG853" i="94"/>
  <c r="G853" s="1"/>
  <c r="H853"/>
  <c r="AG854" s="1"/>
  <c r="G854" s="1"/>
  <c r="AH854" s="1"/>
  <c r="H854" s="1"/>
  <c r="F854" s="1"/>
  <c r="G593"/>
  <c r="AG596" s="1"/>
  <c r="AH589"/>
  <c r="H589" s="1"/>
  <c r="AH24"/>
  <c r="AH539"/>
  <c r="AH541"/>
  <c r="H541" s="1"/>
  <c r="AH540"/>
  <c r="H540" s="1"/>
  <c r="B20"/>
  <c r="AG775" l="1"/>
  <c r="G775" s="1"/>
  <c r="AG776"/>
  <c r="G776" s="1"/>
  <c r="AG777"/>
  <c r="G777" s="1"/>
  <c r="AG773"/>
  <c r="G773" s="1"/>
  <c r="AG771"/>
  <c r="G771" s="1"/>
  <c r="AG772"/>
  <c r="G772" s="1"/>
  <c r="H845"/>
  <c r="F845" s="1"/>
  <c r="AG864"/>
  <c r="G864" s="1"/>
  <c r="F864" s="1"/>
  <c r="AG857"/>
  <c r="G857" s="1"/>
  <c r="F857" s="1"/>
  <c r="AG860"/>
  <c r="G860" s="1"/>
  <c r="AH860" s="1"/>
  <c r="H860" s="1"/>
  <c r="F860" s="1"/>
  <c r="F853"/>
  <c r="H24"/>
  <c r="AG24" s="1"/>
  <c r="AH573" l="1"/>
  <c r="H573" s="1"/>
  <c r="G24"/>
  <c r="AG755" s="1"/>
  <c r="G29"/>
  <c r="AG579" l="1"/>
  <c r="G579" s="1"/>
  <c r="AG654"/>
  <c r="G654" s="1"/>
  <c r="AG657"/>
  <c r="AG660"/>
  <c r="AG669"/>
  <c r="G669" s="1"/>
  <c r="AG668"/>
  <c r="G668" s="1"/>
  <c r="AG661"/>
  <c r="AG656"/>
  <c r="G656" s="1"/>
  <c r="AG658"/>
  <c r="AG659"/>
  <c r="AH579" l="1"/>
  <c r="H579" s="1"/>
  <c r="AG580" s="1"/>
  <c r="G580" s="1"/>
  <c r="AG663"/>
  <c r="AH656"/>
  <c r="H656" s="1"/>
  <c r="AG662" s="1"/>
  <c r="AH580" l="1"/>
  <c r="H580" s="1"/>
  <c r="AH663"/>
  <c r="H663" s="1"/>
  <c r="G663"/>
  <c r="G662"/>
  <c r="AH662"/>
  <c r="H662" s="1"/>
  <c r="AH23" l="1"/>
  <c r="H23" s="1"/>
  <c r="AG23" s="1"/>
  <c r="AH569" l="1"/>
  <c r="H569" s="1"/>
  <c r="AH504"/>
  <c r="AG573"/>
  <c r="G573" s="1"/>
  <c r="G755"/>
  <c r="G23"/>
  <c r="AH493" s="1"/>
  <c r="AH563"/>
  <c r="H563" s="1"/>
  <c r="AH755" l="1"/>
  <c r="H755" s="1"/>
  <c r="AH760" s="1"/>
  <c r="AG569"/>
  <c r="G569" s="1"/>
  <c r="AG584"/>
  <c r="G584" s="1"/>
  <c r="AH584" s="1"/>
  <c r="AG563"/>
  <c r="G563" s="1"/>
  <c r="AH543"/>
  <c r="H543" s="1"/>
  <c r="H493"/>
  <c r="G761"/>
  <c r="AH507"/>
  <c r="H507" s="1"/>
  <c r="H761" l="1"/>
  <c r="H584"/>
  <c r="AH521"/>
  <c r="H521" s="1"/>
  <c r="AH530"/>
  <c r="H530" s="1"/>
  <c r="AH516"/>
  <c r="H516" s="1"/>
  <c r="AH518"/>
  <c r="H518" s="1"/>
  <c r="AH520"/>
  <c r="H520" s="1"/>
  <c r="AH510"/>
  <c r="H510" s="1"/>
  <c r="AH512"/>
  <c r="H512" s="1"/>
  <c r="AH517"/>
  <c r="H517" s="1"/>
  <c r="AH519"/>
  <c r="H519" s="1"/>
  <c r="AH515"/>
  <c r="H515" s="1"/>
  <c r="AH511"/>
  <c r="H511" s="1"/>
  <c r="AH509"/>
  <c r="H509" s="1"/>
  <c r="C45" i="102"/>
  <c r="B45" s="1"/>
  <c r="B47"/>
  <c r="A46" i="103"/>
  <c r="G596" i="94"/>
  <c r="AH586" l="1"/>
  <c r="H586" s="1"/>
  <c r="E45" i="102"/>
  <c r="A47" i="103"/>
  <c r="AG603" i="94"/>
  <c r="G603" s="1"/>
  <c r="H593"/>
  <c r="C47" i="102" s="1"/>
  <c r="E47" s="1"/>
  <c r="H596" i="94"/>
  <c r="AH603" s="1"/>
  <c r="AH605" l="1"/>
  <c r="H605" s="1"/>
  <c r="H603"/>
  <c r="B43" i="102" l="1"/>
  <c r="C43" s="1"/>
  <c r="E43" s="1"/>
  <c r="AG616" i="94"/>
  <c r="G616" s="1"/>
  <c r="AG606"/>
  <c r="G606" s="1"/>
  <c r="AH610" s="1"/>
  <c r="H539"/>
  <c r="H610" l="1"/>
  <c r="AH615" s="1"/>
  <c r="H615" s="1"/>
</calcChain>
</file>

<file path=xl/comments1.xml><?xml version="1.0" encoding="utf-8"?>
<comments xmlns="http://schemas.openxmlformats.org/spreadsheetml/2006/main">
  <authors>
    <author>AGarten</author>
  </authors>
  <commentList>
    <comment ref="AG3" authorId="0">
      <text>
        <r>
          <rPr>
            <b/>
            <sz val="9"/>
            <color indexed="81"/>
            <rFont val="Tahoma"/>
            <family val="2"/>
          </rPr>
          <t>AGarten:</t>
        </r>
        <r>
          <rPr>
            <sz val="9"/>
            <color indexed="81"/>
            <rFont val="Tahoma"/>
            <family val="2"/>
          </rPr>
          <t xml:space="preserve">
I'm confused why this defaults to today</t>
        </r>
      </text>
    </comment>
    <comment ref="F20" authorId="0">
      <text>
        <r>
          <rPr>
            <b/>
            <sz val="9"/>
            <color indexed="81"/>
            <rFont val="Tahoma"/>
            <family val="2"/>
          </rPr>
          <t>AGarten: C</t>
        </r>
        <r>
          <rPr>
            <sz val="9"/>
            <color indexed="81"/>
            <rFont val="Tahoma"/>
            <family val="2"/>
          </rPr>
          <t>reate option to adjust for SIP rules that should be submitted more than 45 days before comment period opens?</t>
        </r>
      </text>
    </comment>
    <comment ref="AH20" authorId="0">
      <text>
        <r>
          <rPr>
            <b/>
            <sz val="9"/>
            <color indexed="81"/>
            <rFont val="Tahoma"/>
            <family val="2"/>
          </rPr>
          <t>AGarten:</t>
        </r>
        <r>
          <rPr>
            <sz val="9"/>
            <color indexed="81"/>
            <rFont val="Tahoma"/>
            <family val="2"/>
          </rPr>
          <t xml:space="preserve">
Changed -44 to -60
</t>
        </r>
      </text>
    </comment>
    <comment ref="G22" authorId="0">
      <text>
        <r>
          <rPr>
            <b/>
            <sz val="9"/>
            <color indexed="81"/>
            <rFont val="Tahoma"/>
            <family val="2"/>
          </rPr>
          <t>AGarten:</t>
        </r>
        <r>
          <rPr>
            <sz val="9"/>
            <color indexed="81"/>
            <rFont val="Tahoma"/>
            <family val="2"/>
          </rPr>
          <t xml:space="preserve">
More data than necessary. I recommend not having these date ranges in blue for each subsection of this schedule overview</t>
        </r>
      </text>
    </comment>
    <comment ref="AK31" authorId="0">
      <text>
        <r>
          <rPr>
            <b/>
            <sz val="9"/>
            <color indexed="81"/>
            <rFont val="Tahoma"/>
            <family val="2"/>
          </rPr>
          <t>AGarten:</t>
        </r>
        <r>
          <rPr>
            <sz val="9"/>
            <color indexed="81"/>
            <rFont val="Tahoma"/>
            <family val="2"/>
          </rPr>
          <t xml:space="preserve">
Changed EPA requirement to EPA SIP requirement</t>
        </r>
      </text>
    </comment>
    <comment ref="B56" authorId="0">
      <text>
        <r>
          <rPr>
            <b/>
            <sz val="9"/>
            <color indexed="81"/>
            <rFont val="Tahoma"/>
            <family val="2"/>
          </rPr>
          <t>AGarten:</t>
        </r>
        <r>
          <rPr>
            <sz val="9"/>
            <color indexed="81"/>
            <rFont val="Tahoma"/>
            <family val="2"/>
          </rPr>
          <t xml:space="preserve">
delete ing from maintain</t>
        </r>
      </text>
    </comment>
    <comment ref="B64" authorId="0">
      <text>
        <r>
          <rPr>
            <b/>
            <sz val="9"/>
            <color indexed="81"/>
            <rFont val="Tahoma"/>
            <family val="2"/>
          </rPr>
          <t>AGarten:</t>
        </r>
        <r>
          <rPr>
            <sz val="9"/>
            <color indexed="81"/>
            <rFont val="Tahoma"/>
            <family val="2"/>
          </rPr>
          <t xml:space="preserve">
Increase height or add row to display the last word of this responsibility.</t>
        </r>
      </text>
    </comment>
    <comment ref="B77" authorId="0">
      <text>
        <r>
          <rPr>
            <b/>
            <sz val="9"/>
            <color indexed="81"/>
            <rFont val="Tahoma"/>
            <family val="2"/>
          </rPr>
          <t>AGarten:</t>
        </r>
        <r>
          <rPr>
            <sz val="9"/>
            <color indexed="81"/>
            <rFont val="Tahoma"/>
            <family val="2"/>
          </rPr>
          <t xml:space="preserve">
add "identified" for consistency with subject expert's responsibilities</t>
        </r>
      </text>
    </comment>
    <comment ref="B78" authorId="0">
      <text>
        <r>
          <rPr>
            <b/>
            <sz val="9"/>
            <color indexed="81"/>
            <rFont val="Tahoma"/>
            <family val="2"/>
          </rPr>
          <t>AGarten:</t>
        </r>
        <r>
          <rPr>
            <sz val="9"/>
            <color indexed="81"/>
            <rFont val="Tahoma"/>
            <family val="2"/>
          </rPr>
          <t xml:space="preserve">
change from leads to facilitates</t>
        </r>
      </text>
    </comment>
    <comment ref="B89" authorId="0">
      <text>
        <r>
          <rPr>
            <b/>
            <sz val="9"/>
            <color indexed="81"/>
            <rFont val="Tahoma"/>
            <family val="2"/>
          </rPr>
          <t>AGarten:</t>
        </r>
        <r>
          <rPr>
            <sz val="9"/>
            <color indexed="81"/>
            <rFont val="Tahoma"/>
            <family val="2"/>
          </rPr>
          <t xml:space="preserve">
fixed spelling</t>
        </r>
      </text>
    </comment>
    <comment ref="B90" authorId="0">
      <text>
        <r>
          <rPr>
            <b/>
            <sz val="9"/>
            <color indexed="81"/>
            <rFont val="Tahoma"/>
            <family val="2"/>
          </rPr>
          <t>AGarten:</t>
        </r>
        <r>
          <rPr>
            <sz val="9"/>
            <color indexed="81"/>
            <rFont val="Tahoma"/>
            <family val="2"/>
          </rPr>
          <t xml:space="preserve">
Increase height or add row to display the last word of this responsibility.</t>
        </r>
      </text>
    </comment>
    <comment ref="B92" authorId="0">
      <text>
        <r>
          <rPr>
            <b/>
            <sz val="9"/>
            <color indexed="81"/>
            <rFont val="Tahoma"/>
            <family val="2"/>
          </rPr>
          <t>AGarten:</t>
        </r>
        <r>
          <rPr>
            <sz val="9"/>
            <color indexed="81"/>
            <rFont val="Tahoma"/>
            <family val="2"/>
          </rPr>
          <t xml:space="preserve">
Increase height or add row to display the last word of this responsibility.</t>
        </r>
      </text>
    </comment>
    <comment ref="AK105" authorId="0">
      <text>
        <r>
          <rPr>
            <b/>
            <sz val="9"/>
            <color indexed="81"/>
            <rFont val="Tahoma"/>
            <family val="2"/>
          </rPr>
          <t>AGarten:</t>
        </r>
        <r>
          <rPr>
            <sz val="9"/>
            <color indexed="81"/>
            <rFont val="Tahoma"/>
            <family val="2"/>
          </rPr>
          <t xml:space="preserve">
Fix. Should be address for SharePoint work
</t>
        </r>
      </text>
    </comment>
    <comment ref="AK107" authorId="0">
      <text>
        <r>
          <rPr>
            <b/>
            <sz val="9"/>
            <color indexed="81"/>
            <rFont val="Tahoma"/>
            <family val="2"/>
          </rPr>
          <t>AGarten:</t>
        </r>
        <r>
          <rPr>
            <sz val="9"/>
            <color indexed="81"/>
            <rFont val="Tahoma"/>
            <family val="2"/>
          </rPr>
          <t xml:space="preserve">
Fix. Should be address for Rules Development - non collaborative work. Should we add a folder for this, to keep people out of the other folders on rules development?
</t>
        </r>
      </text>
    </comment>
    <comment ref="AK112" authorId="0">
      <text>
        <r>
          <rPr>
            <b/>
            <sz val="9"/>
            <color indexed="81"/>
            <rFont val="Tahoma"/>
            <family val="2"/>
          </rPr>
          <t>AGarten:</t>
        </r>
        <r>
          <rPr>
            <sz val="9"/>
            <color indexed="81"/>
            <rFont val="Tahoma"/>
            <family val="2"/>
          </rPr>
          <t xml:space="preserve">
Change the year from 2013 to 2014</t>
        </r>
      </text>
    </comment>
    <comment ref="AK114" authorId="0">
      <text>
        <r>
          <rPr>
            <b/>
            <sz val="9"/>
            <color indexed="81"/>
            <rFont val="Tahoma"/>
            <family val="2"/>
          </rPr>
          <t xml:space="preserve">AGarten: change </t>
        </r>
        <r>
          <rPr>
            <sz val="9"/>
            <color indexed="81"/>
            <rFont val="Tahoma"/>
            <family val="2"/>
          </rPr>
          <t>commas to periods</t>
        </r>
      </text>
    </comment>
    <comment ref="B179" authorId="0">
      <text>
        <r>
          <rPr>
            <b/>
            <sz val="9"/>
            <color indexed="81"/>
            <rFont val="Tahoma"/>
            <family val="2"/>
          </rPr>
          <t>AGarten:</t>
        </r>
        <r>
          <rPr>
            <sz val="9"/>
            <color indexed="81"/>
            <rFont val="Tahoma"/>
            <family val="2"/>
          </rPr>
          <t xml:space="preserve">
change conditional formatting. this line should be active (black) even if we don't expand the team</t>
        </r>
      </text>
    </comment>
    <comment ref="AK183" authorId="0">
      <text>
        <r>
          <rPr>
            <b/>
            <sz val="9"/>
            <color indexed="81"/>
            <rFont val="Tahoma"/>
            <family val="2"/>
          </rPr>
          <t>AGarten:</t>
        </r>
        <r>
          <rPr>
            <sz val="9"/>
            <color indexed="81"/>
            <rFont val="Tahoma"/>
            <family val="2"/>
          </rPr>
          <t xml:space="preserve">
typo</t>
        </r>
      </text>
    </comment>
    <comment ref="AH229" authorId="0">
      <text>
        <r>
          <rPr>
            <b/>
            <sz val="9"/>
            <color indexed="81"/>
            <rFont val="Tahoma"/>
            <family val="2"/>
          </rPr>
          <t>AGarten:</t>
        </r>
        <r>
          <rPr>
            <sz val="9"/>
            <color indexed="81"/>
            <rFont val="Tahoma"/>
            <family val="2"/>
          </rPr>
          <t xml:space="preserve">
I updated this formula. The end date of this task should be a couple weeks before the Notice is submitted to SOS</t>
        </r>
      </text>
    </comment>
    <comment ref="B230" authorId="0">
      <text>
        <r>
          <rPr>
            <b/>
            <sz val="9"/>
            <color indexed="81"/>
            <rFont val="Tahoma"/>
            <family val="2"/>
          </rPr>
          <t>AGarten:</t>
        </r>
        <r>
          <rPr>
            <sz val="9"/>
            <color indexed="81"/>
            <rFont val="Tahoma"/>
            <family val="2"/>
          </rPr>
          <t xml:space="preserve">
Revise for clarity</t>
        </r>
      </text>
    </comment>
    <comment ref="C230" authorId="0">
      <text>
        <r>
          <rPr>
            <b/>
            <sz val="9"/>
            <color indexed="81"/>
            <rFont val="Tahoma"/>
            <family val="2"/>
          </rPr>
          <t>AGarten:</t>
        </r>
        <r>
          <rPr>
            <sz val="9"/>
            <color indexed="81"/>
            <rFont val="Tahoma"/>
            <family val="2"/>
          </rPr>
          <t xml:space="preserve">
this link to the hearing and ad tab doesn't work if the tab is hidden.</t>
        </r>
      </text>
    </comment>
    <comment ref="AH233" authorId="0">
      <text>
        <r>
          <rPr>
            <b/>
            <sz val="9"/>
            <color indexed="81"/>
            <rFont val="Tahoma"/>
            <family val="2"/>
          </rPr>
          <t>AGarten:</t>
        </r>
        <r>
          <rPr>
            <sz val="9"/>
            <color indexed="81"/>
            <rFont val="Tahoma"/>
            <family val="2"/>
          </rPr>
          <t xml:space="preserve">
This step needs to happen earlier. I changed it from 2 days to 18 days before the notice is published
</t>
        </r>
      </text>
    </comment>
    <comment ref="AK233" authorId="0">
      <text>
        <r>
          <rPr>
            <b/>
            <sz val="9"/>
            <color indexed="81"/>
            <rFont val="Tahoma"/>
            <family val="2"/>
          </rPr>
          <t>AGarten:</t>
        </r>
        <r>
          <rPr>
            <sz val="9"/>
            <color indexed="81"/>
            <rFont val="Tahoma"/>
            <family val="2"/>
          </rPr>
          <t xml:space="preserve">
Changed for Jill's rulemaking. Removed part of formula since Jill doesn't have a support person. 
</t>
        </r>
      </text>
    </comment>
    <comment ref="H236" authorId="0">
      <text>
        <r>
          <rPr>
            <b/>
            <sz val="9"/>
            <color indexed="81"/>
            <rFont val="Tahoma"/>
            <family val="2"/>
          </rPr>
          <t>AGarten:</t>
        </r>
        <r>
          <rPr>
            <sz val="9"/>
            <color indexed="81"/>
            <rFont val="Tahoma"/>
            <family val="2"/>
          </rPr>
          <t xml:space="preserve">
Verify date works with newspaper. Newspapers are not published every day of the week.</t>
        </r>
      </text>
    </comment>
    <comment ref="AH249" authorId="0">
      <text>
        <r>
          <rPr>
            <b/>
            <sz val="9"/>
            <color indexed="81"/>
            <rFont val="Tahoma"/>
            <family val="2"/>
          </rPr>
          <t>AGarten:</t>
        </r>
        <r>
          <rPr>
            <sz val="9"/>
            <color indexed="81"/>
            <rFont val="Tahoma"/>
            <family val="2"/>
          </rPr>
          <t xml:space="preserve">
Changed from H233 to =IF(AF249=0,,IF(S.Notice.AD.Involved="N",,WORKDAY(S.Notice.OpenComment,-10,S.DDL_DEQClosed)))</t>
        </r>
      </text>
    </comment>
    <comment ref="B250" authorId="0">
      <text>
        <r>
          <rPr>
            <b/>
            <sz val="9"/>
            <color indexed="81"/>
            <rFont val="Tahoma"/>
            <family val="2"/>
          </rPr>
          <t>AGarten:</t>
        </r>
        <r>
          <rPr>
            <sz val="9"/>
            <color indexed="81"/>
            <rFont val="Tahoma"/>
            <family val="2"/>
          </rPr>
          <t xml:space="preserve">
Revise for clarity</t>
        </r>
      </text>
    </comment>
    <comment ref="C250" authorId="0">
      <text>
        <r>
          <rPr>
            <b/>
            <sz val="9"/>
            <color indexed="81"/>
            <rFont val="Tahoma"/>
            <family val="2"/>
          </rPr>
          <t>AGarten:</t>
        </r>
        <r>
          <rPr>
            <sz val="9"/>
            <color indexed="81"/>
            <rFont val="Tahoma"/>
            <family val="2"/>
          </rPr>
          <t xml:space="preserve">
this link to the hearing and ad tab doesn't work if the tab is hidden</t>
        </r>
      </text>
    </comment>
    <comment ref="AH250" authorId="0">
      <text>
        <r>
          <rPr>
            <b/>
            <sz val="9"/>
            <color indexed="81"/>
            <rFont val="Tahoma"/>
            <family val="2"/>
          </rPr>
          <t>AGarten:</t>
        </r>
        <r>
          <rPr>
            <sz val="9"/>
            <color indexed="81"/>
            <rFont val="Tahoma"/>
            <family val="2"/>
          </rPr>
          <t xml:space="preserve">
Changed from 2 days to 13 days
</t>
        </r>
      </text>
    </comment>
    <comment ref="AH251" authorId="0">
      <text>
        <r>
          <rPr>
            <b/>
            <sz val="9"/>
            <color indexed="81"/>
            <rFont val="Tahoma"/>
            <family val="2"/>
          </rPr>
          <t>AGarten:</t>
        </r>
        <r>
          <rPr>
            <sz val="9"/>
            <color indexed="81"/>
            <rFont val="Tahoma"/>
            <family val="2"/>
          </rPr>
          <t xml:space="preserve">
Changed from 2 days to 13 days
</t>
        </r>
      </text>
    </comment>
    <comment ref="C269" authorId="0">
      <text>
        <r>
          <rPr>
            <b/>
            <sz val="9"/>
            <color indexed="81"/>
            <rFont val="Tahoma"/>
            <family val="2"/>
          </rPr>
          <t>AGarten:</t>
        </r>
        <r>
          <rPr>
            <sz val="9"/>
            <color indexed="81"/>
            <rFont val="Tahoma"/>
            <family val="2"/>
          </rPr>
          <t xml:space="preserve">
I don't understand why this is hyperlinked to division 18. </t>
        </r>
      </text>
    </comment>
    <comment ref="H332" authorId="0">
      <text>
        <r>
          <rPr>
            <b/>
            <sz val="9"/>
            <color indexed="81"/>
            <rFont val="Tahoma"/>
            <family val="2"/>
          </rPr>
          <t>AGarten:</t>
        </r>
        <r>
          <rPr>
            <sz val="9"/>
            <color indexed="81"/>
            <rFont val="Tahoma"/>
            <family val="2"/>
          </rPr>
          <t xml:space="preserve">
Fixed punctuation</t>
        </r>
      </text>
    </comment>
    <comment ref="G493" authorId="0">
      <text>
        <r>
          <rPr>
            <b/>
            <sz val="9"/>
            <color indexed="81"/>
            <rFont val="Tahoma"/>
            <family val="2"/>
          </rPr>
          <t>AGarten:</t>
        </r>
        <r>
          <rPr>
            <sz val="9"/>
            <color indexed="81"/>
            <rFont val="Tahoma"/>
            <family val="2"/>
          </rPr>
          <t xml:space="preserve">
Formatting and outlines in this section, row 493 to 521, could be more intuitive</t>
        </r>
      </text>
    </comment>
    <comment ref="B509" authorId="0">
      <text>
        <r>
          <rPr>
            <b/>
            <sz val="9"/>
            <color indexed="81"/>
            <rFont val="Tahoma"/>
            <family val="2"/>
          </rPr>
          <t>AGarten:</t>
        </r>
        <r>
          <rPr>
            <sz val="9"/>
            <color indexed="81"/>
            <rFont val="Tahoma"/>
            <family val="2"/>
          </rPr>
          <t xml:space="preserve">
spelling</t>
        </r>
      </text>
    </comment>
    <comment ref="AG593" authorId="0">
      <text>
        <r>
          <rPr>
            <b/>
            <sz val="9"/>
            <color indexed="81"/>
            <rFont val="Tahoma"/>
            <family val="2"/>
          </rPr>
          <t>AGarten:</t>
        </r>
        <r>
          <rPr>
            <sz val="9"/>
            <color indexed="81"/>
            <rFont val="Tahoma"/>
            <family val="2"/>
          </rPr>
          <t xml:space="preserve">
I changed this. I think it's linked to wrong date. Should be linked to S.Notice.Submit.ToADA in AG25
</t>
        </r>
      </text>
    </comment>
    <comment ref="B607" authorId="0">
      <text>
        <r>
          <rPr>
            <b/>
            <sz val="9"/>
            <color indexed="81"/>
            <rFont val="Tahoma"/>
            <family val="2"/>
          </rPr>
          <t>AGarten:</t>
        </r>
        <r>
          <rPr>
            <sz val="9"/>
            <color indexed="81"/>
            <rFont val="Tahoma"/>
            <family val="2"/>
          </rPr>
          <t xml:space="preserve">
Increase height or add row to display the last word of this responsibility</t>
        </r>
      </text>
    </comment>
    <comment ref="AH610" authorId="0">
      <text>
        <r>
          <rPr>
            <b/>
            <sz val="9"/>
            <color indexed="81"/>
            <rFont val="Tahoma"/>
            <family val="2"/>
          </rPr>
          <t>AGarten:</t>
        </r>
        <r>
          <rPr>
            <sz val="9"/>
            <color indexed="81"/>
            <rFont val="Tahoma"/>
            <family val="2"/>
          </rPr>
          <t xml:space="preserve">
I changed days from 5 to 3 because this approval should come from Leah before our SOS submittal work begins. </t>
        </r>
      </text>
    </comment>
    <comment ref="C618" authorId="0">
      <text>
        <r>
          <rPr>
            <b/>
            <sz val="9"/>
            <color indexed="81"/>
            <rFont val="Tahoma"/>
            <family val="2"/>
          </rPr>
          <t>AGarten:</t>
        </r>
        <r>
          <rPr>
            <sz val="9"/>
            <color indexed="81"/>
            <rFont val="Tahoma"/>
            <family val="2"/>
          </rPr>
          <t xml:space="preserve">
Change hyperlink to http://www.oregon.gov/deq/RulesandRegulations/Pages/proposedrule.aspx</t>
        </r>
      </text>
    </comment>
    <comment ref="C624" authorId="0">
      <text>
        <r>
          <rPr>
            <b/>
            <sz val="9"/>
            <color indexed="81"/>
            <rFont val="Tahoma"/>
            <family val="2"/>
          </rPr>
          <t>AGarten:</t>
        </r>
        <r>
          <rPr>
            <sz val="9"/>
            <color indexed="81"/>
            <rFont val="Tahoma"/>
            <family val="2"/>
          </rPr>
          <t xml:space="preserve">
Change hyperlink to \\deqhq1\Rule_Development\Currrent Plan</t>
        </r>
      </text>
    </comment>
    <comment ref="B630" authorId="0">
      <text>
        <r>
          <rPr>
            <b/>
            <sz val="9"/>
            <color indexed="81"/>
            <rFont val="Tahoma"/>
            <family val="2"/>
          </rPr>
          <t>AGarten:</t>
        </r>
        <r>
          <rPr>
            <sz val="9"/>
            <color indexed="81"/>
            <rFont val="Tahoma"/>
            <family val="2"/>
          </rPr>
          <t xml:space="preserve">
Currently, GovDelivery performed by one person for all of AQ. Not sure the subject expert should perform GovDelivery. Training issue.</t>
        </r>
      </text>
    </comment>
    <comment ref="C636" authorId="0">
      <text>
        <r>
          <rPr>
            <b/>
            <sz val="9"/>
            <color indexed="81"/>
            <rFont val="Tahoma"/>
            <family val="2"/>
          </rPr>
          <t>AGarten:</t>
        </r>
        <r>
          <rPr>
            <sz val="9"/>
            <color indexed="81"/>
            <rFont val="Tahoma"/>
            <family val="2"/>
          </rPr>
          <t xml:space="preserve">
Change hyperlink to \\deqhq1\Rule_Development\Currrent Plan</t>
        </r>
      </text>
    </comment>
    <comment ref="AH637" authorId="0">
      <text>
        <r>
          <rPr>
            <b/>
            <sz val="9"/>
            <color indexed="81"/>
            <rFont val="Tahoma"/>
            <family val="2"/>
          </rPr>
          <t>AGarten:</t>
        </r>
        <r>
          <rPr>
            <sz val="9"/>
            <color indexed="81"/>
            <rFont val="Tahoma"/>
            <family val="2"/>
          </rPr>
          <t xml:space="preserve">
I changed -2days to -5days to allow adequate time for review
</t>
        </r>
      </text>
    </comment>
    <comment ref="AH642" authorId="0">
      <text>
        <r>
          <rPr>
            <b/>
            <sz val="9"/>
            <color indexed="81"/>
            <rFont val="Tahoma"/>
            <family val="2"/>
          </rPr>
          <t>AGarten:</t>
        </r>
        <r>
          <rPr>
            <sz val="9"/>
            <color indexed="81"/>
            <rFont val="Tahoma"/>
            <family val="2"/>
          </rPr>
          <t xml:space="preserve">
I changed this formula. It  needs to be the date we open the comment period, not IF(AF642=0,,WORKDAY(S.Notice.OpenComment,-2,S.DDL_DEQClosed))</t>
        </r>
      </text>
    </comment>
    <comment ref="B699" authorId="0">
      <text>
        <r>
          <rPr>
            <b/>
            <sz val="9"/>
            <color indexed="81"/>
            <rFont val="Tahoma"/>
            <family val="2"/>
          </rPr>
          <t>AGarten:</t>
        </r>
        <r>
          <rPr>
            <sz val="9"/>
            <color indexed="81"/>
            <rFont val="Tahoma"/>
            <family val="2"/>
          </rPr>
          <t xml:space="preserve">
Change from "ALL REVIEWS ARE COMPLETE" to "staff report is finalized"</t>
        </r>
      </text>
    </comment>
    <comment ref="C700" authorId="0">
      <text>
        <r>
          <rPr>
            <b/>
            <sz val="9"/>
            <color indexed="81"/>
            <rFont val="Tahoma"/>
            <family val="2"/>
          </rPr>
          <t>AGarten:</t>
        </r>
        <r>
          <rPr>
            <sz val="9"/>
            <color indexed="81"/>
            <rFont val="Tahoma"/>
            <family val="2"/>
          </rPr>
          <t xml:space="preserve">
fix typo</t>
        </r>
      </text>
    </comment>
    <comment ref="B716" authorId="0">
      <text>
        <r>
          <rPr>
            <b/>
            <sz val="9"/>
            <color indexed="81"/>
            <rFont val="Tahoma"/>
            <family val="2"/>
          </rPr>
          <t>AGarten:</t>
        </r>
        <r>
          <rPr>
            <sz val="9"/>
            <color indexed="81"/>
            <rFont val="Tahoma"/>
            <family val="2"/>
          </rPr>
          <t xml:space="preserve">
The dates in this section need more work. It needs to be clear when the staff report is due to the director's office, and the reviewer periods should auto populate based on that deadline or the close of comment deadline</t>
        </r>
      </text>
    </comment>
    <comment ref="B727" authorId="0">
      <text>
        <r>
          <rPr>
            <b/>
            <sz val="9"/>
            <color indexed="81"/>
            <rFont val="Tahoma"/>
            <family val="2"/>
          </rPr>
          <t>AGarten:</t>
        </r>
        <r>
          <rPr>
            <sz val="9"/>
            <color indexed="81"/>
            <rFont val="Tahoma"/>
            <family val="2"/>
          </rPr>
          <t xml:space="preserve">
This is a change from current practice. Do we want the subject expert to do this instead of the rule lead?</t>
        </r>
      </text>
    </comment>
    <comment ref="B747" authorId="0">
      <text>
        <r>
          <rPr>
            <b/>
            <sz val="9"/>
            <color indexed="81"/>
            <rFont val="Tahoma"/>
            <family val="2"/>
          </rPr>
          <t>AGarten:</t>
        </r>
        <r>
          <rPr>
            <sz val="9"/>
            <color indexed="81"/>
            <rFont val="Tahoma"/>
            <family val="2"/>
          </rPr>
          <t xml:space="preserve">
what does this mean?</t>
        </r>
      </text>
    </comment>
    <comment ref="G755" authorId="0">
      <text>
        <r>
          <rPr>
            <b/>
            <sz val="9"/>
            <color indexed="81"/>
            <rFont val="Tahoma"/>
            <family val="2"/>
          </rPr>
          <t>AGarten:</t>
        </r>
        <r>
          <rPr>
            <sz val="9"/>
            <color indexed="81"/>
            <rFont val="Tahoma"/>
            <family val="2"/>
          </rPr>
          <t xml:space="preserve">
these dates need work</t>
        </r>
      </text>
    </comment>
    <comment ref="AH760" authorId="0">
      <text>
        <r>
          <rPr>
            <b/>
            <sz val="9"/>
            <color indexed="81"/>
            <rFont val="Tahoma"/>
            <family val="2"/>
          </rPr>
          <t>AGarten:</t>
        </r>
        <r>
          <rPr>
            <sz val="9"/>
            <color indexed="81"/>
            <rFont val="Tahoma"/>
            <family val="2"/>
          </rPr>
          <t xml:space="preserve">
delete</t>
        </r>
      </text>
    </comment>
    <comment ref="AG761" authorId="0">
      <text>
        <r>
          <rPr>
            <b/>
            <sz val="9"/>
            <color indexed="81"/>
            <rFont val="Tahoma"/>
            <family val="2"/>
          </rPr>
          <t>AGarten:</t>
        </r>
        <r>
          <rPr>
            <sz val="9"/>
            <color indexed="81"/>
            <rFont val="Tahoma"/>
            <family val="2"/>
          </rPr>
          <t xml:space="preserve">
Change from =WORKDAY(H755,2,S.DDL_DEQClosed) to
=S.EQC.BANNER.Begin
</t>
        </r>
      </text>
    </comment>
    <comment ref="AH761" authorId="0">
      <text>
        <r>
          <rPr>
            <b/>
            <sz val="9"/>
            <color indexed="81"/>
            <rFont val="Tahoma"/>
            <family val="2"/>
          </rPr>
          <t>AGarten:</t>
        </r>
        <r>
          <rPr>
            <sz val="9"/>
            <color indexed="81"/>
            <rFont val="Tahoma"/>
            <family val="2"/>
          </rPr>
          <t xml:space="preserve">
Changed from =WORKDAY(G761+2,1,S.DDL_DEQClosed) to =S.EQC.SubmitStaffRpt</t>
        </r>
      </text>
    </comment>
  </commentList>
</comments>
</file>

<file path=xl/sharedStrings.xml><?xml version="1.0" encoding="utf-8"?>
<sst xmlns="http://schemas.openxmlformats.org/spreadsheetml/2006/main" count="1998" uniqueCount="793">
  <si>
    <t xml:space="preserve"> </t>
  </si>
  <si>
    <t>Veterans</t>
  </si>
  <si>
    <t>Thanksgiving</t>
  </si>
  <si>
    <t>furlough</t>
  </si>
  <si>
    <t>Christmas</t>
  </si>
  <si>
    <t>New Year</t>
  </si>
  <si>
    <t xml:space="preserve">MLK Jr. </t>
  </si>
  <si>
    <t>Presidents</t>
  </si>
  <si>
    <t xml:space="preserve">Memorial </t>
  </si>
  <si>
    <t>Independence</t>
  </si>
  <si>
    <t>Labor</t>
  </si>
  <si>
    <t>DDL_EQCMeeting</t>
  </si>
  <si>
    <t>DDL_Bulletin</t>
  </si>
  <si>
    <t>VL_Bulletin</t>
  </si>
  <si>
    <t>EQCStaffRptDue</t>
  </si>
  <si>
    <t>EQCMaterialsDue</t>
  </si>
  <si>
    <t>Y</t>
  </si>
  <si>
    <t>Called from ScheduleTasks</t>
  </si>
  <si>
    <r>
      <t xml:space="preserve">DDLs called from </t>
    </r>
    <r>
      <rPr>
        <b/>
        <i/>
        <sz val="18"/>
        <color theme="1"/>
        <rFont val="Cambria"/>
        <family val="1"/>
        <scheme val="minor"/>
      </rPr>
      <t>ScheduleTasks</t>
    </r>
  </si>
  <si>
    <t>DEQClosed</t>
  </si>
  <si>
    <t>W</t>
  </si>
  <si>
    <t>T</t>
  </si>
  <si>
    <t>Meeting 3</t>
  </si>
  <si>
    <t>Meeting 2</t>
  </si>
  <si>
    <t>Meeting 1</t>
  </si>
  <si>
    <t>Closed</t>
  </si>
  <si>
    <t>Weekend</t>
  </si>
  <si>
    <t>Workday</t>
  </si>
  <si>
    <t>Overview of Key Dates</t>
  </si>
  <si>
    <t>White on Teal</t>
  </si>
  <si>
    <t>Meeting 4</t>
  </si>
  <si>
    <t>Date has past</t>
  </si>
  <si>
    <t>Applies to</t>
  </si>
  <si>
    <t>Teal on Yellow</t>
  </si>
  <si>
    <t xml:space="preserve">LEGAL HOLIDAYS
      187.010 Legal holidays; acts deferred to next business day; effect on labor agreements. (1) The following days are legal holidays in this state:
      (a) Each Sunday.
      (b) New Year’s Day on January 1.
      (c) Martin Luther King, Jr.’s Birthday on the third Monday in January.
      (d) Presidents Day, for the purpose of commemorating Presidents Washington and Lincoln, on the third Monday in February.
      (e) Memorial Day on the last Monday in May.
      (f) Independence Day on July 4.
      (g) Labor Day on the first Monday in September.
      (h) Veterans Day on November 11.
      (i) Thanksgiving Day on the fourth Thursday in November.
      (j) Christmas Day on December 25.
      (2) Each time a holiday, other than Sunday, listed in subsection (1) of this section falls on Sunday, the succeeding Monday shall be a legal holiday. Each time a holiday listed in subsection (1) of this section falls on Saturday, the preceding Friday shall be a legal holiday.
      (3) Any act authorized, required or permitted to be performed on a holiday as designated in this section may be performed on the next succeeding business day; and no liability or loss of rights of any kind shall result from such delay.
      (4) In enumerating legal holidays in subsection (1) of this section, the Legislative Assembly does not intend to limit or otherwise affect public or private collective bargaining or collective bargaining agreements. [Amended by 1955 c.4 §1; 1969 c.455 §1; 1973 c.51 §1; 1975 c.633 §1; 1977 c.135 §1; 1977 c.321 §1; 1985 c.518 §1]
      187.020 Additional legal holidays. In addition to those specified in ORS 187.010, the following days are legal holidays in this state:
      (1) Every day appointed by the Governor as a holiday.
      (2) Every day appointed by the President of the United States as a day of mourning, rejoicing or other special observance only when the Governor also appoints that day as a holiday. [Amended by 1969 c.455 §2; 1975 c.633 §2; 1977 c.135 §2; 1977 c.321 §2; 1985 c.518 §2]
</t>
  </si>
  <si>
    <t>http://www.leg.state.or.us/ors/187.html</t>
  </si>
  <si>
    <t>=IF(WORKDAY($H10-1,1,S.DDL_DEQClosed)&lt;&gt;$H10,TRUE)</t>
  </si>
  <si>
    <t>Office Closure date</t>
  </si>
  <si>
    <t>=IF(WORKDAY($G10-1,1,S.DDL_DEQClosed)&lt;&gt;$G10,TRUE)</t>
  </si>
  <si>
    <t>Example</t>
  </si>
  <si>
    <t>Column I: Section Separator codes</t>
  </si>
  <si>
    <t xml:space="preserve">Office Closure </t>
  </si>
  <si>
    <t>Calculation</t>
  </si>
  <si>
    <t>"</t>
  </si>
  <si>
    <t>Section title</t>
  </si>
  <si>
    <t>See DDL worksheet</t>
  </si>
  <si>
    <t>S.DDL_DEQClosed  is the "holiday" table in WORKDAY function</t>
  </si>
  <si>
    <t>EFFECTIVE DATE</t>
  </si>
  <si>
    <t>X</t>
  </si>
  <si>
    <t>i</t>
  </si>
  <si>
    <t>6:00 p.m.</t>
  </si>
  <si>
    <t>=AND($J10&lt;&gt;"X",$G10&lt;=L$7,$H10&gt;=K$7)</t>
  </si>
  <si>
    <t>Gantt</t>
  </si>
  <si>
    <t>=IF(OR(WEEKDAY(K$7)=1,WEEKDAY(K$7)=7),TRUE)</t>
  </si>
  <si>
    <t>$K10:$AHC$450</t>
  </si>
  <si>
    <t>=IF(ISERROR(VLOOKUP(K$7,S.DDL_DEQClosed,1,FALSE)),0,1)</t>
  </si>
  <si>
    <t>Next</t>
  </si>
  <si>
    <t>Start</t>
  </si>
  <si>
    <t>SOS - file rules</t>
  </si>
  <si>
    <t>B</t>
  </si>
  <si>
    <t xml:space="preserve">                 </t>
  </si>
  <si>
    <t xml:space="preserve">Days to next </t>
  </si>
  <si>
    <t>Last row</t>
  </si>
  <si>
    <t>An 'X' in $J10 identifies the row as for Gantt to format</t>
  </si>
  <si>
    <t>S.LastCellGantt</t>
  </si>
  <si>
    <t>s.LastCellschedule</t>
  </si>
  <si>
    <t>Last</t>
  </si>
  <si>
    <t>5 p.m.</t>
  </si>
  <si>
    <t>Option 2 ↓</t>
  </si>
  <si>
    <t>Option 1 ↓</t>
  </si>
  <si>
    <t>0 OR 1</t>
  </si>
  <si>
    <t>Indicates task involved/not involved</t>
  </si>
  <si>
    <t>White on white</t>
  </si>
  <si>
    <t>Highlight for section title</t>
  </si>
  <si>
    <t>$G$10:$G$480 (or last row)</t>
  </si>
  <si>
    <t>$H$10:$H$480 (or last row)</t>
  </si>
  <si>
    <t>=IF(WORKDAY($G20-1,1,S.DDL_DEQClosed)&lt;&gt;$G20,TRUE)</t>
  </si>
  <si>
    <t>$G$20:$G$480 (or last row)</t>
  </si>
  <si>
    <t>$H$20:$H$480 (or last row)</t>
  </si>
  <si>
    <t>=IF(WORKDAY($H20-1,1,S.DDL_DEQClosed)&lt;&gt;$H20,TRUE)</t>
  </si>
  <si>
    <t>=$B$4:$ZZ$474</t>
  </si>
  <si>
    <t>=IF($AAE4="Y",TRUE)</t>
  </si>
  <si>
    <t>=IF($AAE4="T",TRUE)</t>
  </si>
  <si>
    <t>=IF($AAE4="W",TRUE)</t>
  </si>
  <si>
    <t>=IF($AAE4=0,TRUE)</t>
  </si>
  <si>
    <t>Lead 
manager</t>
  </si>
  <si>
    <t>ê</t>
  </si>
  <si>
    <t>2 hours</t>
  </si>
  <si>
    <t>8 hours</t>
  </si>
  <si>
    <t>Draft</t>
  </si>
  <si>
    <t>Attend, learn, share</t>
  </si>
  <si>
    <t>Lead staff</t>
  </si>
  <si>
    <t>CONSIDERATIONS, RESOURCES, Overview of Key Dates</t>
  </si>
  <si>
    <t>Notify</t>
  </si>
  <si>
    <t>Train</t>
  </si>
  <si>
    <t xml:space="preserve">Add information you know </t>
  </si>
  <si>
    <t>Team Collaboration</t>
  </si>
  <si>
    <t>Approve</t>
  </si>
  <si>
    <t>Inform</t>
  </si>
  <si>
    <t>Prepare</t>
  </si>
  <si>
    <t>If division approves adding concept to DEQ Rulemaking Plan</t>
  </si>
  <si>
    <t>Web Master</t>
  </si>
  <si>
    <t>EQC Assistant</t>
  </si>
  <si>
    <t>Maggie</t>
  </si>
  <si>
    <t>Assistant Attorney General</t>
  </si>
  <si>
    <t>Support staff</t>
  </si>
  <si>
    <t>Time Accounting</t>
  </si>
  <si>
    <t>- INVITATION.TO.COMMENT (blank in folder 4)</t>
  </si>
  <si>
    <t>- RULES.REDLINE</t>
  </si>
  <si>
    <t>- NOTICE (blank in folder 4)</t>
  </si>
  <si>
    <t>- FEE.ANALYSIS (blank in folder 3)</t>
  </si>
  <si>
    <t>- initial draft CONSIDERATIONS workbook</t>
  </si>
  <si>
    <t>- initial draft RESOURCES workbook</t>
  </si>
  <si>
    <t>Director</t>
  </si>
  <si>
    <t>Dick</t>
  </si>
  <si>
    <t>CONCEPT DEVELOPMENT</t>
  </si>
  <si>
    <t>A</t>
  </si>
  <si>
    <t>* sends invitation to potential committee members who agreed to serve</t>
  </si>
  <si>
    <t>* maintains advisory committee record</t>
  </si>
  <si>
    <t>Team identifies meeting roles</t>
  </si>
  <si>
    <t xml:space="preserve">Team assigns custom task here </t>
  </si>
  <si>
    <t>Enter staff name here</t>
  </si>
  <si>
    <t xml:space="preserve">Team facilitates/holds meeting </t>
  </si>
  <si>
    <t>Team holds debrief meeting</t>
  </si>
  <si>
    <t>Team practices presentation</t>
  </si>
  <si>
    <t>* sending EMAIL.DAS.APPROVAL with Fee Approval Packet attached</t>
  </si>
  <si>
    <t>- in Outlook, request delivery and read receipts</t>
  </si>
  <si>
    <t>Next step happens under 4-Public Notice section</t>
  </si>
  <si>
    <t>Hearings Officer</t>
  </si>
  <si>
    <t>RobertB</t>
  </si>
  <si>
    <t>* adds commenter and comment to COMMENTS</t>
  </si>
  <si>
    <t>* selecting EQC recommendation in staff report</t>
  </si>
  <si>
    <t>Team:</t>
  </si>
  <si>
    <t>- save receipts to Rule_Dev.|3-Fee.Approval|PROOF.DAS.REQUEST.pdf</t>
  </si>
  <si>
    <t>Rule_Development|3-FeesApproval|EMAILS.Fees.pdf</t>
  </si>
  <si>
    <t>Rule_Development|1-Planning|EMAILS.Planning.pdf</t>
  </si>
  <si>
    <t>Rule_Development|6-EQCPreparation|EMAILS.EQC.Prep.pdf</t>
  </si>
  <si>
    <t>Rule_Development|7-PostEQC|EMAILS.PostEQC.pdf</t>
  </si>
  <si>
    <t>* prepares and e-files ADOPTED RULES with Secretary of State</t>
  </si>
  <si>
    <t>TEAM CELEBRATES</t>
  </si>
  <si>
    <t>How a Division Administrator adds a new proposal to the rolling rulemaking plan</t>
  </si>
  <si>
    <t>Identify need
* legislation, court order, federal requirements, fees, easier to do business
* DEQ intitiated through environmental soultions</t>
  </si>
  <si>
    <t>If approved to develop concept for inclusion on DEQ Rulemaking Plan</t>
  </si>
  <si>
    <t>SharePoint, Rule_Development,  CONSIDERATIONS &amp; RESOURCES, records management</t>
  </si>
  <si>
    <t>Concept for inclusion on DEQ Rulemaking Plan</t>
  </si>
  <si>
    <t>Focusing on communication materials</t>
  </si>
  <si>
    <t>Complete 1st workbook drafts using what you know now</t>
  </si>
  <si>
    <t>Prepare DA communication to EMT/EQC assistant</t>
  </si>
  <si>
    <t>Discuss need with DA and program managers</t>
  </si>
  <si>
    <t>Assign staff to work with DRC/ARC on concept development</t>
  </si>
  <si>
    <t xml:space="preserve">Help prepare and approve DA communication </t>
  </si>
  <si>
    <t>Rules coordinators
(DRC, ARC)</t>
  </si>
  <si>
    <t>ARC
Establish SharePoint, Rule_Development sites 
schedule training</t>
  </si>
  <si>
    <t>Facilitate, learn, share</t>
  </si>
  <si>
    <t>Provided guidance and review</t>
  </si>
  <si>
    <t>ARC
Add to plan. Prepare summary pdf for DA communication</t>
  </si>
  <si>
    <t>Division administrator
(DA)</t>
  </si>
  <si>
    <t>Approve initial work to develop concept - discuss potential with EMT</t>
  </si>
  <si>
    <t>Notify DRC and ARC</t>
  </si>
  <si>
    <t>Approve/reject concept addition to plan. Inform lead staff, DRC, ARC</t>
  </si>
  <si>
    <t>EMT/EQC Assistant using communication materials adapted to personal style</t>
  </si>
  <si>
    <t>EMT</t>
  </si>
  <si>
    <t xml:space="preserve">Offer initial ideas about connections, cautions </t>
  </si>
  <si>
    <t>Offer advice, indicate interest</t>
  </si>
  <si>
    <t>EQC assistant</t>
  </si>
  <si>
    <t>Add to monthly Director's Report. Advise DRC/ARC re: EQC involvement</t>
  </si>
  <si>
    <t>Present RESOURCES &amp; CONSIDERATIONS summary to DA &amp; program managers</t>
  </si>
  <si>
    <r>
      <t xml:space="preserve">Program </t>
    </r>
    <r>
      <rPr>
        <b/>
        <sz val="13"/>
        <color theme="4" tint="-0.249977111117893"/>
        <rFont val="Wingdings"/>
        <charset val="2"/>
      </rPr>
      <t>è</t>
    </r>
  </si>
  <si>
    <r>
      <t xml:space="preserve">- </t>
    </r>
    <r>
      <rPr>
        <i/>
        <sz val="10"/>
        <color theme="4" tint="-0.499984740745262"/>
        <rFont val="Cambria"/>
        <family val="1"/>
        <scheme val="minor"/>
      </rPr>
      <t>Overview of Key Dates</t>
    </r>
    <r>
      <rPr>
        <sz val="10"/>
        <color theme="4" tint="-0.499984740745262"/>
        <rFont val="Cambria"/>
        <family val="1"/>
        <scheme val="minor"/>
      </rPr>
      <t xml:space="preserve"> at top of this SCHEDULE</t>
    </r>
  </si>
  <si>
    <r>
      <rPr>
        <b/>
        <sz val="10"/>
        <color theme="4" tint="-0.499984740745262"/>
        <rFont val="Cambria"/>
        <family val="1"/>
        <scheme val="minor"/>
      </rPr>
      <t>START OPTION</t>
    </r>
    <r>
      <rPr>
        <sz val="10"/>
        <color theme="4" tint="-0.499984740745262"/>
        <rFont val="Cambria"/>
        <family val="1"/>
        <scheme val="minor"/>
      </rPr>
      <t xml:space="preserve"> - Presentation                                     Select option &gt;</t>
    </r>
  </si>
  <si>
    <t xml:space="preserve">Meeting 5 </t>
  </si>
  <si>
    <t>EQC Preparation</t>
  </si>
  <si>
    <t>End</t>
  </si>
  <si>
    <t>Budget analyst</t>
  </si>
  <si>
    <t>- develop category titles to bundle similar comments</t>
  </si>
  <si>
    <t>- organize comments into categories</t>
  </si>
  <si>
    <t>- draft DEQ responses to each categories of comments</t>
  </si>
  <si>
    <t>* saves online public comment information to COMMENTS</t>
  </si>
  <si>
    <t>* coordinates with team to:</t>
  </si>
  <si>
    <t>Post EQC Activities</t>
  </si>
  <si>
    <t>- GovDelivery</t>
  </si>
  <si>
    <t xml:space="preserve">* makes initial voice contact with potential committee members </t>
  </si>
  <si>
    <t>Team addresses any concerns and validates accuracy of how addressed</t>
  </si>
  <si>
    <t>* involves stakeholder presenters, if any</t>
  </si>
  <si>
    <t>* releases unneeded venues</t>
  </si>
  <si>
    <t>* obtains starting rules from Oregon State Archives</t>
  </si>
  <si>
    <t xml:space="preserve">Planning </t>
  </si>
  <si>
    <t>Fee Approval Packet includes:</t>
  </si>
  <si>
    <t>- advisory committee</t>
  </si>
  <si>
    <t>- program-specific list</t>
  </si>
  <si>
    <t>- Commenters</t>
  </si>
  <si>
    <t>* finalizes draft of EQC Packet:</t>
  </si>
  <si>
    <t>- PROPOSED.RULES</t>
  </si>
  <si>
    <t>- SUPPORTING.DOCUMENTS</t>
  </si>
  <si>
    <t>Presentation team ATTENDS EQC MEETING</t>
  </si>
  <si>
    <t>* prepares/saves documents to Rule_Development|7-PostEQC</t>
  </si>
  <si>
    <t>- ADDENDUM.TO.STAFF.RPT (if presented to EQC)</t>
  </si>
  <si>
    <t>- self-addressed envelope, fold underside of flap over a 2nd certificate"</t>
  </si>
  <si>
    <t>write "Please date stamp certificate and return." on underside of flap</t>
  </si>
  <si>
    <t>* verifies accuracy of rules published in Oregon Bulletin</t>
  </si>
  <si>
    <t xml:space="preserve">Post EQC </t>
  </si>
  <si>
    <t>* reviews responsibilities of hearings officer</t>
  </si>
  <si>
    <t>* modifies documents as needed</t>
  </si>
  <si>
    <t>- Fees</t>
  </si>
  <si>
    <t>- Land use</t>
  </si>
  <si>
    <t>* develops introductory and logistics script</t>
  </si>
  <si>
    <t>N</t>
  </si>
  <si>
    <t>* emails optional STAKEHOLDER.NOTIFICATION of EQC action</t>
  </si>
  <si>
    <t>* Oregon Transparency law (not required for Advisory Committees)</t>
  </si>
  <si>
    <t xml:space="preserve">* finalizes AC.ROSTER based on responses </t>
  </si>
  <si>
    <t>* develop AC.ROSTER (blank in folder 4)</t>
  </si>
  <si>
    <t>* reserve potential meeting dates and venues</t>
  </si>
  <si>
    <t>* draft committee AC.INVITATION (links to GovDelivery/Web pages)</t>
  </si>
  <si>
    <t>* draft optional AC.CHARTER</t>
  </si>
  <si>
    <t>May be required in future</t>
  </si>
  <si>
    <t>* adds meeting to DEQ Online Calendar (password = dudeman)</t>
  </si>
  <si>
    <t>Team approves presentation materials</t>
  </si>
  <si>
    <t>Set above at Meeting 4 title</t>
  </si>
  <si>
    <t>Set above at Meeting 5 title</t>
  </si>
  <si>
    <t>Set above at Meeting 3 title</t>
  </si>
  <si>
    <t>Set above at Meeting 2 title</t>
  </si>
  <si>
    <t>* following up on status about 15 days after sending</t>
  </si>
  <si>
    <t>* develops INFO.MEETING.TEXT</t>
  </si>
  <si>
    <t>* develops INFO.PRESENTATION</t>
  </si>
  <si>
    <t>* practices presentation</t>
  </si>
  <si>
    <t>* makes presentation adjustments</t>
  </si>
  <si>
    <t>* stamps DEQ receipt date on mailed comments</t>
  </si>
  <si>
    <t>* scans and links comments by ID###.pdf - optional</t>
  </si>
  <si>
    <t>CodeName</t>
  </si>
  <si>
    <t>* work products for this phase (templates preloaded to SharePoint folder 1):</t>
  </si>
  <si>
    <t>`</t>
  </si>
  <si>
    <t>Newspaper Advertisements</t>
  </si>
  <si>
    <t>Hearings</t>
  </si>
  <si>
    <t>Notes</t>
  </si>
  <si>
    <t>* saves EMAIL.PREVIEW.pdf to Rule_Development|4-Notice</t>
  </si>
  <si>
    <t>* saves them as Rule_Development|5-PublicComment...|EMAIL.Comment.pdf</t>
  </si>
  <si>
    <t xml:space="preserve"> * gathers emails about post EQC activities for the Rule Record and saves as:</t>
  </si>
  <si>
    <t xml:space="preserve">* leads team development of EQC presentation </t>
  </si>
  <si>
    <t>* makes any presentation adjustments</t>
  </si>
  <si>
    <t>* coordinates presentation practices</t>
  </si>
  <si>
    <t>- Enter custom reviewer and perspective</t>
  </si>
  <si>
    <t>- Enter custom reviewer and action</t>
  </si>
  <si>
    <t xml:space="preserve">* enter custom action word and reviewer </t>
  </si>
  <si>
    <t>Enter custom review loop 1</t>
  </si>
  <si>
    <t xml:space="preserve">Name initiator and subject for custom review loop 2 </t>
  </si>
  <si>
    <t>Name initiator and subject for custom review loop 3</t>
  </si>
  <si>
    <t xml:space="preserve">- key stakeholders </t>
  </si>
  <si>
    <t xml:space="preserve">- advisory committee members </t>
  </si>
  <si>
    <t>- commenters</t>
  </si>
  <si>
    <t>- interested parties (optional)</t>
  </si>
  <si>
    <t>* draft content for optional committee Web page</t>
  </si>
  <si>
    <t xml:space="preserve">* coordinates optional discussion on project evaluation, lessons learned </t>
  </si>
  <si>
    <t>- save audio as Rule_Development|5-PublicComment|HEARING.1.mp3</t>
  </si>
  <si>
    <t>- save audio as Rule_Development|5-PublicComment|HEARING.2.mp3</t>
  </si>
  <si>
    <t>- save audio as Rule_Development|5-PublicComment|HEARING.3.mp3</t>
  </si>
  <si>
    <t>- save audio as Rule_Development|5-PublicComment|HEARING.4.mp3</t>
  </si>
  <si>
    <t>- save audio as Rule_Development|5-PublicComment|HEARING.5.mp3</t>
  </si>
  <si>
    <t>- save audio as Rule_Development|5-PublicComment|HEARING.6.mp3</t>
  </si>
  <si>
    <t>- save audio as Rule_Development|5-PublicComment|HEARING.7.mp3</t>
  </si>
  <si>
    <t>- save audio as Rule_Development|5-PublicComment|HEARING.8.mp3</t>
  </si>
  <si>
    <t>* saves email as Rule_Development|4-Notice|MGR.APPROVAL.Notice.pdf</t>
  </si>
  <si>
    <t>* identify land use rules</t>
  </si>
  <si>
    <t>1st loop - team modifies content to get to approval</t>
  </si>
  <si>
    <t>2nd loop - team modifies content to get to approval</t>
  </si>
  <si>
    <t>3rd loop - team modifies content to get to approval</t>
  </si>
  <si>
    <t>* verifies Web content meets team expectations</t>
  </si>
  <si>
    <t>Final loop - team modifies content to get to approval</t>
  </si>
  <si>
    <t>* modifies MESSAGE.MAP</t>
  </si>
  <si>
    <t>* leads team work finalizing DEQ responses to public comment</t>
  </si>
  <si>
    <t>since this will become part of the EQC Packet</t>
  </si>
  <si>
    <t xml:space="preserve">* edits for plain English, style guide and tone </t>
  </si>
  <si>
    <t>1st loop - team modifies responses to get to approval</t>
  </si>
  <si>
    <t>2nd loop - team modifies responses to get to approval</t>
  </si>
  <si>
    <t>3rd loop - team modifies responses to get to approval</t>
  </si>
  <si>
    <t>Final loop - team modifies responses to get to approval</t>
  </si>
  <si>
    <t>* gathers emails ABOUT comments, not actual comments, for Rule Record</t>
  </si>
  <si>
    <t xml:space="preserve">- Statement of need                                           </t>
  </si>
  <si>
    <t xml:space="preserve">- Federal relationships                                                </t>
  </si>
  <si>
    <t xml:space="preserve">- Fiscal impact statement                                        </t>
  </si>
  <si>
    <t>- NAME OTHER SECTION UNCHANGED SINCE PUBLIC NOTICE REVIEW</t>
  </si>
  <si>
    <t>COMMUNICATIONS PLANNING</t>
  </si>
  <si>
    <t>Name initiator and subject for custom review loop 1</t>
  </si>
  <si>
    <t>* labels the box by SOS certificate and order number "DEQ ##-yyyy"</t>
  </si>
  <si>
    <r>
      <t xml:space="preserve">Start
 </t>
    </r>
    <r>
      <rPr>
        <b/>
        <sz val="12"/>
        <color theme="0"/>
        <rFont val="Courier New"/>
        <family val="3"/>
      </rPr>
      <t>↓</t>
    </r>
  </si>
  <si>
    <t xml:space="preserve">  </t>
  </si>
  <si>
    <t>Title</t>
  </si>
  <si>
    <t>Chief Public Affairs Officer</t>
  </si>
  <si>
    <t>* places all physical records in archival box - do not print electronic records</t>
  </si>
  <si>
    <r>
      <t xml:space="preserve">Rules become </t>
    </r>
    <r>
      <rPr>
        <b/>
        <sz val="10"/>
        <color theme="4" tint="-0.499984740745262"/>
        <rFont val="Cambria"/>
        <family val="1"/>
        <scheme val="minor"/>
      </rPr>
      <t xml:space="preserve">effective                                     </t>
    </r>
    <r>
      <rPr>
        <sz val="10"/>
        <color theme="4" tint="-0.499984740745262"/>
        <rFont val="Cambria"/>
        <family val="1"/>
        <scheme val="minor"/>
      </rPr>
      <t>select 'Y'  if effective upon filing &gt;</t>
    </r>
  </si>
  <si>
    <t>FROM: \\deqhq1\Rule_Development</t>
  </si>
  <si>
    <t>TO:        \\deqhq1\Rule_Archives</t>
  </si>
  <si>
    <t xml:space="preserve">   compared to Oregon State Archives</t>
  </si>
  <si>
    <t>* verifies PROPOSED.RULES use latest compilation compared</t>
  </si>
  <si>
    <t>&gt; inserts message above to indicate previous reviews</t>
  </si>
  <si>
    <t>Michele</t>
  </si>
  <si>
    <t>Work shifts from SharePoint to Rule_Development</t>
  </si>
  <si>
    <t>JoKRanch@hotmail.com</t>
  </si>
  <si>
    <t xml:space="preserve">EdArmstrong2@gmail.com                              </t>
  </si>
  <si>
    <t>MorganRider@gmail.com</t>
  </si>
  <si>
    <t>cjohnson@eou.edu</t>
  </si>
  <si>
    <r>
      <t xml:space="preserve">* add EQC members to Cc. list for </t>
    </r>
    <r>
      <rPr>
        <b/>
        <sz val="10"/>
        <color theme="4" tint="-0.499984740745262"/>
        <rFont val="Cambria"/>
        <family val="1"/>
        <scheme val="minor"/>
      </rPr>
      <t xml:space="preserve">ALL </t>
    </r>
    <r>
      <rPr>
        <sz val="10"/>
        <color theme="4" tint="-0.499984740745262"/>
        <rFont val="Cambria"/>
        <family val="1"/>
        <scheme val="minor"/>
      </rPr>
      <t>committee communications</t>
    </r>
  </si>
  <si>
    <t>DA Assistant</t>
  </si>
  <si>
    <t>State Implementation Plan Coordinator</t>
  </si>
  <si>
    <t xml:space="preserve">Legislative liaison </t>
  </si>
  <si>
    <t>6 p.m.</t>
  </si>
  <si>
    <r>
      <t>- TABLES.340-###-####.docx (1 .docx per rule contains</t>
    </r>
    <r>
      <rPr>
        <b/>
        <sz val="10"/>
        <color theme="4" tint="-0.499984740745262"/>
        <rFont val="Cambria"/>
        <family val="1"/>
        <scheme val="minor"/>
      </rPr>
      <t xml:space="preserve"> ALL </t>
    </r>
    <r>
      <rPr>
        <sz val="10"/>
        <color theme="4" tint="-0.499984740745262"/>
        <rFont val="Cambria"/>
        <family val="1"/>
        <scheme val="minor"/>
      </rPr>
      <t>tables in rule)</t>
    </r>
  </si>
  <si>
    <r>
      <rPr>
        <b/>
        <sz val="10"/>
        <color theme="4" tint="-0.499984740745262"/>
        <rFont val="Cambria"/>
        <family val="1"/>
        <scheme val="minor"/>
      </rPr>
      <t>Rule proposal complexity</t>
    </r>
    <r>
      <rPr>
        <sz val="10"/>
        <color theme="4" tint="-0.499984740745262"/>
        <rFont val="Cambria"/>
        <family val="1"/>
        <scheme val="minor"/>
      </rPr>
      <t xml:space="preserve">                  (1=Minimal, 2= Moderate, 3=Complex)</t>
    </r>
  </si>
  <si>
    <t>Review version history to help maintaining rulemaking record                 &gt;</t>
  </si>
  <si>
    <t>* shuttles Legislative Counsel notification by return receipt</t>
  </si>
  <si>
    <t>3 HousingCosts.SOS.pdf</t>
  </si>
  <si>
    <t>2 Rules.SOS.pdf</t>
  </si>
  <si>
    <t>2a 340-### Tables.SOS.pdf</t>
  </si>
  <si>
    <t>2b 340-### Tables.SOS.pdf</t>
  </si>
  <si>
    <t>4 Authorization.SOS.pdf</t>
  </si>
  <si>
    <t>5 Certificate.LC-stamped.pdf</t>
  </si>
  <si>
    <t>6 Redline.LC.pdf</t>
  </si>
  <si>
    <t>7 ShuttleTracking.LC.pdf</t>
  </si>
  <si>
    <t>1 Certificate.SOS-stamped.pdf</t>
  </si>
  <si>
    <t>- Certificate.SOS-Stamped.pdf</t>
  </si>
  <si>
    <t>- Redline.LC.pdf</t>
  </si>
  <si>
    <t>- RULES.docx (clean version)</t>
  </si>
  <si>
    <t>- REDLINE.docx (showing changes in strikethrough and underscore)</t>
  </si>
  <si>
    <t>|CERTIFICATE.SOS.LC.Documentation.pdf</t>
  </si>
  <si>
    <t>* combine/save following PDFs as Rule_Development|7-PostEQC</t>
  </si>
  <si>
    <t xml:space="preserve">- archive records </t>
  </si>
  <si>
    <t>- retire SharePoint</t>
  </si>
  <si>
    <t>- close Outlook account</t>
  </si>
  <si>
    <t>- update Web page</t>
  </si>
  <si>
    <t>KarenT</t>
  </si>
  <si>
    <t>AdamC</t>
  </si>
  <si>
    <t xml:space="preserve">inserting message into header according to instructions in staff report:                 </t>
  </si>
  <si>
    <t>BrianW</t>
  </si>
  <si>
    <t>- Communications Plan    'Y' to develop</t>
  </si>
  <si>
    <t>- Message Map    'Y' to develop</t>
  </si>
  <si>
    <t>- Program Web page    'Y' to develop</t>
  </si>
  <si>
    <t>- Information Meetings before hearing     'Y' to develop</t>
  </si>
  <si>
    <t xml:space="preserve">Review version history to help maintaining rulemaking record                 </t>
  </si>
  <si>
    <t>Legislative Liason</t>
  </si>
  <si>
    <t>WQ</t>
  </si>
  <si>
    <t>TomR</t>
  </si>
  <si>
    <t>LQ</t>
  </si>
  <si>
    <t>AQ</t>
  </si>
  <si>
    <t>MargaretO</t>
  </si>
  <si>
    <t>Media Manager</t>
  </si>
  <si>
    <t>FiscalReviewer</t>
  </si>
  <si>
    <t>Budget Analyst</t>
  </si>
  <si>
    <t>SandraM</t>
  </si>
  <si>
    <t>)&amp;", gets team agreement"</t>
  </si>
  <si>
    <t>* emails lists above to invite them to sign up to receive meeting notices</t>
  </si>
  <si>
    <t xml:space="preserve">MEden@neea.org </t>
  </si>
  <si>
    <t xml:space="preserve">When updating EQC table, leave rows for previous year. </t>
  </si>
  <si>
    <t>considering documents will become part of Notice and EQC packets</t>
  </si>
  <si>
    <t>N/A</t>
  </si>
  <si>
    <t>M</t>
  </si>
  <si>
    <t>F</t>
  </si>
  <si>
    <t>S</t>
  </si>
  <si>
    <t xml:space="preserve">Adjust start date +/- from today </t>
  </si>
  <si>
    <t>starting</t>
  </si>
  <si>
    <t>P</t>
  </si>
  <si>
    <t>Managing Partners</t>
  </si>
  <si>
    <t>Sponsoring Manager</t>
  </si>
  <si>
    <t>Division</t>
  </si>
  <si>
    <t>Program</t>
  </si>
  <si>
    <t>INTERIM RULEMAKING 
PARTNERSHIP AGREEMENT</t>
  </si>
  <si>
    <t>OP</t>
  </si>
  <si>
    <t>Agency Rules</t>
  </si>
  <si>
    <t>Description</t>
  </si>
  <si>
    <t>Objectives</t>
  </si>
  <si>
    <t>Assumptions and Contraints</t>
  </si>
  <si>
    <t>Deliverables</t>
  </si>
  <si>
    <t>Deadline</t>
  </si>
  <si>
    <t>Resonsibility for Meeting Deadline</t>
  </si>
  <si>
    <t>Deliverable</t>
  </si>
  <si>
    <t>Send to</t>
  </si>
  <si>
    <t>Done</t>
  </si>
  <si>
    <t>Purpose</t>
  </si>
  <si>
    <t>Enter short description from CONSIDERATIONS</t>
  </si>
  <si>
    <t>Enter objectives from CONSIDERATIONS</t>
  </si>
  <si>
    <t>Enter assumption and contraints identified in CONSIDERATIONS</t>
  </si>
  <si>
    <t>Activity Sequence - Notice Packet</t>
  </si>
  <si>
    <t>Invitation to Comment</t>
  </si>
  <si>
    <t>Proposed Rules</t>
  </si>
  <si>
    <t>Notice</t>
  </si>
  <si>
    <t>Supporting Documents</t>
  </si>
  <si>
    <t>Sponsoring Partner</t>
  </si>
  <si>
    <t>Input</t>
  </si>
  <si>
    <t>Draft notice &amp; rules</t>
  </si>
  <si>
    <t>Input, notification</t>
  </si>
  <si>
    <t>People identified in RESOURCES workbook</t>
  </si>
  <si>
    <t>Expand knowledge</t>
  </si>
  <si>
    <t>Initial review to ensure standardization, organization, preliminary review of fiscal and economic impact statement, small business analysis</t>
  </si>
  <si>
    <t>Sponsoring Partner's Manager</t>
  </si>
  <si>
    <t>Responsibility for Meeting Deadline</t>
  </si>
  <si>
    <t>Approval</t>
  </si>
  <si>
    <t>Rules Group</t>
  </si>
  <si>
    <t>Review and approval</t>
  </si>
  <si>
    <t>Final Notice Packet</t>
  </si>
  <si>
    <t>OK to publish</t>
  </si>
  <si>
    <t>Final minor edit</t>
  </si>
  <si>
    <t>Publication ready</t>
  </si>
  <si>
    <t xml:space="preserve"> Web staff</t>
  </si>
  <si>
    <t>Confirm accuracy of published rules</t>
  </si>
  <si>
    <t>Activity Sequence – Publication</t>
  </si>
  <si>
    <t>Publication</t>
  </si>
  <si>
    <t>Activity Sequence – EQC Packet</t>
  </si>
  <si>
    <t>Staff Report</t>
  </si>
  <si>
    <t>EQC Packet</t>
  </si>
  <si>
    <t xml:space="preserve"> EPA, DOJ</t>
  </si>
  <si>
    <t>EQC Packet - finalized</t>
  </si>
  <si>
    <t>Final EQC Packet</t>
  </si>
  <si>
    <t>EQC ready</t>
  </si>
  <si>
    <t>Activity Sequence – EQC Presentation</t>
  </si>
  <si>
    <t>Rules become effective</t>
  </si>
  <si>
    <t>Activity Sequence – Rulemaking Record</t>
  </si>
  <si>
    <t>Changes to this agreement require the approval and signature of both Partners. A change in scope and missed deadlines may result in re-prioritizing this rulemaking.</t>
  </si>
  <si>
    <t>Notice Packet with edits; Approval</t>
  </si>
  <si>
    <t>List of hearing participants and their roles; Finalized hearing materials and presentation</t>
  </si>
  <si>
    <t>List of EQC presenters, their roles and responsibilities; Final EQC Presentation</t>
  </si>
  <si>
    <t xml:space="preserve"> SOS; Legislative Counsel; DAS</t>
  </si>
  <si>
    <t>Activity Sequence - Rule Development</t>
  </si>
  <si>
    <t>Communications Plan</t>
  </si>
  <si>
    <t>Approved Newspaper ad(s), Notification lists, Notice content (legislators email, GovDelivery and Interested Parties)</t>
  </si>
  <si>
    <t>EQC Packet with edits, Approval</t>
  </si>
  <si>
    <t>Refine workbooks 
   Considerations
   Resources
   Schedule</t>
  </si>
  <si>
    <t>Draft workbooks
  CONSIDERATIONS
  RESOURCES</t>
  </si>
  <si>
    <t>Draft workbooks with edits
   CONSIDERATIONS
   RESOURCES</t>
  </si>
  <si>
    <t>Proposed addition to DEQ Rulemaking Plan</t>
  </si>
  <si>
    <t>Approve, postpone, reject</t>
  </si>
  <si>
    <t xml:space="preserve">  Establish Q-time numbers</t>
  </si>
  <si>
    <t xml:space="preserve">  Setup shared sites</t>
  </si>
  <si>
    <t xml:space="preserve">  Kickoff worksession</t>
  </si>
  <si>
    <t>Planning Sequence</t>
  </si>
  <si>
    <t xml:space="preserve"> Draft workbooks</t>
  </si>
  <si>
    <t xml:space="preserve"> Communications Meeting</t>
  </si>
  <si>
    <t>SIP Sequence</t>
  </si>
  <si>
    <t xml:space="preserve">  @ Notice EPA/SIP 180 days</t>
  </si>
  <si>
    <t xml:space="preserve">  @ Notice: EPA/SIP 45 days</t>
  </si>
  <si>
    <t xml:space="preserve">  @ Post EQC: Submit to EPA</t>
  </si>
  <si>
    <t>Fee Sequence</t>
  </si>
  <si>
    <t xml:space="preserve">  @ Fee Approval: Part 1 to DAS</t>
  </si>
  <si>
    <t xml:space="preserve">  @ Notice Email DAS for exempt fees</t>
  </si>
  <si>
    <t>Advisory Committee Sequence</t>
  </si>
  <si>
    <t>Involve EQC Sequence</t>
  </si>
  <si>
    <t xml:space="preserve">  Directors Report 1</t>
  </si>
  <si>
    <t xml:space="preserve">  Directors Report 2</t>
  </si>
  <si>
    <t xml:space="preserve">  Info Item 1</t>
  </si>
  <si>
    <t xml:space="preserve">  Info Item 2</t>
  </si>
  <si>
    <t>Notice Sequence</t>
  </si>
  <si>
    <t xml:space="preserve">  EPA/SIP 180 days</t>
  </si>
  <si>
    <t xml:space="preserve">  EPA/SIP 45 days</t>
  </si>
  <si>
    <t xml:space="preserve">  Involve DEQ RESOURCES</t>
  </si>
  <si>
    <t xml:space="preserve">  Send Ad to contract services</t>
  </si>
  <si>
    <t xml:space="preserve">  Manager approval</t>
  </si>
  <si>
    <t xml:space="preserve">  Open/Close Comment</t>
  </si>
  <si>
    <t xml:space="preserve">  DA briefing schedule/meeting</t>
  </si>
  <si>
    <t xml:space="preserve">  Email DAS for exempt fees</t>
  </si>
  <si>
    <t xml:space="preserve">  Preview period</t>
  </si>
  <si>
    <t xml:space="preserve">  SOS Bulletin submit/publish</t>
  </si>
  <si>
    <t xml:space="preserve">  Hearing: first/last</t>
  </si>
  <si>
    <t>EQC Preparation Sequence</t>
  </si>
  <si>
    <t xml:space="preserve">  EQC Meeting</t>
  </si>
  <si>
    <t xml:space="preserve"> Post EQC Sequence</t>
  </si>
  <si>
    <t xml:space="preserve"> Filing/effective</t>
  </si>
  <si>
    <t xml:space="preserve"> Part 2 to DAS</t>
  </si>
  <si>
    <t xml:space="preserve"> Submit to EPA</t>
  </si>
  <si>
    <t>Meeting 5</t>
  </si>
  <si>
    <t>Invitation</t>
  </si>
  <si>
    <t>Activity Sequence – Add to DEQ Rulemaking Plan</t>
  </si>
  <si>
    <t>Add to DEQ Rulemaking Plan</t>
  </si>
  <si>
    <t xml:space="preserve">  @ Post EQC: Part 2 to DAS</t>
  </si>
  <si>
    <t>Rules Sequence</t>
  </si>
  <si>
    <t xml:space="preserve">  @ Start</t>
  </si>
  <si>
    <t xml:space="preserve">  @ Notice</t>
  </si>
  <si>
    <t xml:space="preserve">  @ EQC Preparation</t>
  </si>
  <si>
    <t xml:space="preserve">  @ Filing</t>
  </si>
  <si>
    <t>Recipiant</t>
  </si>
  <si>
    <t>Worksession</t>
  </si>
  <si>
    <t>Shared drive
Draft workbooks</t>
  </si>
  <si>
    <t>Subject Expert</t>
  </si>
  <si>
    <t>Rules Group Partner</t>
  </si>
  <si>
    <t>Enter first name for Schedule</t>
  </si>
  <si>
    <t>Enter full name for Agreement</t>
  </si>
  <si>
    <t xml:space="preserve">Rules Group Partner </t>
  </si>
  <si>
    <t>Standardization (ARC)</t>
  </si>
  <si>
    <t>&lt;&lt;&lt;&lt;&lt; If support staff is not available, include Lead staff's name</t>
  </si>
  <si>
    <t>Names entered under this area will become part of the Schedule of Tasks and Partnershup Agreement</t>
  </si>
  <si>
    <t>* schedules work session</t>
  </si>
  <si>
    <t>Jennifer</t>
  </si>
  <si>
    <t>Wendy</t>
  </si>
  <si>
    <t>Uri</t>
  </si>
  <si>
    <t xml:space="preserve">Updated Rulemaking Projects Priorities list
</t>
  </si>
  <si>
    <t>Activity Sequence - Planning for Director-approved rulemaking priorities</t>
  </si>
  <si>
    <t>Recipient</t>
  </si>
  <si>
    <t>PaulG</t>
  </si>
  <si>
    <t>HearingOfficer</t>
  </si>
  <si>
    <t>Carol</t>
  </si>
  <si>
    <t>Air Quality Planning</t>
  </si>
  <si>
    <t>Uri Papish</t>
  </si>
  <si>
    <t>Air Quality Deputy Administrator</t>
  </si>
  <si>
    <t>Presentation with minor edit</t>
  </si>
  <si>
    <t>Input, advice, review</t>
  </si>
  <si>
    <t>Notice Packet</t>
  </si>
  <si>
    <t>Notice Packet Preview Email: LT, EQC Assistant, RESOURCES</t>
  </si>
  <si>
    <t>Activate Web page, Online comment form. Submit Newspaper ad, SOS Notice, Notification Lists, DAS</t>
  </si>
  <si>
    <t xml:space="preserve"> Review as needed</t>
  </si>
  <si>
    <t>Update Web page, Online comment form. SOS Filing, DAS, Legislative Counsel</t>
  </si>
  <si>
    <t xml:space="preserve"> EQC Packet</t>
  </si>
  <si>
    <t>Input, advice</t>
  </si>
  <si>
    <t>Confirm adequacy of rulemaking materials</t>
  </si>
  <si>
    <t>Archive records; Retire SharePoint; Close Outlook account; Update Web page</t>
  </si>
  <si>
    <t>Confirm accuracy of published rules
Submit supporting documents for record</t>
  </si>
  <si>
    <t>Complete rulemaking</t>
  </si>
  <si>
    <t xml:space="preserve">Owns program and regulatory content </t>
  </si>
  <si>
    <t>Manages subject expert</t>
  </si>
  <si>
    <t>Identifies and remedies training gaps in basic skills for subject expert (e.g. MS Office products, project management, research techniques, written and oral communication, presentation skills, and SharePoint)</t>
  </si>
  <si>
    <t>Maintains pristine rules in redline/strikeout</t>
  </si>
  <si>
    <t>Responsible for achieving program intent and requirements (e.g. federal requirements for program delegation)</t>
  </si>
  <si>
    <t>Responsible for high quality research and analysis by the program</t>
  </si>
  <si>
    <t>Responsible for high quality and timeliness of program deliverables</t>
  </si>
  <si>
    <t xml:space="preserve">
</t>
  </si>
  <si>
    <t>Owns best practices</t>
  </si>
  <si>
    <t>Assists sponsoring manager in finding expertise</t>
  </si>
  <si>
    <t>Trains subject expert on rulemaking knowledge</t>
  </si>
  <si>
    <t>Advises subject expert on rulemaking best practices, including advisory committees and fiscal analysis</t>
  </si>
  <si>
    <t>Guides subject expert through all work products</t>
  </si>
  <si>
    <t>Develops DEQ’s message with subject expert (e.g. Plain English, Style Guide, Tone, Clarity, OR Rulemaking requirements, DEQ best practices, web presence)</t>
  </si>
  <si>
    <t>Performs fiscal review</t>
  </si>
  <si>
    <t>Facilitates input by Communications staff and Legislative staff</t>
  </si>
  <si>
    <t>Determines adequacy of rulemaking materials</t>
  </si>
  <si>
    <t>Responsible for adhering rulemaking to best practices</t>
  </si>
  <si>
    <t>Responsible for meeting regulatory requirements for rulemaking</t>
  </si>
  <si>
    <t>Portland</t>
  </si>
  <si>
    <t>Division Administrator - Program</t>
  </si>
  <si>
    <t>Division Administrator - Rules</t>
  </si>
  <si>
    <t>DavidL</t>
  </si>
  <si>
    <t>KEY PEOPLE</t>
  </si>
  <si>
    <t>* establishes Rule_Development site</t>
  </si>
  <si>
    <t>* establishes SharePoint sub site</t>
  </si>
  <si>
    <t>Q-Time number =</t>
  </si>
  <si>
    <t>* roles and responsibilities</t>
  </si>
  <si>
    <t>* records management</t>
  </si>
  <si>
    <t xml:space="preserve">- naming conventions </t>
  </si>
  <si>
    <t>- shared Rule _Development drive</t>
  </si>
  <si>
    <t xml:space="preserve">- SharePoint </t>
  </si>
  <si>
    <t xml:space="preserve">* overview of work products </t>
  </si>
  <si>
    <t>- Rules and Regulations Web page</t>
  </si>
  <si>
    <t>* selects 'A' if approved, 'P' if postponed, 'R' if rejected</t>
  </si>
  <si>
    <t>* adapts email and approves moving forward, sends email</t>
  </si>
  <si>
    <t xml:space="preserve">* RESOURCES workbook identifies rulemaking and implementation needs </t>
  </si>
  <si>
    <t>* CONSIDERATIONS workbook identifies potential risks accurately</t>
  </si>
  <si>
    <t xml:space="preserve">* CONSIDERATIONS workbook reflects scope of work accurately  </t>
  </si>
  <si>
    <t xml:space="preserve">from CONSIDERATIONS and RESOURCES workbooks </t>
  </si>
  <si>
    <t xml:space="preserve">PREPARE TO DRAFT RULES </t>
  </si>
  <si>
    <t>* submits Web Request for program Web page</t>
  </si>
  <si>
    <t>* identify SIP rules</t>
  </si>
  <si>
    <t>* identify rules to amend or repeal</t>
  </si>
  <si>
    <t>* adding rulemaking to work plans as appropriate</t>
  </si>
  <si>
    <t xml:space="preserve">* program team members meet agreed upon dates in this SCHEDULE </t>
  </si>
  <si>
    <t>* getting new team members' manager approval</t>
  </si>
  <si>
    <t xml:space="preserve">* SCHEDULE of tasks and deadlines </t>
  </si>
  <si>
    <t xml:space="preserve">* identify requirements that need rules adoption </t>
  </si>
  <si>
    <t xml:space="preserve">* determine need for a crosswalk </t>
  </si>
  <si>
    <t xml:space="preserve">         redline/strikethrough remains consistent and that no reviewer </t>
  </si>
  <si>
    <t>Rule_Development|1-Planning using the name|STARTING.RULES</t>
  </si>
  <si>
    <t>* uploads copy of STARTING.RULES to SharePoint|1-Planning</t>
  </si>
  <si>
    <t xml:space="preserve">          All contributors &amp; reviewers work on draft rules on SharePoint</t>
  </si>
  <si>
    <t>* identifies rules that may be involved in other rulemakings</t>
  </si>
  <si>
    <t>* obtains, verifies, provides previously unused rule numbers</t>
  </si>
  <si>
    <t>* requests all planning emails for the Rule Record and saves in</t>
  </si>
  <si>
    <t>Date</t>
  </si>
  <si>
    <t>Time</t>
  </si>
  <si>
    <t>Last hearing:</t>
  </si>
  <si>
    <t>* observe EQC quorum notification requirements (ORS 192.630)</t>
  </si>
  <si>
    <t>PREPLANNING FOR HEARINGS</t>
  </si>
  <si>
    <t>DRAFT NOTICE PACKET</t>
  </si>
  <si>
    <t>Notice Packet includes:</t>
  </si>
  <si>
    <t>* Enter custom resource here</t>
  </si>
  <si>
    <t>* statutory authorities are correct for each rule</t>
  </si>
  <si>
    <t>* statutes implemented are correct for each rules</t>
  </si>
  <si>
    <t>* identifies EQC facilitated hearing, coordinate with commissioner:</t>
  </si>
  <si>
    <t>KEEP MANAGEMENT INFORMED</t>
  </si>
  <si>
    <t>* PROPOSED.RULES</t>
  </si>
  <si>
    <t>* NOTICE</t>
  </si>
  <si>
    <t>* SUPPORTING.DOCS - optional</t>
  </si>
  <si>
    <t xml:space="preserve">NEWSPAPER ADVERTISEMENTS </t>
  </si>
  <si>
    <t>#</t>
  </si>
  <si>
    <t>Hearing Table</t>
  </si>
  <si>
    <t>EQC FACILITATED HEARINGS</t>
  </si>
  <si>
    <t>- Newspaper advertisements    'Y' to develop</t>
  </si>
  <si>
    <t>* develops an AD.STANDARD for each hearing if required</t>
  </si>
  <si>
    <t>* develops AD.LEGAL for each hearing if required</t>
  </si>
  <si>
    <t>* saves as NOTICE.AD.Hearing1, etc. on Rule_Development folder 4</t>
  </si>
  <si>
    <t>* determines when ADs need to be submitted to contractor</t>
  </si>
  <si>
    <t>* INVITATION.TO.COMMENT (develop after Notice is stable )</t>
  </si>
  <si>
    <t>* they are current compared to Oregon State Archives</t>
  </si>
  <si>
    <t>* they consider other rulemakings that may affect subject rules</t>
  </si>
  <si>
    <t>CUSTOM SEQUENCE</t>
  </si>
  <si>
    <t xml:space="preserve">* to identify publications and publication dates </t>
  </si>
  <si>
    <t>Publication Table</t>
  </si>
  <si>
    <t>Newapapers</t>
  </si>
  <si>
    <t>KlamathHerald</t>
  </si>
  <si>
    <t>Oregonian</t>
  </si>
  <si>
    <t>EastOregon</t>
  </si>
  <si>
    <t>RegisterGuard</t>
  </si>
  <si>
    <t>MailTribune</t>
  </si>
  <si>
    <t>LaGrandeObserver</t>
  </si>
  <si>
    <t>JournalOfCommerce</t>
  </si>
  <si>
    <t>Other</t>
  </si>
  <si>
    <t>None</t>
  </si>
  <si>
    <t>Pub Date</t>
  </si>
  <si>
    <t>* determining fiscal and economic impact analysis sufficiency</t>
  </si>
  <si>
    <t>StephanieC</t>
  </si>
  <si>
    <t>AndreaG</t>
  </si>
  <si>
    <t>Rule Publication 
Work Period</t>
  </si>
  <si>
    <t>NOTIFICATIONS</t>
  </si>
  <si>
    <t xml:space="preserve"> This is information gathering - not a review </t>
  </si>
  <si>
    <t>- Newspaper release    'Y' to develop</t>
  </si>
  <si>
    <t>Ad to contractor &gt;</t>
  </si>
  <si>
    <t xml:space="preserve">-  Overview </t>
  </si>
  <si>
    <t>-  Statement of Need</t>
  </si>
  <si>
    <t>-  Rules affected, authorities, supporting documents</t>
  </si>
  <si>
    <t>-  Fee Analysis</t>
  </si>
  <si>
    <t>-  Statement of fiscal and economic impact</t>
  </si>
  <si>
    <t>-  Federal relationship</t>
  </si>
  <si>
    <t>-  Land use</t>
  </si>
  <si>
    <t>-  Stakeholder and public involvement</t>
  </si>
  <si>
    <t>* Affected staff, including regional staff, for contributions</t>
  </si>
  <si>
    <t>Review begins on</t>
  </si>
  <si>
    <t>Meeting will be</t>
  </si>
  <si>
    <t>Schedule by</t>
  </si>
  <si>
    <t>Public Affairs Representative</t>
  </si>
  <si>
    <t>-  meet program goals for rulemaking</t>
  </si>
  <si>
    <t>-  align with section, division and agency goals</t>
  </si>
  <si>
    <t>Pronoun</t>
  </si>
  <si>
    <t>her</t>
  </si>
  <si>
    <t>his</t>
  </si>
  <si>
    <t xml:space="preserve">Preview Period </t>
  </si>
  <si>
    <t xml:space="preserve">allow 7-14 days  </t>
  </si>
  <si>
    <t>* verifies PROPOSED.RULES are still based on current compilation</t>
  </si>
  <si>
    <t>Online public comment form</t>
  </si>
  <si>
    <t>URLs</t>
  </si>
  <si>
    <t>External Web page</t>
  </si>
  <si>
    <t>University Student Comment Account</t>
  </si>
  <si>
    <t>SharePoint - collaboration place for working documents</t>
  </si>
  <si>
    <t>Rules Development - non collaborative work</t>
  </si>
  <si>
    <t xml:space="preserve">COMMUNICATIONS OPTION </t>
  </si>
  <si>
    <t>City</t>
  </si>
  <si>
    <t>To restore any cell under columns G or H to default, place cursor in cell then enter "=A" followed by the cell address.  EXAMPLE: =AG13 would restore the default Start of Advisory Committee.</t>
  </si>
  <si>
    <t xml:space="preserve">Director added to DEQ Rulemaking Plan   </t>
  </si>
  <si>
    <t>Dir. Date Used in Calcs</t>
  </si>
  <si>
    <t>* validates approach with RESOURCES an needed</t>
  </si>
  <si>
    <t>* accepting all style guide and format edits</t>
  </si>
  <si>
    <t>* raises unanticipated rulemaking risks to appropriate level</t>
  </si>
  <si>
    <t>* raises unanticipated rule implementation risks to appropriate level</t>
  </si>
  <si>
    <t>Set under Planning</t>
  </si>
  <si>
    <t>* establishes Rulemaking Activities Web page for proposed rule</t>
  </si>
  <si>
    <t>* establishes online public comment form</t>
  </si>
  <si>
    <t>* owns pristine draft of proposed rules and maintains it on</t>
  </si>
  <si>
    <t>* emails DAS notification of fees that don't require DAS approval</t>
  </si>
  <si>
    <t>* saves all evidence on Rule_Development | 4-Notice using naming conventions</t>
  </si>
  <si>
    <t>* authenticates SOS/LC submittals</t>
  </si>
  <si>
    <t>* adding hearings to DEQ online calendar</t>
  </si>
  <si>
    <t>* validating Web page, comment form and Outlook account</t>
  </si>
  <si>
    <t>* creating an auto reply to Outlook account for University students</t>
  </si>
  <si>
    <t xml:space="preserve">* saves all evidence, lists and affidavits on Rule_Development | 4-Notice </t>
  </si>
  <si>
    <t>* saves receipts under Rule_Development|4-Notice using naming conventions</t>
  </si>
  <si>
    <t>* Rule_Development|4-Notice using naming conventions</t>
  </si>
  <si>
    <t>* verifying newspaper advertisements are correct</t>
  </si>
  <si>
    <t>* obtaining copies of affidavits of publication from Accounting</t>
  </si>
  <si>
    <t xml:space="preserve">* determines key legislators requiring ORS 183.335(5) notification </t>
  </si>
  <si>
    <t>* adapts email as needed</t>
  </si>
  <si>
    <t>including style guide, grammar, plain English, organization, clarity, tone</t>
  </si>
  <si>
    <t>GET STARTED</t>
  </si>
  <si>
    <t>ON SCHEDULE</t>
  </si>
  <si>
    <t>Enter names and codes on this worksheet</t>
  </si>
  <si>
    <r>
      <t xml:space="preserve">Enter start date in </t>
    </r>
    <r>
      <rPr>
        <b/>
        <sz val="14"/>
        <color theme="1"/>
        <rFont val="Times New Roman"/>
        <family val="1"/>
      </rPr>
      <t>G6</t>
    </r>
  </si>
  <si>
    <r>
      <t>Select Y/N options in</t>
    </r>
    <r>
      <rPr>
        <b/>
        <sz val="14"/>
        <color theme="1"/>
        <rFont val="Times New Roman"/>
        <family val="1"/>
      </rPr>
      <t xml:space="preserve"> C9:C50</t>
    </r>
  </si>
  <si>
    <t xml:space="preserve">All banner dates set on Overview of Key dates </t>
  </si>
  <si>
    <r>
      <t xml:space="preserve">When Directors adds to plan, enter date in </t>
    </r>
    <r>
      <rPr>
        <b/>
        <sz val="14"/>
        <color theme="1"/>
        <rFont val="Times New Roman"/>
        <family val="1"/>
      </rPr>
      <t>G9</t>
    </r>
  </si>
  <si>
    <t>Drop down lists</t>
  </si>
  <si>
    <r>
      <t xml:space="preserve">SOS Bulletin </t>
    </r>
    <r>
      <rPr>
        <b/>
        <sz val="14"/>
        <color theme="1"/>
        <rFont val="Times New Roman"/>
        <family val="1"/>
      </rPr>
      <t>H31</t>
    </r>
  </si>
  <si>
    <r>
      <t xml:space="preserve">EQC meeting </t>
    </r>
    <r>
      <rPr>
        <b/>
        <sz val="14"/>
        <color theme="1"/>
        <rFont val="Times New Roman"/>
        <family val="1"/>
      </rPr>
      <t>H44</t>
    </r>
  </si>
  <si>
    <r>
      <t>EQC optional involvement</t>
    </r>
    <r>
      <rPr>
        <b/>
        <sz val="14"/>
        <color theme="1"/>
        <rFont val="Times New Roman"/>
        <family val="1"/>
      </rPr>
      <t xml:space="preserve"> G39:H41</t>
    </r>
  </si>
  <si>
    <t>Enter Title in header</t>
  </si>
  <si>
    <t>* establishing rule's Web page, comment form, URLs, University student account</t>
  </si>
  <si>
    <t xml:space="preserve">* sends GovDelivery meeting notice and Web page link </t>
  </si>
  <si>
    <t xml:space="preserve">* submitting newspaper notices to contractor </t>
  </si>
  <si>
    <t>Drop down list &gt;</t>
  </si>
  <si>
    <t>Sponsoring Manager's
Work Period</t>
  </si>
  <si>
    <t>* compares work products pre/post preview and determines need for additional edits</t>
  </si>
  <si>
    <t>* opening public comment by notifying agency rulemaking list that includes:</t>
  </si>
  <si>
    <t>Approval to publish notice</t>
  </si>
  <si>
    <t xml:space="preserve">* submits of Notice to EPA </t>
  </si>
  <si>
    <t>* consolidates Rule Publication edits</t>
  </si>
  <si>
    <t>=IF(S.Notice.Involved="N","-blank-",IF(S.EQC.SubmitStaffRpt-S.Notice.CloseComment&lt;45,"ERROR - Staff report due before Close of public comment.","Close public comment - best practice, 3 days after last hearing"))</t>
  </si>
  <si>
    <t>* adjusts factors as needed</t>
  </si>
  <si>
    <t>x</t>
  </si>
  <si>
    <t>- public Meeting Laws</t>
  </si>
  <si>
    <t>- EQC quorum notification requirements (ORS 192.630)</t>
  </si>
  <si>
    <t xml:space="preserve">* discuss  </t>
  </si>
  <si>
    <t>- need for optional committee Web page</t>
  </si>
  <si>
    <t>- need for optional committee charter</t>
  </si>
  <si>
    <t>* identify</t>
  </si>
  <si>
    <t>- potential committee members</t>
  </si>
  <si>
    <t>- potential meeting dates and venues</t>
  </si>
  <si>
    <t>* review</t>
  </si>
  <si>
    <t xml:space="preserve">- advisory committee Q-Card                                                                  </t>
  </si>
  <si>
    <t>- review and discuss required committee meeting sign up list</t>
  </si>
  <si>
    <t>- review committee Web page template</t>
  </si>
  <si>
    <t>- lists of persons potentially affected by proposed rules</t>
  </si>
  <si>
    <t xml:space="preserve">- lists of persons who may have special interest in rulemaking </t>
  </si>
  <si>
    <t>* submits optional Committee Web page template attached to Web Request</t>
  </si>
  <si>
    <t>* submits Web Request at anytime when Committee Web page needs updating</t>
  </si>
  <si>
    <t>Hearings Officers:</t>
  </si>
  <si>
    <t>Close public comment</t>
  </si>
  <si>
    <t xml:space="preserve">&gt; change past tense to present tense throughout document as appropriate </t>
  </si>
  <si>
    <t>- may update the following as needed, highlight changes since Notice:</t>
  </si>
  <si>
    <t>&gt; Overview section</t>
  </si>
  <si>
    <t>&gt; Background (optional) section</t>
  </si>
  <si>
    <t>&gt; Stakeholder involvement section</t>
  </si>
  <si>
    <t>- draft Implementation section</t>
  </si>
  <si>
    <t>- Insert Summary of comments and DEQ responses</t>
  </si>
  <si>
    <t>* comparing Notice to EQC Staff Report to determine what needs review</t>
  </si>
  <si>
    <t>Enter name of staff who will brief each commissioner -</t>
  </si>
  <si>
    <t>* obtains approval to publish EQC Packet from:</t>
  </si>
  <si>
    <t>* notifies the following according to division's best practice</t>
  </si>
  <si>
    <t>- staff contributors</t>
  </si>
  <si>
    <t xml:space="preserve">   * adds to Rules Idea list and shares information with Rules Group</t>
  </si>
  <si>
    <t>START RULEMAKING IF DICK ADDS TO PLAN</t>
  </si>
  <si>
    <t>* leads Rules Group prioritization using CONSIDERATIONS and RESOURCES data that</t>
  </si>
  <si>
    <t>compares to other concepts, rulemakings in progress and Rules Group work load</t>
  </si>
  <si>
    <t>GENERAL INFORMATION</t>
  </si>
  <si>
    <t>&gt; Rules affected, authorities, supporting documentation</t>
  </si>
  <si>
    <t>If prioritized and resourced:</t>
  </si>
  <si>
    <t xml:space="preserve"> i</t>
  </si>
  <si>
    <t>- establish/maintain Web page, URLs, online comment form, University student Outlook account</t>
  </si>
  <si>
    <t>as needed for edits, style guide, grammar, plain English, organization, clarity and tone</t>
  </si>
  <si>
    <t>* authenticates SOS &amp; LC submittals, files notice, fiscal &amp; rules</t>
  </si>
  <si>
    <t>* member of core team - project manager</t>
  </si>
  <si>
    <t xml:space="preserve">* member of core team - subject direction </t>
  </si>
  <si>
    <t>* member of core team - rulemaking best practices</t>
  </si>
  <si>
    <t>* leads rule publication work:</t>
  </si>
  <si>
    <t>- reconciles Rule Publications edits that do not affect subject content</t>
  </si>
  <si>
    <t>* leads:</t>
  </si>
  <si>
    <t>- research/analysis for rulemaking</t>
  </si>
  <si>
    <t>- drafting of work products</t>
  </si>
  <si>
    <t>- engaging rules group lead, core team and RESOURCES appropriately</t>
  </si>
  <si>
    <t xml:space="preserve">- meeting program's rulemaking goals </t>
  </si>
  <si>
    <t xml:space="preserve">- meeting subject expert's tasks identified in this Schedule </t>
  </si>
  <si>
    <t xml:space="preserve">* responsible for: </t>
  </si>
  <si>
    <t>- ensuring completed work products are accurate - technically &amp; programmatically</t>
  </si>
  <si>
    <t>* briefs:</t>
  </si>
  <si>
    <t xml:space="preserve">- core team and management about delays and complications as needed </t>
  </si>
  <si>
    <t>- engages Rule Publications (SIP coordinator, public affairs consultant, EQC assistant)</t>
  </si>
  <si>
    <t>- approving work and external work products as:</t>
  </si>
  <si>
    <t>&gt; meeting program and section goals</t>
  </si>
  <si>
    <t>&gt; being accurate both technically &amp; programmatically</t>
  </si>
  <si>
    <t>- fiscal and economic impact analysis</t>
  </si>
  <si>
    <t>- quality of public rulemaking documents</t>
  </si>
  <si>
    <t>* documents are complete - all comments addressed &amp; no outstanding issues</t>
  </si>
  <si>
    <t xml:space="preserve">&lt; +/- calendar days adjustment </t>
  </si>
  <si>
    <t xml:space="preserve">&lt;  calendar days added       </t>
  </si>
  <si>
    <t>Meeting &gt;</t>
  </si>
  <si>
    <t>Complete by</t>
  </si>
  <si>
    <t>Due</t>
  </si>
  <si>
    <t>* work products meets rulemaking goals</t>
  </si>
  <si>
    <t>* work products are accurate - programmatically and technically</t>
  </si>
  <si>
    <t>* completes final review checklist</t>
  </si>
  <si>
    <t>* performing preliminary work on final review checklist</t>
  </si>
  <si>
    <t>Adj</t>
  </si>
  <si>
    <t>Best practice</t>
  </si>
  <si>
    <t>completeness and accuracy of technical and program content</t>
  </si>
  <si>
    <t>PREPARE FOR MANAGEMENT REVIEW</t>
  </si>
  <si>
    <t>* does not need to duplicate Rule Publication work below</t>
  </si>
  <si>
    <t>9.00 a.m.</t>
  </si>
  <si>
    <t xml:space="preserve">         copied text from other locations or turned track changes off</t>
  </si>
  <si>
    <t>PREVIEW PERIOD</t>
  </si>
  <si>
    <t>Cc…to all contributing and affected staff</t>
  </si>
  <si>
    <t>EQC Facilitated Hearing</t>
  </si>
  <si>
    <t>Andrea Gartenbaum</t>
  </si>
  <si>
    <t xml:space="preserve">&gt; meeting sponsoring manager's task deadlines identified in this Schedule </t>
  </si>
  <si>
    <t>- establish SharePoint sub site, Rule_Development drive and archival spaces</t>
  </si>
  <si>
    <t>Review version history to help maintain rulemaking record                 &gt;</t>
  </si>
  <si>
    <t>DO NOT MAIL TO COMMENTERS UNTIL ALL STAFF REPORT IS FINALIZED</t>
  </si>
  <si>
    <t>Brian</t>
  </si>
  <si>
    <t>DavidC</t>
  </si>
  <si>
    <t>Brian Finneran</t>
  </si>
  <si>
    <t>David Collier</t>
  </si>
  <si>
    <t>Q-Time number = ?????</t>
  </si>
  <si>
    <t>\\deqhq1\Rule_Development\Currrent Plan\AQ-RM-GrantsPassLMP-Brian Finneran\1-Planning</t>
  </si>
  <si>
    <t>GPLMP</t>
  </si>
  <si>
    <t>Grants Pass</t>
  </si>
  <si>
    <t>Grants Pass Limited Maintenance Plans for CO and PM10</t>
  </si>
</sst>
</file>

<file path=xl/styles.xml><?xml version="1.0" encoding="utf-8"?>
<styleSheet xmlns="http://schemas.openxmlformats.org/spreadsheetml/2006/main">
  <numFmts count="10">
    <numFmt numFmtId="164" formatCode="[$-409]mmmm\ d\,\ yyyy;@"/>
    <numFmt numFmtId="165" formatCode="mm/dd/yy;@"/>
    <numFmt numFmtId="166" formatCode="m/d/yy;@"/>
    <numFmt numFmtId="167" formatCode="[$-F800]dddd\,\ mmmm\ dd\,\ yyyy"/>
    <numFmt numFmtId="168" formatCode="0_);\(0\)"/>
    <numFmt numFmtId="169" formatCode="[$-409]d\-mmm;@"/>
    <numFmt numFmtId="170" formatCode="0_);[Red]\(0\)"/>
    <numFmt numFmtId="171" formatCode="dd"/>
    <numFmt numFmtId="172" formatCode="[$-409]mmm\-yy;@"/>
    <numFmt numFmtId="173" formatCode="[$-409]mmm\.\ d\,\ yyyy;@"/>
  </numFmts>
  <fonts count="173">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2"/>
      <scheme val="minor"/>
    </font>
    <font>
      <sz val="8"/>
      <color theme="4" tint="-0.499984740745262"/>
      <name val="Tahoma"/>
      <family val="2"/>
    </font>
    <font>
      <sz val="9"/>
      <color theme="4" tint="-0.499984740745262"/>
      <name val="Cambria"/>
      <family val="1"/>
      <scheme val="minor"/>
    </font>
    <font>
      <sz val="12"/>
      <color theme="1"/>
      <name val="Cambria"/>
      <family val="1"/>
      <scheme val="minor"/>
    </font>
    <font>
      <b/>
      <sz val="12"/>
      <color theme="4" tint="-0.499984740745262"/>
      <name val="Cambria"/>
      <family val="1"/>
      <scheme val="minor"/>
    </font>
    <font>
      <u/>
      <sz val="11"/>
      <color theme="10"/>
      <name val="Cambria"/>
      <family val="2"/>
    </font>
    <font>
      <b/>
      <sz val="12"/>
      <color theme="0"/>
      <name val="Cambria"/>
      <family val="1"/>
      <scheme val="minor"/>
    </font>
    <font>
      <b/>
      <sz val="18"/>
      <color theme="1"/>
      <name val="Cambria"/>
      <family val="1"/>
      <scheme val="minor"/>
    </font>
    <font>
      <b/>
      <i/>
      <sz val="18"/>
      <color theme="1"/>
      <name val="Cambria"/>
      <family val="1"/>
      <scheme val="minor"/>
    </font>
    <font>
      <sz val="12"/>
      <color theme="4" tint="-0.499984740745262"/>
      <name val="Cambria"/>
      <family val="1"/>
      <scheme val="minor"/>
    </font>
    <font>
      <i/>
      <sz val="12"/>
      <color theme="4" tint="-0.499984740745262"/>
      <name val="Cambria"/>
      <family val="1"/>
      <scheme val="minor"/>
    </font>
    <font>
      <sz val="12"/>
      <color rgb="FF000000"/>
      <name val="Cambria"/>
      <family val="1"/>
      <scheme val="minor"/>
    </font>
    <font>
      <sz val="12"/>
      <name val="Cambria"/>
      <family val="1"/>
      <scheme val="minor"/>
    </font>
    <font>
      <b/>
      <sz val="12"/>
      <color rgb="FF000000"/>
      <name val="Cambria"/>
      <family val="1"/>
      <scheme val="minor"/>
    </font>
    <font>
      <sz val="8"/>
      <color rgb="FF000000"/>
      <name val="Tahoma"/>
      <family val="2"/>
    </font>
    <font>
      <sz val="8"/>
      <color rgb="FF363432"/>
      <name val="Tahoma"/>
      <family val="2"/>
    </font>
    <font>
      <b/>
      <sz val="6"/>
      <name val="Cambria"/>
      <family val="1"/>
      <scheme val="minor"/>
    </font>
    <font>
      <sz val="9"/>
      <color theme="1"/>
      <name val="Cambria"/>
      <family val="2"/>
      <scheme val="minor"/>
    </font>
    <font>
      <sz val="11"/>
      <color theme="0"/>
      <name val="Cambria"/>
      <family val="2"/>
      <scheme val="minor"/>
    </font>
    <font>
      <sz val="11"/>
      <color theme="4" tint="-0.499984740745262"/>
      <name val="Cambria"/>
      <family val="2"/>
      <scheme val="minor"/>
    </font>
    <font>
      <b/>
      <u/>
      <sz val="11"/>
      <color theme="4" tint="-0.499984740745262"/>
      <name val="Calibri"/>
      <family val="2"/>
    </font>
    <font>
      <b/>
      <sz val="14"/>
      <color theme="1"/>
      <name val="Cambria"/>
      <family val="1"/>
      <scheme val="minor"/>
    </font>
    <font>
      <strike/>
      <sz val="11"/>
      <color theme="5" tint="-0.499984740745262"/>
      <name val="Cambria"/>
      <family val="1"/>
      <scheme val="minor"/>
    </font>
    <font>
      <u/>
      <sz val="11"/>
      <color theme="4" tint="-0.499984740745262"/>
      <name val="Calibri"/>
      <family val="2"/>
    </font>
    <font>
      <sz val="11"/>
      <color theme="0" tint="-0.14999847407452621"/>
      <name val="Cambria"/>
      <family val="2"/>
      <scheme val="minor"/>
    </font>
    <font>
      <sz val="9"/>
      <color theme="4" tint="-0.499984740745262"/>
      <name val="Cambria"/>
      <family val="2"/>
      <scheme val="minor"/>
    </font>
    <font>
      <b/>
      <sz val="8"/>
      <color rgb="FFC00000"/>
      <name val="Tahoma"/>
      <family val="2"/>
    </font>
    <font>
      <sz val="10"/>
      <color theme="0"/>
      <name val="Arial"/>
      <family val="2"/>
    </font>
    <font>
      <b/>
      <sz val="16"/>
      <color theme="0"/>
      <name val="Arial"/>
      <family val="2"/>
    </font>
    <font>
      <sz val="10"/>
      <color theme="4" tint="-0.499984740745262"/>
      <name val="Arial"/>
      <family val="2"/>
    </font>
    <font>
      <sz val="11"/>
      <color theme="4" tint="-0.499984740745262"/>
      <name val="Arial"/>
      <family val="2"/>
    </font>
    <font>
      <sz val="9"/>
      <color theme="4" tint="-0.499984740745262"/>
      <name val="Arial"/>
      <family val="2"/>
    </font>
    <font>
      <sz val="11"/>
      <color theme="1"/>
      <name val="Arial"/>
      <family val="2"/>
    </font>
    <font>
      <sz val="10"/>
      <color theme="1"/>
      <name val="Arial"/>
      <family val="2"/>
    </font>
    <font>
      <b/>
      <sz val="10"/>
      <color theme="0"/>
      <name val="Arial"/>
      <family val="2"/>
    </font>
    <font>
      <b/>
      <u/>
      <sz val="10"/>
      <color theme="0"/>
      <name val="Arial"/>
      <family val="2"/>
    </font>
    <font>
      <b/>
      <sz val="12"/>
      <color theme="0"/>
      <name val="Arial"/>
      <family val="2"/>
    </font>
    <font>
      <b/>
      <sz val="8"/>
      <color theme="4" tint="-0.499984740745262"/>
      <name val="Arial"/>
      <family val="2"/>
    </font>
    <font>
      <b/>
      <sz val="12"/>
      <color theme="4" tint="-0.499984740745262"/>
      <name val="Arial"/>
      <family val="2"/>
    </font>
    <font>
      <b/>
      <sz val="11"/>
      <color theme="8" tint="-0.499984740745262"/>
      <name val="Arial"/>
      <family val="2"/>
    </font>
    <font>
      <sz val="8"/>
      <color theme="0"/>
      <name val="Arial"/>
      <family val="2"/>
    </font>
    <font>
      <sz val="8"/>
      <name val="Arial"/>
      <family val="2"/>
    </font>
    <font>
      <sz val="8"/>
      <color theme="4" tint="-0.499984740745262"/>
      <name val="Arial"/>
      <family val="2"/>
    </font>
    <font>
      <sz val="8"/>
      <color rgb="FF504938"/>
      <name val="Arial"/>
      <family val="2"/>
    </font>
    <font>
      <sz val="8"/>
      <color rgb="FF32525C"/>
      <name val="Arial"/>
      <family val="2"/>
    </font>
    <font>
      <b/>
      <sz val="8"/>
      <color rgb="FF3A564F"/>
      <name val="Arial"/>
      <family val="2"/>
    </font>
    <font>
      <b/>
      <sz val="16"/>
      <color rgb="FFFFFFFF"/>
      <name val="Arial"/>
      <family val="2"/>
    </font>
    <font>
      <b/>
      <sz val="13"/>
      <color theme="0"/>
      <name val="Arial"/>
      <family val="2"/>
    </font>
    <font>
      <b/>
      <sz val="10"/>
      <color theme="8" tint="-0.499984740745262"/>
      <name val="Arial"/>
      <family val="2"/>
    </font>
    <font>
      <sz val="10"/>
      <color theme="8" tint="-0.499984740745262"/>
      <name val="Arial"/>
      <family val="2"/>
    </font>
    <font>
      <sz val="10"/>
      <name val="Arial"/>
      <family val="2"/>
    </font>
    <font>
      <b/>
      <sz val="9"/>
      <color theme="0"/>
      <name val="Arial"/>
      <family val="2"/>
    </font>
    <font>
      <b/>
      <sz val="11"/>
      <color theme="0"/>
      <name val="Cambria"/>
      <family val="1"/>
      <scheme val="minor"/>
    </font>
    <font>
      <sz val="11"/>
      <color theme="1"/>
      <name val="Calibri"/>
      <family val="2"/>
    </font>
    <font>
      <b/>
      <u/>
      <sz val="18"/>
      <color rgb="FFC00000"/>
      <name val="Cambria"/>
      <family val="1"/>
      <scheme val="minor"/>
    </font>
    <font>
      <sz val="12"/>
      <color theme="1"/>
      <name val="Cambria"/>
      <family val="2"/>
      <scheme val="minor"/>
    </font>
    <font>
      <sz val="14"/>
      <color theme="1"/>
      <name val="Cambria"/>
      <family val="2"/>
      <scheme val="minor"/>
    </font>
    <font>
      <b/>
      <sz val="12"/>
      <color theme="1"/>
      <name val="Cambria"/>
      <family val="1"/>
      <scheme val="minor"/>
    </font>
    <font>
      <sz val="11"/>
      <color theme="1"/>
      <name val="Wingdings"/>
      <charset val="2"/>
    </font>
    <font>
      <sz val="11"/>
      <color theme="7" tint="-0.499984740745262"/>
      <name val="Wingdings"/>
      <charset val="2"/>
    </font>
    <font>
      <sz val="16"/>
      <color theme="1"/>
      <name val="Cambria"/>
      <family val="2"/>
      <scheme val="minor"/>
    </font>
    <font>
      <sz val="11"/>
      <color theme="7" tint="-0.499984740745262"/>
      <name val="Cambria"/>
      <family val="2"/>
      <scheme val="minor"/>
    </font>
    <font>
      <sz val="10"/>
      <color theme="4" tint="-0.499984740745262"/>
      <name val="Calibri"/>
      <family val="2"/>
      <scheme val="major"/>
    </font>
    <font>
      <sz val="9"/>
      <color theme="4" tint="-0.499984740745262"/>
      <name val="Calibri"/>
      <family val="2"/>
      <scheme val="major"/>
    </font>
    <font>
      <sz val="11"/>
      <color theme="1"/>
      <name val="Calibri"/>
      <family val="2"/>
      <scheme val="major"/>
    </font>
    <font>
      <sz val="11"/>
      <color theme="7" tint="-0.249977111117893"/>
      <name val="Calibri"/>
      <family val="2"/>
      <scheme val="major"/>
    </font>
    <font>
      <sz val="11"/>
      <color theme="4" tint="-0.499984740745262"/>
      <name val="Calibri"/>
      <family val="2"/>
      <scheme val="major"/>
    </font>
    <font>
      <b/>
      <sz val="11"/>
      <color theme="4" tint="-0.499984740745262"/>
      <name val="Calibri"/>
      <family val="2"/>
      <scheme val="major"/>
    </font>
    <font>
      <b/>
      <sz val="9"/>
      <color theme="4" tint="-0.499984740745262"/>
      <name val="Cambria"/>
      <family val="1"/>
      <scheme val="minor"/>
    </font>
    <font>
      <sz val="10"/>
      <color theme="4" tint="-0.499984740745262"/>
      <name val="Cambria"/>
      <family val="1"/>
      <scheme val="minor"/>
    </font>
    <font>
      <sz val="11"/>
      <color rgb="FF504938"/>
      <name val="Cambria"/>
      <family val="1"/>
      <scheme val="minor"/>
    </font>
    <font>
      <sz val="14"/>
      <color theme="1"/>
      <name val="Times New Roman"/>
      <family val="1"/>
    </font>
    <font>
      <sz val="18"/>
      <color theme="0"/>
      <name val="Cambria"/>
      <family val="2"/>
      <scheme val="minor"/>
    </font>
    <font>
      <sz val="8"/>
      <color theme="4" tint="-0.249977111117893"/>
      <name val="Tahoma"/>
      <family val="2"/>
    </font>
    <font>
      <sz val="9"/>
      <color theme="4" tint="-0.249977111117893"/>
      <name val="Cambria"/>
      <family val="1"/>
      <scheme val="minor"/>
    </font>
    <font>
      <sz val="8"/>
      <color theme="4" tint="-0.249977111117893"/>
      <name val="Cambria"/>
      <family val="1"/>
      <scheme val="minor"/>
    </font>
    <font>
      <b/>
      <sz val="10"/>
      <color theme="4" tint="-0.499984740745262"/>
      <name val="Cambria"/>
      <family val="1"/>
      <scheme val="minor"/>
    </font>
    <font>
      <sz val="20"/>
      <color theme="0"/>
      <name val="Cambria"/>
      <family val="2"/>
      <scheme val="minor"/>
    </font>
    <font>
      <b/>
      <sz val="13"/>
      <color theme="4" tint="-0.249977111117893"/>
      <name val="Cambria"/>
      <family val="1"/>
      <scheme val="minor"/>
    </font>
    <font>
      <b/>
      <sz val="13"/>
      <color theme="4" tint="-0.249977111117893"/>
      <name val="Wingdings"/>
      <charset val="2"/>
    </font>
    <font>
      <sz val="13"/>
      <color theme="4" tint="-0.249977111117893"/>
      <name val="Cambria"/>
      <family val="1"/>
      <scheme val="minor"/>
    </font>
    <font>
      <b/>
      <sz val="16"/>
      <color theme="4" tint="-0.249977111117893"/>
      <name val="Cambria"/>
      <family val="1"/>
      <scheme val="minor"/>
    </font>
    <font>
      <sz val="11"/>
      <color theme="4" tint="-0.249977111117893"/>
      <name val="Cambria"/>
      <family val="1"/>
      <scheme val="minor"/>
    </font>
    <font>
      <sz val="10"/>
      <color rgb="FF32525C"/>
      <name val="Cambria"/>
      <family val="1"/>
      <scheme val="minor"/>
    </font>
    <font>
      <sz val="10"/>
      <color theme="1"/>
      <name val="Cambria"/>
      <family val="1"/>
      <scheme val="minor"/>
    </font>
    <font>
      <sz val="10"/>
      <color theme="0"/>
      <name val="Cambria"/>
      <family val="1"/>
      <scheme val="minor"/>
    </font>
    <font>
      <b/>
      <sz val="10"/>
      <color theme="5" tint="-0.499984740745262"/>
      <name val="Cambria"/>
      <family val="1"/>
      <scheme val="minor"/>
    </font>
    <font>
      <b/>
      <sz val="10"/>
      <color rgb="FFA24200"/>
      <name val="Cambria"/>
      <family val="1"/>
      <scheme val="minor"/>
    </font>
    <font>
      <sz val="10"/>
      <color theme="5" tint="-0.499984740745262"/>
      <name val="Cambria"/>
      <family val="1"/>
      <scheme val="minor"/>
    </font>
    <font>
      <b/>
      <i/>
      <sz val="10"/>
      <color rgb="FFA24200"/>
      <name val="Cambria"/>
      <family val="1"/>
      <scheme val="minor"/>
    </font>
    <font>
      <sz val="10"/>
      <name val="Cambria"/>
      <family val="1"/>
      <scheme val="minor"/>
    </font>
    <font>
      <sz val="10"/>
      <color theme="7" tint="-0.249977111117893"/>
      <name val="Cambria"/>
      <family val="1"/>
      <scheme val="minor"/>
    </font>
    <font>
      <u/>
      <sz val="10"/>
      <color theme="4" tint="-0.499984740745262"/>
      <name val="Cambria"/>
      <family val="1"/>
      <scheme val="minor"/>
    </font>
    <font>
      <sz val="10"/>
      <color rgb="FFC00000"/>
      <name val="Cambria"/>
      <family val="1"/>
      <scheme val="minor"/>
    </font>
    <font>
      <b/>
      <sz val="10"/>
      <color rgb="FFC00000"/>
      <name val="Cambria"/>
      <family val="1"/>
      <scheme val="minor"/>
    </font>
    <font>
      <sz val="10"/>
      <color theme="0" tint="-4.9989318521683403E-2"/>
      <name val="Cambria"/>
      <family val="1"/>
      <scheme val="minor"/>
    </font>
    <font>
      <i/>
      <sz val="10"/>
      <color theme="4" tint="-0.499984740745262"/>
      <name val="Cambria"/>
      <family val="1"/>
      <scheme val="minor"/>
    </font>
    <font>
      <sz val="10"/>
      <color theme="1"/>
      <name val="Cambria"/>
      <family val="2"/>
      <scheme val="minor"/>
    </font>
    <font>
      <sz val="10"/>
      <color theme="1"/>
      <name val="Calibri"/>
      <family val="2"/>
      <scheme val="major"/>
    </font>
    <font>
      <sz val="12"/>
      <color theme="0"/>
      <name val="Arial"/>
      <family val="2"/>
    </font>
    <font>
      <sz val="14"/>
      <color theme="4" tint="-0.499984740745262"/>
      <name val="Wingdings"/>
      <charset val="2"/>
    </font>
    <font>
      <i/>
      <sz val="9"/>
      <color theme="4" tint="-0.499984740745262"/>
      <name val="Cambria"/>
      <family val="1"/>
      <scheme val="minor"/>
    </font>
    <font>
      <b/>
      <sz val="14"/>
      <color theme="4" tint="-0.499984740745262"/>
      <name val="Cambria"/>
      <family val="1"/>
      <scheme val="minor"/>
    </font>
    <font>
      <b/>
      <i/>
      <sz val="11"/>
      <color rgb="FFC00000"/>
      <name val="Calibri"/>
      <family val="2"/>
    </font>
    <font>
      <sz val="10"/>
      <color rgb="FF663300"/>
      <name val="Cambria"/>
      <family val="1"/>
      <scheme val="minor"/>
    </font>
    <font>
      <b/>
      <sz val="12"/>
      <color theme="0"/>
      <name val="Courier New"/>
      <family val="3"/>
    </font>
    <font>
      <b/>
      <i/>
      <u/>
      <sz val="11"/>
      <color rgb="FFC00000"/>
      <name val="Calibri"/>
      <family val="2"/>
      <scheme val="major"/>
    </font>
    <font>
      <b/>
      <i/>
      <sz val="11"/>
      <color rgb="FFC00000"/>
      <name val="Calibri"/>
      <family val="2"/>
      <scheme val="major"/>
    </font>
    <font>
      <b/>
      <sz val="9"/>
      <color theme="4" tint="-0.499984740745262"/>
      <name val="Cambria"/>
      <family val="2"/>
      <scheme val="minor"/>
    </font>
    <font>
      <sz val="9"/>
      <color rgb="FFC00000"/>
      <name val="Cambria"/>
      <family val="2"/>
      <scheme val="minor"/>
    </font>
    <font>
      <sz val="10"/>
      <color rgb="FF0033CC"/>
      <name val="Cambria"/>
      <family val="1"/>
      <scheme val="minor"/>
    </font>
    <font>
      <sz val="10"/>
      <color rgb="FF0033CC"/>
      <name val="Calibri"/>
      <family val="2"/>
      <scheme val="major"/>
    </font>
    <font>
      <sz val="9"/>
      <color rgb="FF0033CC"/>
      <name val="Calibri"/>
      <family val="2"/>
      <scheme val="major"/>
    </font>
    <font>
      <sz val="11"/>
      <color theme="0" tint="-0.499984740745262"/>
      <name val="Calibri"/>
      <family val="2"/>
      <scheme val="major"/>
    </font>
    <font>
      <sz val="9"/>
      <color rgb="FF3B3B3B"/>
      <name val="Cambria"/>
      <family val="1"/>
    </font>
    <font>
      <sz val="12"/>
      <color theme="4" tint="-0.499984740745262"/>
      <name val="Cambria"/>
      <family val="2"/>
      <scheme val="minor"/>
    </font>
    <font>
      <sz val="14"/>
      <color theme="4" tint="-0.499984740745262"/>
      <name val="Cambria"/>
      <family val="2"/>
      <scheme val="minor"/>
    </font>
    <font>
      <sz val="14"/>
      <color theme="4" tint="-0.249977111117893"/>
      <name val="Cambria"/>
      <family val="2"/>
      <scheme val="minor"/>
    </font>
    <font>
      <sz val="14"/>
      <color theme="4" tint="0.39997558519241921"/>
      <name val="Cambria"/>
      <family val="2"/>
      <scheme val="minor"/>
    </font>
    <font>
      <sz val="11"/>
      <color theme="4" tint="0.39997558519241921"/>
      <name val="Cambria"/>
      <family val="2"/>
      <scheme val="minor"/>
    </font>
    <font>
      <b/>
      <sz val="12"/>
      <color theme="4" tint="-0.249977111117893"/>
      <name val="Cambria"/>
      <family val="1"/>
      <scheme val="minor"/>
    </font>
    <font>
      <b/>
      <sz val="11"/>
      <color theme="4" tint="-0.499984740745262"/>
      <name val="Cambria"/>
      <family val="1"/>
      <scheme val="minor"/>
    </font>
    <font>
      <sz val="11"/>
      <color rgb="FF253C43"/>
      <name val="Cambria"/>
      <family val="2"/>
      <scheme val="minor"/>
    </font>
    <font>
      <sz val="14"/>
      <color theme="4" tint="-0.499984740745262"/>
      <name val="Cambria"/>
      <family val="1"/>
      <scheme val="minor"/>
    </font>
    <font>
      <sz val="12"/>
      <color rgb="FF253C43"/>
      <name val="Cambria"/>
      <family val="2"/>
      <scheme val="minor"/>
    </font>
    <font>
      <b/>
      <sz val="12"/>
      <color rgb="FF253C43"/>
      <name val="Cambria"/>
      <family val="2"/>
      <scheme val="minor"/>
    </font>
    <font>
      <sz val="26"/>
      <color rgb="FF008272"/>
      <name val="Arial"/>
      <family val="2"/>
    </font>
    <font>
      <sz val="16"/>
      <color theme="1"/>
      <name val="Arial"/>
      <family val="2"/>
    </font>
    <font>
      <sz val="16"/>
      <color rgb="FF008272"/>
      <name val="Arial"/>
      <family val="2"/>
    </font>
    <font>
      <vertAlign val="superscript"/>
      <sz val="14"/>
      <color theme="1"/>
      <name val="Cambria"/>
      <family val="2"/>
      <scheme val="minor"/>
    </font>
    <font>
      <b/>
      <sz val="16"/>
      <color rgb="FF008272"/>
      <name val="Arial"/>
      <family val="2"/>
    </font>
    <font>
      <b/>
      <sz val="11"/>
      <color theme="1"/>
      <name val="Arial"/>
      <family val="2"/>
    </font>
    <font>
      <b/>
      <sz val="10"/>
      <color theme="1"/>
      <name val="Arial"/>
      <family val="2"/>
    </font>
    <font>
      <b/>
      <sz val="10"/>
      <color theme="1"/>
      <name val="Cambria"/>
      <family val="2"/>
      <scheme val="minor"/>
    </font>
    <font>
      <sz val="11"/>
      <color rgb="FF000000"/>
      <name val="Arial"/>
      <family val="2"/>
    </font>
    <font>
      <i/>
      <sz val="12"/>
      <color theme="1"/>
      <name val="Times New Roman"/>
      <family val="1"/>
    </font>
    <font>
      <sz val="12"/>
      <color rgb="FF00483F"/>
      <name val="Times New Roman"/>
      <family val="1"/>
    </font>
    <font>
      <sz val="12"/>
      <color rgb="FF222222"/>
      <name val="Arial"/>
      <family val="2"/>
    </font>
    <font>
      <sz val="11"/>
      <color theme="1"/>
      <name val="Cambria"/>
      <family val="1"/>
      <scheme val="minor"/>
    </font>
    <font>
      <b/>
      <sz val="10"/>
      <color theme="4" tint="-0.499984740745262"/>
      <name val="Calibri"/>
      <family val="2"/>
      <scheme val="major"/>
    </font>
    <font>
      <sz val="10"/>
      <color theme="4" tint="-0.499984740745262"/>
      <name val="Cambria"/>
      <family val="2"/>
      <scheme val="minor"/>
    </font>
    <font>
      <b/>
      <sz val="10"/>
      <color rgb="FF993300"/>
      <name val="Cambria"/>
      <family val="1"/>
      <scheme val="minor"/>
    </font>
    <font>
      <b/>
      <sz val="10"/>
      <color rgb="FFCC6600"/>
      <name val="Cambria"/>
      <family val="1"/>
      <scheme val="minor"/>
    </font>
    <font>
      <i/>
      <sz val="8"/>
      <color theme="4" tint="-0.499984740745262"/>
      <name val="Cambria"/>
      <family val="1"/>
      <scheme val="minor"/>
    </font>
    <font>
      <sz val="8"/>
      <color theme="4" tint="-0.499984740745262"/>
      <name val="Cambria"/>
      <family val="1"/>
      <scheme val="minor"/>
    </font>
    <font>
      <sz val="20"/>
      <color theme="4" tint="-0.499984740745262"/>
      <name val="Cambria"/>
      <family val="2"/>
      <scheme val="minor"/>
    </font>
    <font>
      <sz val="8"/>
      <color theme="2" tint="-0.499984740745262"/>
      <name val="Cambria"/>
      <family val="1"/>
      <scheme val="minor"/>
    </font>
    <font>
      <sz val="8"/>
      <color theme="1"/>
      <name val="Cambria"/>
      <family val="1"/>
      <scheme val="minor"/>
    </font>
    <font>
      <sz val="8"/>
      <color theme="4" tint="-0.499984740745262"/>
      <name val="Cambria"/>
      <family val="2"/>
      <scheme val="minor"/>
    </font>
    <font>
      <sz val="11"/>
      <color theme="0"/>
      <name val="Arial"/>
      <family val="2"/>
    </font>
    <font>
      <sz val="11"/>
      <color theme="5" tint="0.59999389629810485"/>
      <name val="Arial"/>
      <family val="2"/>
    </font>
    <font>
      <sz val="10"/>
      <color rgb="FFA24200"/>
      <name val="Times New Roman"/>
      <family val="1"/>
    </font>
    <font>
      <b/>
      <sz val="8"/>
      <color theme="4" tint="-0.499984740745262"/>
      <name val="Cambria"/>
      <family val="1"/>
      <scheme val="minor"/>
    </font>
    <font>
      <b/>
      <sz val="9"/>
      <color rgb="FF993300"/>
      <name val="Cambria"/>
      <family val="1"/>
      <scheme val="minor"/>
    </font>
    <font>
      <b/>
      <sz val="14"/>
      <color theme="1"/>
      <name val="Times New Roman"/>
      <family val="1"/>
    </font>
    <font>
      <sz val="14"/>
      <color rgb="FF000000"/>
      <name val="Times New Roman"/>
      <family val="1"/>
    </font>
    <font>
      <sz val="9"/>
      <color rgb="FFC00000"/>
      <name val="Cambria"/>
      <family val="1"/>
      <scheme val="minor"/>
    </font>
    <font>
      <i/>
      <sz val="8"/>
      <color theme="4" tint="-0.499984740745262"/>
      <name val="Times New Roman"/>
      <family val="1"/>
    </font>
    <font>
      <i/>
      <sz val="9"/>
      <color theme="4" tint="-0.499984740745262"/>
      <name val="Times New Roman"/>
      <family val="1"/>
    </font>
    <font>
      <i/>
      <sz val="11"/>
      <color theme="1"/>
      <name val="Cambria"/>
      <family val="1"/>
      <scheme val="minor"/>
    </font>
    <font>
      <sz val="8"/>
      <color theme="1"/>
      <name val="Cambria"/>
      <family val="2"/>
      <scheme val="minor"/>
    </font>
    <font>
      <sz val="11"/>
      <color theme="0" tint="-0.249977111117893"/>
      <name val="Cambria"/>
      <family val="2"/>
      <scheme val="minor"/>
    </font>
    <font>
      <sz val="8"/>
      <color theme="0" tint="-0.249977111117893"/>
      <name val="Cambria"/>
      <family val="2"/>
      <scheme val="minor"/>
    </font>
    <font>
      <sz val="8"/>
      <color theme="0" tint="-0.249977111117893"/>
      <name val="Cambria"/>
      <family val="1"/>
      <scheme val="minor"/>
    </font>
    <font>
      <sz val="11"/>
      <color theme="0" tint="-0.249977111117893"/>
      <name val="Cambria"/>
      <family val="1"/>
      <scheme val="minor"/>
    </font>
    <font>
      <b/>
      <sz val="10"/>
      <color theme="0" tint="-0.249977111117893"/>
      <name val="Cambria"/>
      <family val="1"/>
      <scheme val="minor"/>
    </font>
    <font>
      <sz val="11"/>
      <color rgb="FFFF0000"/>
      <name val="Cambria"/>
      <family val="2"/>
      <scheme val="minor"/>
    </font>
    <font>
      <sz val="9"/>
      <color indexed="81"/>
      <name val="Tahoma"/>
      <family val="2"/>
    </font>
    <font>
      <b/>
      <sz val="9"/>
      <color indexed="81"/>
      <name val="Tahoma"/>
      <family val="2"/>
    </font>
  </fonts>
  <fills count="44">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rgb="FFFFFFFF"/>
        <bgColor rgb="FF00000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5" tint="0.79998168889431442"/>
        <bgColor rgb="FF000000"/>
      </patternFill>
    </fill>
    <fill>
      <patternFill patternType="solid">
        <fgColor rgb="FFFFC000"/>
        <bgColor indexed="64"/>
      </patternFill>
    </fill>
    <fill>
      <patternFill patternType="solid">
        <fgColor rgb="FFFFC000"/>
        <bgColor rgb="FF000000"/>
      </patternFill>
    </fill>
    <fill>
      <patternFill patternType="solid">
        <fgColor rgb="FFE1ECEF"/>
        <bgColor rgb="FF000000"/>
      </patternFill>
    </fill>
    <fill>
      <patternFill patternType="solid">
        <fgColor rgb="FF4C7B8A"/>
        <bgColor rgb="FF000000"/>
      </patternFill>
    </fill>
    <fill>
      <patternFill patternType="solid">
        <fgColor rgb="FFE1ECEF"/>
        <bgColor rgb="FFFFFFFF"/>
      </patternFill>
    </fill>
    <fill>
      <patternFill patternType="solid">
        <fgColor theme="4" tint="-0.249977111117893"/>
        <bgColor rgb="FF000000"/>
      </patternFill>
    </fill>
    <fill>
      <patternFill patternType="solid">
        <fgColor theme="4" tint="0.79998168889431442"/>
        <bgColor rgb="FF000000"/>
      </patternFill>
    </fill>
    <fill>
      <patternFill patternType="solid">
        <fgColor theme="4" tint="0.39997558519241921"/>
        <bgColor rgb="FF000000"/>
      </patternFill>
    </fill>
    <fill>
      <patternFill patternType="solid">
        <fgColor rgb="FFEAEAEA"/>
        <bgColor rgb="FF000000"/>
      </patternFill>
    </fill>
    <fill>
      <patternFill patternType="gray125">
        <fgColor rgb="FFCC6600"/>
        <bgColor theme="0"/>
      </patternFill>
    </fill>
    <fill>
      <patternFill patternType="gray125">
        <fgColor rgb="FF568278"/>
        <bgColor theme="0"/>
      </patternFill>
    </fill>
    <fill>
      <patternFill patternType="solid">
        <fgColor theme="5" tint="0.39997558519241921"/>
        <bgColor indexed="64"/>
      </patternFill>
    </fill>
    <fill>
      <patternFill patternType="solid">
        <fgColor rgb="FFC00000"/>
        <bgColor indexed="64"/>
      </patternFill>
    </fill>
    <fill>
      <patternFill patternType="solid">
        <fgColor theme="4" tint="-0.499984740745262"/>
        <bgColor indexed="64"/>
      </patternFill>
    </fill>
    <fill>
      <patternFill patternType="solid">
        <fgColor theme="7" tint="0.39997558519241921"/>
        <bgColor rgb="FF000000"/>
      </patternFill>
    </fill>
    <fill>
      <patternFill patternType="solid">
        <fgColor theme="3" tint="0.79998168889431442"/>
        <bgColor rgb="FF000000"/>
      </patternFill>
    </fill>
    <fill>
      <patternFill patternType="darkHorizontal">
        <fgColor theme="0"/>
        <bgColor theme="0"/>
      </patternFill>
    </fill>
    <fill>
      <patternFill patternType="solid">
        <fgColor rgb="FFFFFF0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5" tint="0.39994506668294322"/>
        <bgColor indexed="64"/>
      </patternFill>
    </fill>
    <fill>
      <patternFill patternType="solid">
        <fgColor rgb="FFFFFF00"/>
        <bgColor theme="5" tint="0.39994506668294322"/>
      </patternFill>
    </fill>
    <fill>
      <patternFill patternType="solid">
        <fgColor theme="0" tint="-0.34998626667073579"/>
        <bgColor indexed="64"/>
      </patternFill>
    </fill>
    <fill>
      <patternFill patternType="solid">
        <fgColor theme="4"/>
        <bgColor indexed="64"/>
      </patternFill>
    </fill>
    <fill>
      <patternFill patternType="solid">
        <fgColor theme="5" tint="0.39997558519241921"/>
        <bgColor rgb="FF000000"/>
      </patternFill>
    </fill>
    <fill>
      <patternFill patternType="solid">
        <fgColor rgb="FF09FF78"/>
        <bgColor rgb="FF000000"/>
      </patternFill>
    </fill>
    <fill>
      <patternFill patternType="solid">
        <fgColor theme="2" tint="-9.9978637043366805E-2"/>
        <bgColor rgb="FF000000"/>
      </patternFill>
    </fill>
    <fill>
      <patternFill patternType="solid">
        <fgColor theme="4" tint="0.59999389629810485"/>
        <bgColor rgb="FF000000"/>
      </patternFill>
    </fill>
    <fill>
      <patternFill patternType="solid">
        <bgColor theme="5" tint="0.39994506668294322"/>
      </patternFill>
    </fill>
  </fills>
  <borders count="102">
    <border>
      <left/>
      <right/>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n">
        <color theme="0" tint="-0.249977111117893"/>
      </bottom>
      <diagonal/>
    </border>
    <border>
      <left/>
      <right/>
      <top/>
      <bottom style="thin">
        <color theme="0" tint="-0.499984740745262"/>
      </bottom>
      <diagonal/>
    </border>
    <border>
      <left/>
      <right/>
      <top style="thin">
        <color indexed="64"/>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bottom/>
      <diagonal/>
    </border>
    <border>
      <left style="medium">
        <color theme="4" tint="-0.499984740745262"/>
      </left>
      <right style="medium">
        <color theme="4" tint="-0.499984740745262"/>
      </right>
      <top style="medium">
        <color theme="4" tint="-0.499984740745262"/>
      </top>
      <bottom style="medium">
        <color theme="4" tint="-0.499984740745262"/>
      </bottom>
      <diagonal/>
    </border>
    <border>
      <left style="thin">
        <color theme="4" tint="-0.249977111117893"/>
      </left>
      <right style="thin">
        <color theme="4" tint="-0.249977111117893"/>
      </right>
      <top style="thin">
        <color theme="4" tint="-0.249977111117893"/>
      </top>
      <bottom style="thin">
        <color theme="4" tint="-0.249977111117893"/>
      </bottom>
      <diagonal/>
    </border>
    <border>
      <left/>
      <right style="thin">
        <color theme="0" tint="-0.249977111117893"/>
      </right>
      <top style="thin">
        <color theme="0" tint="-0.249977111117893"/>
      </top>
      <bottom style="thin">
        <color theme="0" tint="-0.249977111117893"/>
      </bottom>
      <diagonal/>
    </border>
    <border>
      <left/>
      <right/>
      <top/>
      <bottom style="thin">
        <color theme="0" tint="-0.34998626667073579"/>
      </bottom>
      <diagonal/>
    </border>
    <border>
      <left style="thin">
        <color indexed="64"/>
      </left>
      <right style="thin">
        <color indexed="64"/>
      </right>
      <top style="thin">
        <color indexed="64"/>
      </top>
      <bottom style="thin">
        <color indexed="64"/>
      </bottom>
      <diagonal/>
    </border>
    <border>
      <left/>
      <right/>
      <top style="thin">
        <color theme="0" tint="-0.249977111117893"/>
      </top>
      <bottom/>
      <diagonal/>
    </border>
    <border>
      <left style="medium">
        <color theme="4" tint="-0.249977111117893"/>
      </left>
      <right style="medium">
        <color theme="4" tint="-0.249977111117893"/>
      </right>
      <top style="medium">
        <color theme="4" tint="-0.249977111117893"/>
      </top>
      <bottom/>
      <diagonal/>
    </border>
    <border>
      <left style="medium">
        <color theme="4" tint="-0.249977111117893"/>
      </left>
      <right style="medium">
        <color theme="4" tint="-0.249977111117893"/>
      </right>
      <top style="thin">
        <color theme="4" tint="-0.249977111117893"/>
      </top>
      <bottom style="thin">
        <color theme="4" tint="-0.249977111117893"/>
      </bottom>
      <diagonal/>
    </border>
    <border>
      <left style="medium">
        <color theme="4" tint="-0.249977111117893"/>
      </left>
      <right style="medium">
        <color theme="4" tint="-0.249977111117893"/>
      </right>
      <top/>
      <bottom/>
      <diagonal/>
    </border>
    <border>
      <left style="medium">
        <color theme="4" tint="-0.249977111117893"/>
      </left>
      <right style="medium">
        <color theme="4" tint="-0.249977111117893"/>
      </right>
      <top/>
      <bottom style="thin">
        <color theme="4" tint="-0.249977111117893"/>
      </bottom>
      <diagonal/>
    </border>
    <border>
      <left style="medium">
        <color theme="4" tint="-0.249977111117893"/>
      </left>
      <right style="medium">
        <color theme="4" tint="-0.249977111117893"/>
      </right>
      <top/>
      <bottom style="medium">
        <color theme="4" tint="-0.249977111117893"/>
      </bottom>
      <diagonal/>
    </border>
    <border>
      <left style="medium">
        <color theme="4" tint="-0.249977111117893"/>
      </left>
      <right style="medium">
        <color theme="4" tint="-0.249977111117893"/>
      </right>
      <top style="medium">
        <color theme="4" tint="-0.249977111117893"/>
      </top>
      <bottom style="medium">
        <color theme="4" tint="-0.249977111117893"/>
      </bottom>
      <diagonal/>
    </border>
    <border>
      <left/>
      <right style="thin">
        <color theme="0" tint="-0.34998626667073579"/>
      </right>
      <top style="thin">
        <color theme="0" tint="-0.34998626667073579"/>
      </top>
      <bottom style="thin">
        <color theme="0" tint="-0.34998626667073579"/>
      </bottom>
      <diagonal/>
    </border>
    <border>
      <left/>
      <right/>
      <top/>
      <bottom style="medium">
        <color theme="4" tint="-0.499984740745262"/>
      </bottom>
      <diagonal/>
    </border>
    <border>
      <left style="medium">
        <color theme="4" tint="-0.499984740745262"/>
      </left>
      <right style="medium">
        <color theme="4" tint="-0.499984740745262"/>
      </right>
      <top style="medium">
        <color theme="4" tint="-0.499984740745262"/>
      </top>
      <bottom/>
      <diagonal/>
    </border>
    <border>
      <left style="medium">
        <color theme="4" tint="-0.499984740745262"/>
      </left>
      <right style="medium">
        <color theme="4" tint="-0.499984740745262"/>
      </right>
      <top/>
      <bottom style="medium">
        <color theme="4" tint="-0.499984740745262"/>
      </bottom>
      <diagonal/>
    </border>
    <border>
      <left/>
      <right/>
      <top style="thin">
        <color theme="0" tint="-0.249977111117893"/>
      </top>
      <bottom style="thin">
        <color theme="0" tint="-0.249977111117893"/>
      </bottom>
      <diagonal/>
    </border>
    <border>
      <left/>
      <right/>
      <top/>
      <bottom style="medium">
        <color theme="0" tint="-0.249977111117893"/>
      </bottom>
      <diagonal/>
    </border>
    <border>
      <left style="thin">
        <color theme="0" tint="-0.249977111117893"/>
      </left>
      <right/>
      <top/>
      <bottom/>
      <diagonal/>
    </border>
    <border>
      <left/>
      <right/>
      <top/>
      <bottom style="thick">
        <color theme="0" tint="-0.249977111117893"/>
      </bottom>
      <diagonal/>
    </border>
    <border>
      <left style="thin">
        <color theme="4" tint="-0.499984740745262"/>
      </left>
      <right style="thin">
        <color theme="4" tint="-0.499984740745262"/>
      </right>
      <top style="thin">
        <color theme="4" tint="-0.499984740745262"/>
      </top>
      <bottom style="thin">
        <color theme="4" tint="-0.499984740745262"/>
      </bottom>
      <diagonal/>
    </border>
    <border>
      <left/>
      <right style="thin">
        <color theme="0" tint="-0.249977111117893"/>
      </right>
      <top style="thin">
        <color theme="0" tint="-0.249977111117893"/>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bottom style="medium">
        <color indexed="64"/>
      </bottom>
      <diagonal/>
    </border>
    <border>
      <left/>
      <right style="thin">
        <color theme="0"/>
      </right>
      <top/>
      <bottom style="thin">
        <color theme="0"/>
      </bottom>
      <diagonal/>
    </border>
    <border>
      <left/>
      <right/>
      <top style="medium">
        <color indexed="64"/>
      </top>
      <bottom/>
      <diagonal/>
    </border>
    <border>
      <left style="dashed">
        <color indexed="64"/>
      </left>
      <right style="dashed">
        <color indexed="64"/>
      </right>
      <top style="dashed">
        <color indexed="64"/>
      </top>
      <bottom style="dashed">
        <color indexed="64"/>
      </bottom>
      <diagonal/>
    </border>
    <border>
      <left/>
      <right/>
      <top style="thin">
        <color theme="4" tint="-0.499984740745262"/>
      </top>
      <bottom/>
      <diagonal/>
    </border>
    <border>
      <left/>
      <right/>
      <top style="thin">
        <color theme="0" tint="-0.34998626667073579"/>
      </top>
      <bottom/>
      <diagonal/>
    </border>
    <border>
      <left/>
      <right style="thick">
        <color theme="0" tint="-0.249977111117893"/>
      </right>
      <top/>
      <bottom/>
      <diagonal/>
    </border>
    <border>
      <left/>
      <right style="thin">
        <color theme="0" tint="-0.249977111117893"/>
      </right>
      <top style="thick">
        <color theme="0" tint="-0.249977111117893"/>
      </top>
      <bottom style="thin">
        <color theme="0" tint="-0.249977111117893"/>
      </bottom>
      <diagonal/>
    </border>
    <border>
      <left/>
      <right style="medium">
        <color theme="0" tint="-0.249977111117893"/>
      </right>
      <top style="thick">
        <color theme="0" tint="-0.249977111117893"/>
      </top>
      <bottom/>
      <diagonal/>
    </border>
    <border>
      <left style="thin">
        <color theme="0" tint="-0.249977111117893"/>
      </left>
      <right style="thick">
        <color theme="0" tint="-0.249977111117893"/>
      </right>
      <top style="thin">
        <color theme="0" tint="-0.249977111117893"/>
      </top>
      <bottom style="thin">
        <color theme="0" tint="-0.249977111117893"/>
      </bottom>
      <diagonal/>
    </border>
    <border>
      <left style="thin">
        <color theme="0" tint="-0.249977111117893"/>
      </left>
      <right style="thick">
        <color theme="0" tint="-0.249977111117893"/>
      </right>
      <top/>
      <bottom style="medium">
        <color theme="0" tint="-0.249977111117893"/>
      </bottom>
      <diagonal/>
    </border>
    <border>
      <left/>
      <right style="thick">
        <color theme="0" tint="-0.249977111117893"/>
      </right>
      <top/>
      <bottom style="thick">
        <color theme="0" tint="-0.249977111117893"/>
      </bottom>
      <diagonal/>
    </border>
    <border>
      <left/>
      <right style="thick">
        <color theme="0" tint="-0.249977111117893"/>
      </right>
      <top style="thick">
        <color theme="0" tint="-0.249977111117893"/>
      </top>
      <bottom style="thin">
        <color theme="0" tint="-0.249977111117893"/>
      </bottom>
      <diagonal/>
    </border>
    <border>
      <left/>
      <right/>
      <top style="thin">
        <color theme="0" tint="-0.249977111117893"/>
      </top>
      <bottom style="thick">
        <color theme="0" tint="-0.249977111117893"/>
      </bottom>
      <diagonal/>
    </border>
    <border>
      <left style="thin">
        <color theme="0" tint="-0.249977111117893"/>
      </left>
      <right style="thin">
        <color theme="0" tint="-0.249977111117893"/>
      </right>
      <top style="thin">
        <color theme="0" tint="-0.249977111117893"/>
      </top>
      <bottom style="thick">
        <color theme="0" tint="-0.249977111117893"/>
      </bottom>
      <diagonal/>
    </border>
    <border>
      <left style="medium">
        <color theme="0" tint="-0.249977111117893"/>
      </left>
      <right/>
      <top style="thin">
        <color theme="0" tint="-0.249977111117893"/>
      </top>
      <bottom style="thick">
        <color theme="0" tint="-0.249977111117893"/>
      </bottom>
      <diagonal/>
    </border>
    <border>
      <left style="thick">
        <color theme="0" tint="-0.249977111117893"/>
      </left>
      <right/>
      <top style="thick">
        <color theme="0" tint="-0.249977111117893"/>
      </top>
      <bottom style="thin">
        <color theme="0" tint="-0.249977111117893"/>
      </bottom>
      <diagonal/>
    </border>
    <border>
      <left/>
      <right/>
      <top style="thick">
        <color theme="0" tint="-0.249977111117893"/>
      </top>
      <bottom style="thin">
        <color theme="0" tint="-0.249977111117893"/>
      </bottom>
      <diagonal/>
    </border>
    <border>
      <left/>
      <right style="thick">
        <color theme="0" tint="-0.249977111117893"/>
      </right>
      <top style="thick">
        <color theme="0" tint="-0.249977111117893"/>
      </top>
      <bottom/>
      <diagonal/>
    </border>
    <border>
      <left style="thick">
        <color theme="0" tint="-0.249977111117893"/>
      </left>
      <right style="thin">
        <color theme="0" tint="-0.249977111117893"/>
      </right>
      <top/>
      <bottom style="thin">
        <color theme="0" tint="-0.249977111117893"/>
      </bottom>
      <diagonal/>
    </border>
    <border>
      <left/>
      <right style="thin">
        <color theme="0" tint="-0.249977111117893"/>
      </right>
      <top/>
      <bottom style="thick">
        <color theme="0" tint="-0.249977111117893"/>
      </bottom>
      <diagonal/>
    </border>
    <border>
      <left style="thin">
        <color theme="0" tint="-0.249977111117893"/>
      </left>
      <right style="thick">
        <color theme="0" tint="-0.249977111117893"/>
      </right>
      <top style="thin">
        <color theme="0" tint="-0.249977111117893"/>
      </top>
      <bottom style="thick">
        <color theme="0" tint="-0.249977111117893"/>
      </bottom>
      <diagonal/>
    </border>
    <border>
      <left style="thick">
        <color theme="0" tint="-0.249977111117893"/>
      </left>
      <right style="thin">
        <color theme="0" tint="-0.249977111117893"/>
      </right>
      <top/>
      <bottom style="thick">
        <color theme="0" tint="-0.249977111117893"/>
      </bottom>
      <diagonal/>
    </border>
    <border>
      <left style="thick">
        <color theme="0" tint="-0.249977111117893"/>
      </left>
      <right/>
      <top style="thick">
        <color theme="0" tint="-0.249977111117893"/>
      </top>
      <bottom/>
      <diagonal/>
    </border>
    <border>
      <left style="thick">
        <color theme="0" tint="-0.249977111117893"/>
      </left>
      <right style="thin">
        <color theme="0" tint="-0.249977111117893"/>
      </right>
      <top style="thin">
        <color theme="0" tint="-0.249977111117893"/>
      </top>
      <bottom style="thin">
        <color theme="0" tint="-0.249977111117893"/>
      </bottom>
      <diagonal/>
    </border>
    <border>
      <left style="thick">
        <color theme="0" tint="-0.249977111117893"/>
      </left>
      <right/>
      <top/>
      <bottom/>
      <diagonal/>
    </border>
    <border>
      <left style="thick">
        <color theme="0" tint="-0.249977111117893"/>
      </left>
      <right/>
      <top/>
      <bottom style="thick">
        <color theme="0" tint="-0.249977111117893"/>
      </bottom>
      <diagonal/>
    </border>
    <border>
      <left/>
      <right/>
      <top/>
      <bottom style="thick">
        <color theme="4" tint="-0.499984740745262"/>
      </bottom>
      <diagonal/>
    </border>
    <border>
      <left style="thick">
        <color theme="0" tint="-0.249977111117893"/>
      </left>
      <right style="thick">
        <color theme="0" tint="-0.249977111117893"/>
      </right>
      <top style="thick">
        <color theme="0" tint="-0.249977111117893"/>
      </top>
      <bottom style="thick">
        <color theme="0" tint="-0.249977111117893"/>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right style="medium">
        <color theme="0" tint="-0.34998626667073579"/>
      </right>
      <top/>
      <bottom/>
      <diagonal/>
    </border>
    <border>
      <left/>
      <right/>
      <top/>
      <bottom style="double">
        <color theme="4" tint="-0.499984740745262"/>
      </bottom>
      <diagonal/>
    </border>
    <border>
      <left style="thin">
        <color theme="0" tint="-0.34998626667073579"/>
      </left>
      <right style="dotted">
        <color theme="4" tint="-0.499984740745262"/>
      </right>
      <top style="dotted">
        <color theme="4" tint="-0.499984740745262"/>
      </top>
      <bottom style="dotted">
        <color theme="4" tint="-0.499984740745262"/>
      </bottom>
      <diagonal/>
    </border>
    <border>
      <left style="dotted">
        <color theme="4" tint="-0.499984740745262"/>
      </left>
      <right style="thin">
        <color theme="0" tint="-0.34998626667073579"/>
      </right>
      <top style="dotted">
        <color theme="4" tint="-0.499984740745262"/>
      </top>
      <bottom style="dotted">
        <color theme="4" tint="-0.499984740745262"/>
      </bottom>
      <diagonal/>
    </border>
    <border>
      <left style="thin">
        <color theme="0" tint="-0.34998626667073579"/>
      </left>
      <right style="dotted">
        <color theme="4" tint="-0.499984740745262"/>
      </right>
      <top style="dotted">
        <color theme="4" tint="-0.499984740745262"/>
      </top>
      <bottom style="thin">
        <color theme="0" tint="-0.34998626667073579"/>
      </bottom>
      <diagonal/>
    </border>
    <border>
      <left style="dotted">
        <color theme="4" tint="-0.499984740745262"/>
      </left>
      <right style="thin">
        <color theme="0" tint="-0.34998626667073579"/>
      </right>
      <top style="dotted">
        <color theme="4" tint="-0.499984740745262"/>
      </top>
      <bottom style="thin">
        <color theme="0" tint="-0.34998626667073579"/>
      </bottom>
      <diagonal/>
    </border>
    <border>
      <left style="thin">
        <color theme="0" tint="-0.34998626667073579"/>
      </left>
      <right style="dotted">
        <color theme="4" tint="-0.499984740745262"/>
      </right>
      <top/>
      <bottom style="dotted">
        <color theme="4" tint="-0.499984740745262"/>
      </bottom>
      <diagonal/>
    </border>
    <border>
      <left style="thin">
        <color theme="0" tint="-0.34998626667073579"/>
      </left>
      <right style="dotted">
        <color theme="4" tint="-0.499984740745262"/>
      </right>
      <top style="thin">
        <color theme="0" tint="-0.34998626667073579"/>
      </top>
      <bottom style="thin">
        <color theme="0" tint="-0.34998626667073579"/>
      </bottom>
      <diagonal/>
    </border>
    <border>
      <left style="dotted">
        <color theme="4" tint="-0.499984740745262"/>
      </left>
      <right style="thin">
        <color theme="0" tint="-0.34998626667073579"/>
      </right>
      <top style="thin">
        <color theme="0" tint="-0.34998626667073579"/>
      </top>
      <bottom style="thin">
        <color theme="0" tint="-0.34998626667073579"/>
      </bottom>
      <diagonal/>
    </border>
    <border>
      <left style="thick">
        <color theme="0" tint="-0.34998626667073579"/>
      </left>
      <right style="thin">
        <color theme="0" tint="-0.249977111117893"/>
      </right>
      <top style="thin">
        <color theme="0" tint="-0.249977111117893"/>
      </top>
      <bottom style="thin">
        <color theme="0" tint="-0.249977111117893"/>
      </bottom>
      <diagonal/>
    </border>
    <border>
      <left style="thick">
        <color theme="0" tint="-0.34998626667073579"/>
      </left>
      <right/>
      <top style="thick">
        <color theme="0" tint="-0.249977111117893"/>
      </top>
      <bottom style="thin">
        <color theme="0" tint="-0.249977111117893"/>
      </bottom>
      <diagonal/>
    </border>
    <border>
      <left style="thick">
        <color theme="0" tint="-0.34998626667073579"/>
      </left>
      <right/>
      <top/>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4" tint="-0.499984740745262"/>
      </bottom>
      <diagonal/>
    </border>
    <border>
      <left/>
      <right style="thin">
        <color theme="0" tint="-0.249977111117893"/>
      </right>
      <top style="thin">
        <color theme="0" tint="-0.249977111117893"/>
      </top>
      <bottom style="thin">
        <color theme="4" tint="-0.499984740745262"/>
      </bottom>
      <diagonal/>
    </border>
    <border>
      <left style="thick">
        <color theme="0" tint="-0.249977111117893"/>
      </left>
      <right/>
      <top style="thin">
        <color theme="0" tint="-0.249977111117893"/>
      </top>
      <bottom/>
      <diagonal/>
    </border>
    <border>
      <left/>
      <right style="thick">
        <color theme="0" tint="-0.249977111117893"/>
      </right>
      <top style="thin">
        <color theme="0" tint="-0.249977111117893"/>
      </top>
      <bottom style="thick">
        <color theme="0" tint="-0.249977111117893"/>
      </bottom>
      <diagonal/>
    </border>
    <border>
      <left/>
      <right style="thick">
        <color theme="0" tint="-0.249977111117893"/>
      </right>
      <top style="thin">
        <color theme="0" tint="-0.249977111117893"/>
      </top>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top/>
      <bottom/>
      <diagonal/>
    </border>
    <border>
      <left/>
      <right style="medium">
        <color theme="0" tint="-0.249977111117893"/>
      </right>
      <top/>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right/>
      <top style="thick">
        <color theme="0" tint="-0.249977111117893"/>
      </top>
      <bottom/>
      <diagonal/>
    </border>
    <border>
      <left style="thick">
        <color theme="0" tint="-0.249977111117893"/>
      </left>
      <right/>
      <top style="thin">
        <color theme="0" tint="-0.249977111117893"/>
      </top>
      <bottom style="thick">
        <color theme="0" tint="-0.249977111117893"/>
      </bottom>
      <diagonal/>
    </border>
  </borders>
  <cellStyleXfs count="11">
    <xf numFmtId="164" fontId="0" fillId="0" borderId="0"/>
    <xf numFmtId="0" fontId="110" fillId="35" borderId="31" applyNumberFormat="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4" fillId="0" borderId="0"/>
    <xf numFmtId="0" fontId="4" fillId="0" borderId="0"/>
    <xf numFmtId="0" fontId="2" fillId="0" borderId="0" applyNumberFormat="0" applyFill="0" applyBorder="0" applyAlignment="0" applyProtection="0">
      <alignment vertical="top"/>
      <protection locked="0"/>
    </xf>
    <xf numFmtId="167" fontId="1" fillId="3" borderId="0" applyFont="0" applyFill="0"/>
    <xf numFmtId="0" fontId="4" fillId="0" borderId="0"/>
    <xf numFmtId="0" fontId="9" fillId="0" borderId="0" applyNumberFormat="0" applyFill="0" applyBorder="0" applyAlignment="0" applyProtection="0">
      <alignment vertical="top"/>
      <protection locked="0"/>
    </xf>
    <xf numFmtId="0" fontId="4" fillId="0" borderId="0"/>
  </cellStyleXfs>
  <cellXfs count="1070">
    <xf numFmtId="164" fontId="0" fillId="0" borderId="0" xfId="0"/>
    <xf numFmtId="164" fontId="7" fillId="0" borderId="0" xfId="0" applyFont="1"/>
    <xf numFmtId="164" fontId="7" fillId="12" borderId="0" xfId="0" applyFont="1" applyFill="1"/>
    <xf numFmtId="164" fontId="7" fillId="12" borderId="0" xfId="0" applyFont="1" applyFill="1" applyBorder="1"/>
    <xf numFmtId="164" fontId="10" fillId="7" borderId="0" xfId="0" applyFont="1" applyFill="1" applyBorder="1" applyAlignment="1"/>
    <xf numFmtId="167" fontId="13" fillId="19" borderId="0" xfId="4" applyNumberFormat="1" applyFont="1" applyFill="1" applyBorder="1" applyAlignment="1">
      <alignment horizontal="right"/>
    </xf>
    <xf numFmtId="167" fontId="13" fillId="13" borderId="0" xfId="4" applyNumberFormat="1" applyFont="1" applyFill="1" applyBorder="1" applyAlignment="1">
      <alignment horizontal="right"/>
    </xf>
    <xf numFmtId="164" fontId="15" fillId="13" borderId="0" xfId="4" applyFont="1" applyFill="1" applyBorder="1" applyAlignment="1">
      <alignment horizontal="right"/>
    </xf>
    <xf numFmtId="167" fontId="14" fillId="13" borderId="0" xfId="4" applyNumberFormat="1" applyFont="1" applyFill="1" applyBorder="1" applyAlignment="1">
      <alignment vertical="top" wrapText="1"/>
    </xf>
    <xf numFmtId="0" fontId="16" fillId="12" borderId="0" xfId="0" applyNumberFormat="1" applyFont="1" applyFill="1" applyBorder="1" applyProtection="1">
      <protection locked="0"/>
    </xf>
    <xf numFmtId="167" fontId="10" fillId="15" borderId="0" xfId="4" applyNumberFormat="1" applyFont="1" applyFill="1" applyBorder="1" applyAlignment="1">
      <alignment vertical="center"/>
    </xf>
    <xf numFmtId="167" fontId="8" fillId="13" borderId="0" xfId="4" applyNumberFormat="1" applyFont="1" applyFill="1" applyBorder="1"/>
    <xf numFmtId="164" fontId="17" fillId="13" borderId="0" xfId="4" applyFont="1" applyFill="1" applyBorder="1"/>
    <xf numFmtId="1" fontId="7" fillId="12" borderId="0" xfId="0" applyNumberFormat="1" applyFont="1" applyFill="1"/>
    <xf numFmtId="167" fontId="13" fillId="13" borderId="0" xfId="4" applyNumberFormat="1" applyFont="1" applyFill="1" applyBorder="1"/>
    <xf numFmtId="164" fontId="15" fillId="13" borderId="0" xfId="4" applyFont="1" applyFill="1" applyBorder="1"/>
    <xf numFmtId="164" fontId="11" fillId="12" borderId="0" xfId="0" applyFont="1" applyFill="1" applyBorder="1"/>
    <xf numFmtId="164" fontId="7" fillId="0" borderId="0" xfId="0" applyFont="1" applyBorder="1"/>
    <xf numFmtId="167" fontId="16" fillId="19" borderId="0" xfId="4" applyNumberFormat="1" applyFont="1" applyFill="1" applyBorder="1" applyAlignment="1">
      <alignment horizontal="right"/>
    </xf>
    <xf numFmtId="167" fontId="16" fillId="13" borderId="0" xfId="4" applyNumberFormat="1" applyFont="1" applyFill="1" applyBorder="1" applyAlignment="1">
      <alignment horizontal="right"/>
    </xf>
    <xf numFmtId="167" fontId="16" fillId="18" borderId="0" xfId="4" applyNumberFormat="1" applyFont="1" applyFill="1" applyBorder="1" applyAlignment="1">
      <alignment horizontal="left" vertical="top"/>
    </xf>
    <xf numFmtId="167" fontId="10" fillId="15" borderId="0" xfId="3" applyNumberFormat="1" applyFont="1" applyFill="1" applyBorder="1" applyAlignment="1" applyProtection="1">
      <alignment vertical="top"/>
    </xf>
    <xf numFmtId="166" fontId="16" fillId="16" borderId="0" xfId="4" applyNumberFormat="1" applyFont="1" applyFill="1" applyBorder="1" applyAlignment="1">
      <alignment horizontal="left"/>
    </xf>
    <xf numFmtId="164" fontId="0" fillId="0" borderId="0" xfId="0"/>
    <xf numFmtId="168" fontId="20" fillId="21" borderId="3" xfId="0" applyNumberFormat="1" applyFont="1" applyFill="1" applyBorder="1" applyAlignment="1" applyProtection="1">
      <alignment horizontal="center" vertical="center"/>
    </xf>
    <xf numFmtId="168" fontId="20" fillId="22" borderId="3" xfId="0" applyNumberFormat="1" applyFont="1" applyFill="1" applyBorder="1" applyAlignment="1" applyProtection="1">
      <alignment horizontal="center" vertical="center"/>
    </xf>
    <xf numFmtId="166" fontId="16" fillId="18" borderId="0" xfId="4" applyNumberFormat="1" applyFont="1" applyFill="1" applyBorder="1" applyAlignment="1">
      <alignment horizontal="left"/>
    </xf>
    <xf numFmtId="166" fontId="16" fillId="10" borderId="0" xfId="0" applyNumberFormat="1" applyFont="1" applyFill="1" applyBorder="1" applyAlignment="1" applyProtection="1">
      <alignment horizontal="left"/>
      <protection locked="0"/>
    </xf>
    <xf numFmtId="164" fontId="0" fillId="0" borderId="0" xfId="0" applyAlignment="1">
      <alignment horizontal="center"/>
    </xf>
    <xf numFmtId="167" fontId="7" fillId="12" borderId="0" xfId="0" applyNumberFormat="1" applyFont="1" applyFill="1"/>
    <xf numFmtId="167" fontId="16" fillId="12" borderId="0" xfId="0" applyNumberFormat="1" applyFont="1" applyFill="1" applyBorder="1" applyProtection="1">
      <protection locked="0"/>
    </xf>
    <xf numFmtId="0" fontId="24" fillId="12" borderId="31" xfId="1" applyFont="1" applyFill="1" applyAlignment="1" applyProtection="1"/>
    <xf numFmtId="167" fontId="15" fillId="13" borderId="0" xfId="4" applyNumberFormat="1" applyFont="1" applyFill="1" applyBorder="1" applyAlignment="1">
      <alignment horizontal="right"/>
    </xf>
    <xf numFmtId="164" fontId="25" fillId="0" borderId="5" xfId="0" applyFont="1" applyBorder="1"/>
    <xf numFmtId="164" fontId="6" fillId="13" borderId="0" xfId="4" applyFont="1" applyFill="1" applyBorder="1" applyAlignment="1" applyProtection="1">
      <alignment horizontal="center" vertical="center"/>
    </xf>
    <xf numFmtId="164" fontId="5" fillId="13" borderId="0" xfId="4" applyFont="1" applyFill="1" applyBorder="1" applyAlignment="1" applyProtection="1">
      <alignment horizontal="center" vertical="center"/>
    </xf>
    <xf numFmtId="164" fontId="18" fillId="13" borderId="0" xfId="4" applyFont="1" applyFill="1" applyBorder="1" applyAlignment="1" applyProtection="1">
      <alignment horizontal="center" vertical="center"/>
    </xf>
    <xf numFmtId="164" fontId="0" fillId="0" borderId="0" xfId="0" applyAlignment="1">
      <alignment horizontal="left"/>
    </xf>
    <xf numFmtId="164" fontId="0" fillId="0" borderId="0" xfId="0" applyAlignment="1">
      <alignment horizontal="right"/>
    </xf>
    <xf numFmtId="164" fontId="0" fillId="0" borderId="0" xfId="0" applyAlignment="1"/>
    <xf numFmtId="164" fontId="0" fillId="0" borderId="0" xfId="0" applyBorder="1"/>
    <xf numFmtId="164" fontId="19" fillId="13" borderId="0" xfId="4" applyFont="1" applyFill="1" applyBorder="1" applyAlignment="1" applyProtection="1">
      <alignment horizontal="center" vertical="center"/>
    </xf>
    <xf numFmtId="166" fontId="6" fillId="13" borderId="0" xfId="4" applyNumberFormat="1" applyFont="1" applyFill="1" applyBorder="1" applyAlignment="1" applyProtection="1">
      <alignment horizontal="left" vertical="center"/>
    </xf>
    <xf numFmtId="164" fontId="6" fillId="13" borderId="0" xfId="4" applyFont="1" applyFill="1" applyBorder="1" applyAlignment="1" applyProtection="1">
      <alignment horizontal="left" vertical="center"/>
    </xf>
    <xf numFmtId="164" fontId="5" fillId="13" borderId="0" xfId="4" applyFont="1" applyFill="1" applyBorder="1" applyAlignment="1" applyProtection="1">
      <alignment horizontal="left" vertical="center"/>
    </xf>
    <xf numFmtId="0" fontId="5" fillId="12" borderId="0" xfId="0" applyNumberFormat="1" applyFont="1" applyFill="1" applyBorder="1" applyAlignment="1" applyProtection="1">
      <alignment horizontal="left" vertical="center"/>
    </xf>
    <xf numFmtId="164" fontId="18" fillId="13" borderId="0" xfId="4" applyFont="1" applyFill="1" applyBorder="1" applyAlignment="1" applyProtection="1">
      <alignment horizontal="left" vertical="center"/>
    </xf>
    <xf numFmtId="167" fontId="6" fillId="13" borderId="0" xfId="4" applyNumberFormat="1" applyFont="1" applyFill="1" applyBorder="1" applyAlignment="1" applyProtection="1">
      <alignment horizontal="center" vertical="center"/>
    </xf>
    <xf numFmtId="164" fontId="0" fillId="12" borderId="0" xfId="0" applyFill="1"/>
    <xf numFmtId="164" fontId="0" fillId="12" borderId="0" xfId="0" applyFill="1" applyAlignment="1">
      <alignment horizontal="left"/>
    </xf>
    <xf numFmtId="1" fontId="7" fillId="8" borderId="0" xfId="0" applyNumberFormat="1" applyFont="1" applyFill="1" applyBorder="1" applyAlignment="1">
      <alignment horizontal="center"/>
    </xf>
    <xf numFmtId="164" fontId="7" fillId="12" borderId="0" xfId="0" applyFont="1" applyFill="1" applyAlignment="1">
      <alignment horizontal="left"/>
    </xf>
    <xf numFmtId="164" fontId="7" fillId="0" borderId="0" xfId="0" applyFont="1" applyAlignment="1">
      <alignment horizontal="left"/>
    </xf>
    <xf numFmtId="164" fontId="7" fillId="12" borderId="0" xfId="0" applyFont="1" applyFill="1" applyAlignment="1">
      <alignment horizontal="left" indent="3"/>
    </xf>
    <xf numFmtId="164" fontId="7" fillId="0" borderId="0" xfId="0" applyFont="1" applyAlignment="1">
      <alignment horizontal="left" indent="3"/>
    </xf>
    <xf numFmtId="0" fontId="16" fillId="12" borderId="0" xfId="0" applyNumberFormat="1" applyFont="1" applyFill="1" applyBorder="1" applyAlignment="1" applyProtection="1">
      <alignment horizontal="left"/>
      <protection locked="0"/>
    </xf>
    <xf numFmtId="164" fontId="15" fillId="13" borderId="0" xfId="4" applyFont="1" applyFill="1" applyBorder="1" applyAlignment="1">
      <alignment horizontal="left"/>
    </xf>
    <xf numFmtId="164" fontId="17" fillId="13" borderId="0" xfId="4" applyFont="1" applyFill="1" applyBorder="1" applyAlignment="1">
      <alignment horizontal="left"/>
    </xf>
    <xf numFmtId="164" fontId="23" fillId="12" borderId="0" xfId="0" applyFont="1" applyFill="1" applyBorder="1" applyAlignment="1" applyProtection="1">
      <alignment horizontal="center" vertical="center"/>
    </xf>
    <xf numFmtId="164" fontId="0" fillId="12" borderId="0" xfId="0" applyFill="1" applyBorder="1"/>
    <xf numFmtId="166" fontId="6" fillId="11" borderId="0" xfId="4" applyNumberFormat="1" applyFont="1" applyFill="1" applyBorder="1" applyAlignment="1" applyProtection="1">
      <alignment horizontal="center" vertical="center"/>
    </xf>
    <xf numFmtId="164" fontId="0" fillId="12" borderId="0" xfId="0" applyFill="1" applyBorder="1" applyAlignment="1">
      <alignment horizontal="left"/>
    </xf>
    <xf numFmtId="164" fontId="23" fillId="12" borderId="0" xfId="0" applyFont="1" applyFill="1" applyBorder="1" applyAlignment="1" applyProtection="1">
      <alignment horizontal="left" vertical="center"/>
    </xf>
    <xf numFmtId="164" fontId="6" fillId="11" borderId="0" xfId="4" applyFont="1" applyFill="1" applyBorder="1" applyAlignment="1" applyProtection="1">
      <alignment horizontal="left" vertical="center" wrapText="1"/>
    </xf>
    <xf numFmtId="164" fontId="0" fillId="12" borderId="0" xfId="0" applyFill="1" applyBorder="1" applyProtection="1"/>
    <xf numFmtId="1" fontId="6" fillId="11" borderId="0" xfId="4" applyNumberFormat="1" applyFont="1" applyFill="1" applyBorder="1" applyAlignment="1" applyProtection="1">
      <alignment horizontal="left" vertical="center" wrapText="1"/>
    </xf>
    <xf numFmtId="164" fontId="0" fillId="12" borderId="0" xfId="0" applyFill="1" applyBorder="1" applyAlignment="1" applyProtection="1">
      <alignment horizontal="left"/>
    </xf>
    <xf numFmtId="167" fontId="6" fillId="11" borderId="0" xfId="4" applyNumberFormat="1" applyFont="1" applyFill="1" applyBorder="1" applyAlignment="1" applyProtection="1">
      <alignment horizontal="left" vertical="center"/>
    </xf>
    <xf numFmtId="0" fontId="27" fillId="12" borderId="0" xfId="1" applyFont="1" applyFill="1" applyBorder="1" applyAlignment="1" applyProtection="1">
      <alignment horizontal="left" vertical="center"/>
    </xf>
    <xf numFmtId="164" fontId="23" fillId="12" borderId="0" xfId="0" quotePrefix="1" applyFont="1" applyFill="1" applyBorder="1" applyAlignment="1" applyProtection="1">
      <alignment horizontal="left" vertical="center"/>
    </xf>
    <xf numFmtId="164" fontId="28" fillId="12" borderId="0" xfId="0" applyFont="1" applyFill="1" applyBorder="1" applyProtection="1"/>
    <xf numFmtId="164" fontId="0" fillId="12" borderId="0" xfId="0" applyFill="1" applyBorder="1" applyAlignment="1" applyProtection="1">
      <alignment horizontal="center" vertical="center"/>
    </xf>
    <xf numFmtId="1" fontId="5" fillId="13" borderId="0" xfId="4" applyNumberFormat="1" applyFont="1" applyFill="1" applyBorder="1" applyAlignment="1" applyProtection="1">
      <alignment horizontal="left" vertical="center"/>
    </xf>
    <xf numFmtId="167" fontId="6" fillId="11" borderId="0" xfId="4" applyNumberFormat="1" applyFont="1" applyFill="1" applyBorder="1" applyAlignment="1" applyProtection="1">
      <alignment horizontal="left" vertical="center" wrapText="1"/>
    </xf>
    <xf numFmtId="165" fontId="5" fillId="13" borderId="0" xfId="4" applyNumberFormat="1" applyFont="1" applyFill="1" applyBorder="1" applyAlignment="1" applyProtection="1">
      <alignment horizontal="left" vertical="center"/>
    </xf>
    <xf numFmtId="164" fontId="0" fillId="2" borderId="0" xfId="0" applyFill="1"/>
    <xf numFmtId="166" fontId="6" fillId="13" borderId="0" xfId="4" applyNumberFormat="1" applyFont="1" applyFill="1" applyBorder="1" applyAlignment="1" applyProtection="1">
      <alignment horizontal="center" vertical="center"/>
    </xf>
    <xf numFmtId="164" fontId="6" fillId="13" borderId="0" xfId="4" applyFont="1" applyFill="1" applyBorder="1" applyAlignment="1" applyProtection="1">
      <alignment horizontal="left" vertical="center" wrapText="1"/>
    </xf>
    <xf numFmtId="164" fontId="6" fillId="11" borderId="0" xfId="4" applyFont="1" applyFill="1" applyBorder="1" applyAlignment="1" applyProtection="1">
      <alignment horizontal="left" vertical="center"/>
    </xf>
    <xf numFmtId="164" fontId="6" fillId="13" borderId="0" xfId="4" applyFont="1" applyFill="1" applyBorder="1" applyAlignment="1" applyProtection="1">
      <alignment horizontal="center" vertical="center" wrapText="1"/>
    </xf>
    <xf numFmtId="166" fontId="23" fillId="12" borderId="0" xfId="0" applyNumberFormat="1" applyFont="1" applyFill="1" applyBorder="1" applyAlignment="1" applyProtection="1">
      <alignment horizontal="center" vertical="center"/>
    </xf>
    <xf numFmtId="164" fontId="36" fillId="2" borderId="0" xfId="0" applyFont="1" applyFill="1" applyBorder="1" applyProtection="1"/>
    <xf numFmtId="164" fontId="36" fillId="2" borderId="0" xfId="0" applyFont="1" applyFill="1" applyBorder="1" applyAlignment="1" applyProtection="1"/>
    <xf numFmtId="164" fontId="36" fillId="2" borderId="0" xfId="0" applyFont="1" applyFill="1" applyBorder="1" applyAlignment="1" applyProtection="1">
      <alignment horizontal="right"/>
    </xf>
    <xf numFmtId="0" fontId="38" fillId="17" borderId="0" xfId="0" applyNumberFormat="1" applyFont="1" applyFill="1" applyBorder="1" applyAlignment="1" applyProtection="1">
      <alignment horizontal="left" wrapText="1"/>
    </xf>
    <xf numFmtId="169" fontId="31" fillId="7" borderId="0" xfId="0" applyNumberFormat="1" applyFont="1" applyFill="1" applyBorder="1" applyAlignment="1" applyProtection="1">
      <alignment horizontal="center"/>
    </xf>
    <xf numFmtId="0" fontId="31" fillId="17" borderId="0" xfId="0" applyNumberFormat="1" applyFont="1" applyFill="1" applyBorder="1" applyAlignment="1" applyProtection="1">
      <alignment horizontal="left" wrapText="1"/>
    </xf>
    <xf numFmtId="164" fontId="43" fillId="0" borderId="0" xfId="0" applyFont="1" applyFill="1" applyBorder="1" applyAlignment="1" applyProtection="1">
      <alignment horizontal="right"/>
    </xf>
    <xf numFmtId="164" fontId="35" fillId="0" borderId="0" xfId="0" applyFont="1" applyFill="1" applyBorder="1" applyAlignment="1" applyProtection="1"/>
    <xf numFmtId="164" fontId="36" fillId="0" borderId="0" xfId="0" applyFont="1" applyFill="1" applyBorder="1" applyAlignment="1" applyProtection="1">
      <alignment horizontal="right"/>
    </xf>
    <xf numFmtId="164" fontId="36" fillId="0" borderId="0" xfId="0" applyFont="1" applyFill="1" applyBorder="1" applyAlignment="1" applyProtection="1"/>
    <xf numFmtId="0" fontId="45" fillId="2" borderId="0" xfId="0" applyNumberFormat="1" applyFont="1" applyFill="1" applyBorder="1" applyAlignment="1" applyProtection="1"/>
    <xf numFmtId="0" fontId="45" fillId="2" borderId="0" xfId="0" applyNumberFormat="1" applyFont="1" applyFill="1" applyBorder="1" applyAlignment="1" applyProtection="1">
      <alignment horizontal="right"/>
    </xf>
    <xf numFmtId="0" fontId="35" fillId="2" borderId="0" xfId="1" applyNumberFormat="1" applyFont="1" applyFill="1" applyBorder="1" applyAlignment="1" applyProtection="1">
      <alignment horizontal="center" vertical="center" wrapText="1"/>
    </xf>
    <xf numFmtId="0" fontId="35" fillId="2" borderId="0" xfId="1" applyNumberFormat="1" applyFont="1" applyFill="1" applyBorder="1" applyAlignment="1" applyProtection="1">
      <alignment wrapText="1"/>
    </xf>
    <xf numFmtId="0" fontId="35" fillId="2" borderId="0" xfId="1" applyNumberFormat="1" applyFont="1" applyFill="1" applyBorder="1" applyAlignment="1" applyProtection="1">
      <alignment horizontal="right" wrapText="1"/>
    </xf>
    <xf numFmtId="164" fontId="36" fillId="0" borderId="0" xfId="0" applyFont="1" applyBorder="1" applyAlignment="1" applyProtection="1"/>
    <xf numFmtId="0" fontId="35" fillId="0" borderId="0" xfId="0" applyNumberFormat="1" applyFont="1" applyFill="1" applyBorder="1" applyAlignment="1" applyProtection="1">
      <alignment horizontal="left" wrapText="1"/>
    </xf>
    <xf numFmtId="164" fontId="36" fillId="9" borderId="0" xfId="0" applyFont="1" applyFill="1" applyBorder="1" applyAlignment="1" applyProtection="1"/>
    <xf numFmtId="164" fontId="36" fillId="9" borderId="0" xfId="0" applyFont="1" applyFill="1" applyBorder="1" applyAlignment="1" applyProtection="1">
      <alignment horizontal="right"/>
    </xf>
    <xf numFmtId="0" fontId="46" fillId="2" borderId="0" xfId="0" applyNumberFormat="1" applyFont="1" applyFill="1" applyBorder="1" applyAlignment="1" applyProtection="1">
      <alignment horizontal="left" wrapText="1"/>
    </xf>
    <xf numFmtId="0" fontId="47" fillId="0" borderId="0" xfId="0" applyNumberFormat="1" applyFont="1" applyBorder="1" applyAlignment="1" applyProtection="1">
      <alignment horizontal="center" vertical="center" wrapText="1"/>
    </xf>
    <xf numFmtId="0" fontId="47" fillId="0" borderId="0" xfId="0" applyNumberFormat="1" applyFont="1" applyBorder="1" applyAlignment="1" applyProtection="1">
      <alignment horizontal="left" wrapText="1"/>
    </xf>
    <xf numFmtId="1" fontId="48" fillId="0" borderId="0" xfId="0" applyNumberFormat="1" applyFont="1" applyBorder="1" applyAlignment="1" applyProtection="1">
      <alignment horizontal="right" wrapText="1"/>
    </xf>
    <xf numFmtId="0" fontId="32" fillId="7" borderId="0" xfId="0" applyNumberFormat="1" applyFont="1" applyFill="1" applyBorder="1" applyAlignment="1" applyProtection="1">
      <alignment horizontal="left"/>
    </xf>
    <xf numFmtId="0" fontId="50" fillId="17" borderId="0" xfId="0" applyNumberFormat="1" applyFont="1" applyFill="1" applyBorder="1" applyAlignment="1" applyProtection="1">
      <alignment horizontal="left" vertical="center" wrapText="1"/>
    </xf>
    <xf numFmtId="164" fontId="36" fillId="9" borderId="0" xfId="0" applyFont="1" applyFill="1" applyBorder="1" applyProtection="1"/>
    <xf numFmtId="166" fontId="16" fillId="14" borderId="0" xfId="4" applyNumberFormat="1" applyFont="1" applyFill="1" applyBorder="1" applyAlignment="1">
      <alignment horizontal="left"/>
    </xf>
    <xf numFmtId="164" fontId="0" fillId="12" borderId="0" xfId="0" applyFill="1" applyBorder="1" applyAlignment="1">
      <alignment horizontal="right"/>
    </xf>
    <xf numFmtId="166" fontId="16" fillId="26" borderId="0" xfId="4" applyNumberFormat="1" applyFont="1" applyFill="1" applyBorder="1" applyAlignment="1">
      <alignment horizontal="left"/>
    </xf>
    <xf numFmtId="164" fontId="10" fillId="7" borderId="6" xfId="0" applyFont="1" applyFill="1" applyBorder="1" applyAlignment="1"/>
    <xf numFmtId="1" fontId="16" fillId="19" borderId="0" xfId="4" applyNumberFormat="1" applyFont="1" applyFill="1" applyBorder="1" applyAlignment="1">
      <alignment horizontal="left"/>
    </xf>
    <xf numFmtId="1" fontId="7" fillId="8" borderId="0" xfId="0" applyNumberFormat="1" applyFont="1" applyFill="1" applyAlignment="1">
      <alignment horizontal="center"/>
    </xf>
    <xf numFmtId="0" fontId="40" fillId="7" borderId="0" xfId="0" applyNumberFormat="1" applyFont="1" applyFill="1" applyBorder="1" applyAlignment="1" applyProtection="1">
      <alignment horizontal="left" vertical="center" wrapText="1" indent="1"/>
    </xf>
    <xf numFmtId="0" fontId="40" fillId="7" borderId="0" xfId="0" applyNumberFormat="1" applyFont="1" applyFill="1" applyBorder="1" applyAlignment="1" applyProtection="1">
      <alignment horizontal="center" vertical="center" wrapText="1"/>
    </xf>
    <xf numFmtId="0" fontId="41" fillId="17" borderId="0" xfId="0" applyNumberFormat="1" applyFont="1" applyFill="1" applyBorder="1" applyAlignment="1" applyProtection="1">
      <alignment horizontal="center"/>
    </xf>
    <xf numFmtId="164" fontId="40" fillId="7" borderId="0" xfId="0" applyNumberFormat="1" applyFont="1" applyFill="1" applyBorder="1" applyAlignment="1" applyProtection="1">
      <alignment horizontal="left" vertical="center" wrapText="1" indent="3"/>
    </xf>
    <xf numFmtId="0" fontId="35" fillId="2" borderId="0" xfId="1" applyNumberFormat="1" applyFont="1" applyFill="1" applyBorder="1" applyAlignment="1" applyProtection="1">
      <alignment vertical="center" wrapText="1"/>
    </xf>
    <xf numFmtId="164" fontId="40" fillId="7" borderId="0" xfId="0" applyNumberFormat="1" applyFont="1" applyFill="1" applyBorder="1" applyAlignment="1" applyProtection="1">
      <alignment horizontal="left" wrapText="1"/>
    </xf>
    <xf numFmtId="164" fontId="40" fillId="7" borderId="0" xfId="0" applyNumberFormat="1" applyFont="1" applyFill="1" applyBorder="1" applyAlignment="1" applyProtection="1">
      <alignment horizontal="right" wrapText="1"/>
    </xf>
    <xf numFmtId="0" fontId="46" fillId="2" borderId="0" xfId="0" applyNumberFormat="1" applyFont="1" applyFill="1" applyBorder="1" applyAlignment="1" applyProtection="1">
      <alignment horizontal="left" vertical="center" wrapText="1"/>
    </xf>
    <xf numFmtId="0" fontId="46" fillId="2" borderId="0" xfId="0" applyNumberFormat="1" applyFont="1" applyFill="1" applyBorder="1" applyAlignment="1" applyProtection="1">
      <alignment horizontal="center" vertical="center" wrapText="1"/>
    </xf>
    <xf numFmtId="166" fontId="46" fillId="2" borderId="0" xfId="0" applyNumberFormat="1" applyFont="1" applyFill="1" applyBorder="1" applyAlignment="1" applyProtection="1"/>
    <xf numFmtId="166" fontId="46" fillId="5" borderId="0" xfId="0" applyNumberFormat="1" applyFont="1" applyFill="1" applyBorder="1" applyAlignment="1" applyProtection="1">
      <alignment horizontal="right"/>
    </xf>
    <xf numFmtId="0" fontId="45" fillId="9" borderId="0" xfId="0" applyNumberFormat="1" applyFont="1" applyFill="1" applyBorder="1" applyAlignment="1" applyProtection="1">
      <alignment wrapText="1"/>
    </xf>
    <xf numFmtId="1" fontId="44" fillId="7" borderId="0" xfId="0" applyNumberFormat="1" applyFont="1" applyFill="1" applyBorder="1" applyAlignment="1" applyProtection="1">
      <alignment horizontal="right" wrapText="1"/>
    </xf>
    <xf numFmtId="166" fontId="40" fillId="17" borderId="0" xfId="0" applyNumberFormat="1" applyFont="1" applyFill="1" applyBorder="1" applyAlignment="1" applyProtection="1">
      <alignment horizontal="right"/>
    </xf>
    <xf numFmtId="166" fontId="48" fillId="0" borderId="0" xfId="0" applyNumberFormat="1" applyFont="1" applyBorder="1" applyAlignment="1" applyProtection="1"/>
    <xf numFmtId="166" fontId="46" fillId="20" borderId="0" xfId="0" applyNumberFormat="1" applyFont="1" applyFill="1" applyBorder="1" applyAlignment="1" applyProtection="1">
      <alignment horizontal="right"/>
    </xf>
    <xf numFmtId="0" fontId="49" fillId="17" borderId="0" xfId="0" applyNumberFormat="1" applyFont="1" applyFill="1" applyBorder="1" applyAlignment="1" applyProtection="1">
      <alignment horizontal="center"/>
    </xf>
    <xf numFmtId="1" fontId="16" fillId="27" borderId="0" xfId="4" applyNumberFormat="1" applyFont="1" applyFill="1" applyBorder="1" applyAlignment="1">
      <alignment horizontal="left"/>
    </xf>
    <xf numFmtId="164" fontId="0" fillId="0" borderId="0" xfId="0" applyAlignment="1">
      <alignment horizontal="left" vertical="top" wrapText="1"/>
    </xf>
    <xf numFmtId="164" fontId="25" fillId="0" borderId="0" xfId="0" applyFont="1" applyFill="1" applyBorder="1"/>
    <xf numFmtId="164" fontId="22" fillId="7" borderId="0" xfId="0" applyFont="1" applyFill="1"/>
    <xf numFmtId="0" fontId="33" fillId="0" borderId="0" xfId="0" applyNumberFormat="1" applyFont="1" applyFill="1" applyBorder="1" applyAlignment="1" applyProtection="1">
      <alignment horizontal="left" wrapText="1"/>
    </xf>
    <xf numFmtId="164" fontId="37" fillId="0" borderId="0" xfId="0" applyFont="1" applyBorder="1" applyAlignment="1"/>
    <xf numFmtId="164" fontId="52" fillId="0" borderId="0" xfId="0" applyFont="1" applyFill="1" applyBorder="1" applyAlignment="1" applyProtection="1">
      <alignment horizontal="right"/>
    </xf>
    <xf numFmtId="164" fontId="53" fillId="0" borderId="0" xfId="0" applyFont="1" applyFill="1" applyBorder="1" applyAlignment="1" applyProtection="1"/>
    <xf numFmtId="164" fontId="37" fillId="0" borderId="0" xfId="0" applyFont="1" applyFill="1" applyBorder="1" applyAlignment="1" applyProtection="1"/>
    <xf numFmtId="0" fontId="33" fillId="0" borderId="0" xfId="0" applyNumberFormat="1" applyFont="1" applyFill="1" applyBorder="1" applyAlignment="1" applyProtection="1">
      <alignment horizontal="center" vertical="center" wrapText="1"/>
    </xf>
    <xf numFmtId="0" fontId="54" fillId="2" borderId="0" xfId="0" applyNumberFormat="1" applyFont="1" applyFill="1" applyBorder="1" applyProtection="1"/>
    <xf numFmtId="168" fontId="51" fillId="7" borderId="0" xfId="0" applyNumberFormat="1" applyFont="1" applyFill="1" applyBorder="1" applyAlignment="1" applyProtection="1">
      <alignment horizontal="right" wrapText="1"/>
    </xf>
    <xf numFmtId="164" fontId="23" fillId="2" borderId="0" xfId="0" applyFont="1" applyFill="1" applyBorder="1" applyAlignment="1">
      <alignment horizontal="center"/>
    </xf>
    <xf numFmtId="164" fontId="23" fillId="2" borderId="7" xfId="0" applyFont="1" applyFill="1" applyBorder="1" applyAlignment="1">
      <alignment horizontal="center"/>
    </xf>
    <xf numFmtId="164" fontId="0" fillId="2" borderId="0" xfId="0" applyFill="1" applyAlignment="1">
      <alignment horizontal="center"/>
    </xf>
    <xf numFmtId="164" fontId="0" fillId="2" borderId="0" xfId="0" applyFill="1" applyBorder="1"/>
    <xf numFmtId="164" fontId="22" fillId="2" borderId="7" xfId="0" applyFont="1" applyFill="1" applyBorder="1" applyAlignment="1">
      <alignment horizontal="center"/>
    </xf>
    <xf numFmtId="164" fontId="0" fillId="2" borderId="0" xfId="0" quotePrefix="1" applyFill="1"/>
    <xf numFmtId="164" fontId="3" fillId="2" borderId="7" xfId="0" applyFont="1" applyFill="1" applyBorder="1" applyAlignment="1">
      <alignment horizontal="center"/>
    </xf>
    <xf numFmtId="164" fontId="0" fillId="2" borderId="0" xfId="0" quotePrefix="1" applyFill="1" applyAlignment="1">
      <alignment horizontal="center"/>
    </xf>
    <xf numFmtId="164" fontId="0" fillId="2" borderId="0" xfId="0" quotePrefix="1" applyFill="1" applyBorder="1"/>
    <xf numFmtId="168" fontId="20" fillId="28" borderId="3" xfId="0" applyNumberFormat="1" applyFont="1" applyFill="1" applyBorder="1" applyAlignment="1" applyProtection="1">
      <alignment horizontal="center" vertical="center"/>
    </xf>
    <xf numFmtId="164" fontId="0" fillId="2" borderId="7" xfId="0" applyFill="1" applyBorder="1" applyAlignment="1">
      <alignment horizontal="center"/>
    </xf>
    <xf numFmtId="164" fontId="26" fillId="2" borderId="7" xfId="0" applyFont="1" applyFill="1" applyBorder="1" applyAlignment="1">
      <alignment horizontal="center"/>
    </xf>
    <xf numFmtId="164" fontId="56" fillId="7" borderId="0" xfId="0" applyFont="1" applyFill="1" applyAlignment="1">
      <alignment vertical="center"/>
    </xf>
    <xf numFmtId="164" fontId="56" fillId="7" borderId="0" xfId="0" applyFont="1" applyFill="1" applyAlignment="1">
      <alignment horizontal="left" vertical="center" indent="1"/>
    </xf>
    <xf numFmtId="164" fontId="56" fillId="24" borderId="7" xfId="0" applyFont="1" applyFill="1" applyBorder="1" applyAlignment="1">
      <alignment horizontal="center"/>
    </xf>
    <xf numFmtId="164" fontId="29" fillId="9" borderId="0" xfId="0" applyFont="1" applyFill="1" applyBorder="1"/>
    <xf numFmtId="167" fontId="21" fillId="0" borderId="0" xfId="0" applyNumberFormat="1" applyFont="1"/>
    <xf numFmtId="167" fontId="6" fillId="13" borderId="0" xfId="4" applyNumberFormat="1" applyFont="1" applyFill="1" applyBorder="1" applyAlignment="1" applyProtection="1">
      <alignment horizontal="left" vertical="center"/>
    </xf>
    <xf numFmtId="1" fontId="30" fillId="13" borderId="0" xfId="4" applyNumberFormat="1" applyFont="1" applyFill="1" applyBorder="1" applyAlignment="1" applyProtection="1">
      <alignment horizontal="center" vertical="center" wrapText="1"/>
    </xf>
    <xf numFmtId="1" fontId="0" fillId="12" borderId="0" xfId="0" applyNumberFormat="1" applyFill="1" applyBorder="1" applyAlignment="1" applyProtection="1">
      <alignment horizontal="left"/>
    </xf>
    <xf numFmtId="1" fontId="6" fillId="13" borderId="0" xfId="4" applyNumberFormat="1" applyFont="1" applyFill="1" applyBorder="1" applyAlignment="1" applyProtection="1">
      <alignment horizontal="left" vertical="center"/>
    </xf>
    <xf numFmtId="164" fontId="0" fillId="2" borderId="0" xfId="0" applyFont="1" applyFill="1" applyBorder="1" applyAlignment="1">
      <alignment horizontal="left" wrapText="1"/>
    </xf>
    <xf numFmtId="164" fontId="0" fillId="2" borderId="0" xfId="0" applyFill="1" applyBorder="1" applyAlignment="1">
      <alignment horizontal="left"/>
    </xf>
    <xf numFmtId="164" fontId="0" fillId="8" borderId="0" xfId="0" applyFill="1"/>
    <xf numFmtId="164" fontId="0" fillId="8" borderId="0" xfId="0" applyFill="1" applyAlignment="1"/>
    <xf numFmtId="164" fontId="0" fillId="8" borderId="0" xfId="0" applyFill="1" applyAlignment="1">
      <alignment horizontal="right"/>
    </xf>
    <xf numFmtId="164" fontId="0" fillId="2" borderId="0" xfId="0" applyFill="1" applyAlignment="1">
      <alignment horizontal="left" indent="2"/>
    </xf>
    <xf numFmtId="0" fontId="38" fillId="17" borderId="0" xfId="0" applyNumberFormat="1" applyFont="1" applyFill="1" applyBorder="1" applyAlignment="1" applyProtection="1">
      <alignment horizontal="left" vertical="center" wrapText="1"/>
    </xf>
    <xf numFmtId="0" fontId="45" fillId="2" borderId="0" xfId="0" applyNumberFormat="1" applyFont="1" applyFill="1" applyBorder="1" applyAlignment="1" applyProtection="1">
      <alignment horizontal="center" vertical="center"/>
    </xf>
    <xf numFmtId="0" fontId="31" fillId="17" borderId="0" xfId="0" applyNumberFormat="1" applyFont="1" applyFill="1" applyBorder="1" applyAlignment="1" applyProtection="1">
      <alignment horizontal="left" vertical="center" wrapText="1"/>
    </xf>
    <xf numFmtId="164" fontId="0" fillId="0" borderId="0" xfId="0" applyAlignment="1">
      <alignment horizontal="center" vertical="center"/>
    </xf>
    <xf numFmtId="164" fontId="0" fillId="0" borderId="0" xfId="0" applyAlignment="1">
      <alignment vertical="center"/>
    </xf>
    <xf numFmtId="0" fontId="32" fillId="7" borderId="0" xfId="0" applyNumberFormat="1" applyFont="1" applyFill="1" applyBorder="1" applyAlignment="1" applyProtection="1">
      <alignment horizontal="left" vertical="center"/>
    </xf>
    <xf numFmtId="166" fontId="40" fillId="7" borderId="0" xfId="0" applyNumberFormat="1" applyFont="1" applyFill="1" applyBorder="1" applyAlignment="1" applyProtection="1"/>
    <xf numFmtId="164" fontId="59" fillId="2" borderId="0" xfId="0" applyFont="1" applyFill="1"/>
    <xf numFmtId="164" fontId="0" fillId="2" borderId="12" xfId="0" applyFill="1" applyBorder="1" applyAlignment="1">
      <alignment horizontal="center" vertical="center" wrapText="1"/>
    </xf>
    <xf numFmtId="164" fontId="64" fillId="2" borderId="0" xfId="0" applyFont="1" applyFill="1"/>
    <xf numFmtId="164" fontId="0" fillId="2" borderId="0" xfId="0" applyFill="1" applyAlignment="1">
      <alignment horizontal="center" vertical="top" wrapText="1"/>
    </xf>
    <xf numFmtId="164" fontId="65" fillId="2" borderId="12" xfId="0" applyFont="1" applyFill="1" applyBorder="1" applyAlignment="1">
      <alignment horizontal="center" vertical="center" wrapText="1"/>
    </xf>
    <xf numFmtId="164" fontId="0" fillId="2" borderId="0" xfId="0" applyFont="1" applyFill="1" applyBorder="1" applyAlignment="1">
      <alignment horizontal="left" vertical="center" wrapText="1"/>
    </xf>
    <xf numFmtId="164" fontId="5" fillId="11" borderId="0" xfId="4" applyFont="1" applyFill="1" applyBorder="1" applyAlignment="1" applyProtection="1">
      <alignment horizontal="left" vertical="center"/>
    </xf>
    <xf numFmtId="0" fontId="33" fillId="2" borderId="0" xfId="0" applyNumberFormat="1" applyFont="1" applyFill="1" applyBorder="1" applyAlignment="1" applyProtection="1">
      <alignment horizontal="center" vertical="center" wrapText="1"/>
    </xf>
    <xf numFmtId="0" fontId="35" fillId="0" borderId="0" xfId="0" applyNumberFormat="1" applyFont="1" applyBorder="1" applyAlignment="1" applyProtection="1">
      <alignment horizontal="left" wrapText="1"/>
    </xf>
    <xf numFmtId="164" fontId="35" fillId="2" borderId="0" xfId="0" applyFont="1" applyFill="1" applyBorder="1" applyAlignment="1" applyProtection="1"/>
    <xf numFmtId="166" fontId="40" fillId="7" borderId="0" xfId="0" applyNumberFormat="1" applyFont="1" applyFill="1" applyBorder="1" applyAlignment="1" applyProtection="1">
      <protection locked="0"/>
    </xf>
    <xf numFmtId="0" fontId="33" fillId="2" borderId="3" xfId="0" applyNumberFormat="1" applyFont="1" applyFill="1" applyBorder="1" applyAlignment="1" applyProtection="1">
      <alignment horizontal="center" vertical="center" wrapText="1"/>
      <protection locked="0"/>
    </xf>
    <xf numFmtId="0" fontId="66" fillId="2" borderId="3" xfId="0" applyNumberFormat="1" applyFont="1" applyFill="1" applyBorder="1" applyAlignment="1" applyProtection="1">
      <alignment horizontal="center" vertical="center" wrapText="1"/>
      <protection locked="0"/>
    </xf>
    <xf numFmtId="0" fontId="67" fillId="0" borderId="0" xfId="0" applyNumberFormat="1" applyFont="1" applyFill="1" applyBorder="1" applyAlignment="1" applyProtection="1">
      <alignment horizontal="left" wrapText="1"/>
    </xf>
    <xf numFmtId="166" fontId="66" fillId="5" borderId="2" xfId="0" applyNumberFormat="1" applyFont="1" applyFill="1" applyBorder="1" applyAlignment="1" applyProtection="1">
      <alignment horizontal="right"/>
      <protection locked="0"/>
    </xf>
    <xf numFmtId="164" fontId="68" fillId="0" borderId="0" xfId="0" applyFont="1" applyBorder="1"/>
    <xf numFmtId="164" fontId="69" fillId="0" borderId="0" xfId="0" applyFont="1" applyFill="1" applyBorder="1" applyAlignment="1" applyProtection="1"/>
    <xf numFmtId="164" fontId="68" fillId="0" borderId="0" xfId="0" applyFont="1" applyFill="1" applyBorder="1" applyAlignment="1" applyProtection="1"/>
    <xf numFmtId="0" fontId="70" fillId="2" borderId="3"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left" wrapText="1"/>
    </xf>
    <xf numFmtId="164" fontId="70" fillId="0" borderId="0" xfId="0" applyFont="1" applyFill="1" applyBorder="1" applyAlignment="1" applyProtection="1"/>
    <xf numFmtId="0" fontId="70" fillId="2" borderId="14" xfId="0" applyNumberFormat="1" applyFont="1" applyFill="1" applyBorder="1" applyAlignment="1" applyProtection="1">
      <alignment horizontal="center" vertical="center" wrapText="1"/>
    </xf>
    <xf numFmtId="166" fontId="40" fillId="7" borderId="0" xfId="0" applyNumberFormat="1" applyFont="1" applyFill="1" applyBorder="1" applyAlignment="1" applyProtection="1">
      <alignment horizontal="right" vertical="center"/>
    </xf>
    <xf numFmtId="0" fontId="67" fillId="0" borderId="0" xfId="0" applyNumberFormat="1" applyFont="1" applyBorder="1" applyAlignment="1" applyProtection="1">
      <alignment horizontal="left" wrapText="1"/>
    </xf>
    <xf numFmtId="0" fontId="70" fillId="2" borderId="2" xfId="0" applyNumberFormat="1" applyFont="1" applyFill="1" applyBorder="1" applyAlignment="1" applyProtection="1">
      <alignment horizontal="center" vertical="center" wrapText="1"/>
      <protection locked="0"/>
    </xf>
    <xf numFmtId="166" fontId="40" fillId="17" borderId="0" xfId="0" applyNumberFormat="1" applyFont="1" applyFill="1" applyBorder="1" applyAlignment="1" applyProtection="1">
      <alignment horizontal="right"/>
      <protection locked="0"/>
    </xf>
    <xf numFmtId="164" fontId="21" fillId="12" borderId="0" xfId="0" applyFont="1" applyFill="1" applyBorder="1"/>
    <xf numFmtId="0" fontId="73" fillId="2" borderId="0" xfId="0" applyNumberFormat="1" applyFont="1" applyFill="1" applyBorder="1" applyAlignment="1" applyProtection="1">
      <alignment horizontal="left" vertical="center" wrapText="1" indent="1"/>
    </xf>
    <xf numFmtId="164" fontId="73" fillId="2" borderId="0" xfId="0" applyNumberFormat="1" applyFont="1" applyFill="1" applyBorder="1" applyAlignment="1" applyProtection="1">
      <alignment horizontal="left" vertical="center" wrapText="1" indent="2"/>
    </xf>
    <xf numFmtId="164" fontId="73" fillId="2" borderId="0" xfId="0" applyNumberFormat="1" applyFont="1" applyFill="1" applyBorder="1" applyAlignment="1" applyProtection="1">
      <alignment horizontal="left" vertical="top" wrapText="1"/>
    </xf>
    <xf numFmtId="164" fontId="73" fillId="0" borderId="0" xfId="0" applyNumberFormat="1" applyFont="1" applyBorder="1" applyAlignment="1" applyProtection="1">
      <alignment horizontal="left" vertical="center" wrapText="1" indent="3"/>
    </xf>
    <xf numFmtId="164" fontId="73" fillId="0" borderId="0" xfId="0" applyNumberFormat="1" applyFont="1" applyBorder="1" applyAlignment="1" applyProtection="1">
      <alignment horizontal="left" vertical="center" wrapText="1" indent="4"/>
    </xf>
    <xf numFmtId="164" fontId="73" fillId="2" borderId="0" xfId="0" applyNumberFormat="1" applyFont="1" applyFill="1" applyBorder="1" applyAlignment="1" applyProtection="1">
      <alignment horizontal="left" vertical="center" wrapText="1"/>
    </xf>
    <xf numFmtId="0" fontId="74" fillId="0" borderId="0" xfId="0" applyNumberFormat="1" applyFont="1" applyBorder="1" applyAlignment="1" applyProtection="1">
      <alignment horizontal="left" vertical="center" wrapText="1"/>
    </xf>
    <xf numFmtId="164" fontId="75" fillId="8" borderId="15" xfId="0" applyFont="1" applyFill="1" applyBorder="1" applyProtection="1">
      <protection locked="0"/>
    </xf>
    <xf numFmtId="164" fontId="34" fillId="2" borderId="0" xfId="0" applyFont="1" applyFill="1"/>
    <xf numFmtId="164" fontId="42" fillId="2" borderId="0" xfId="0" applyFont="1" applyFill="1" applyAlignment="1">
      <alignment horizontal="center" vertical="center"/>
    </xf>
    <xf numFmtId="164" fontId="78" fillId="11" borderId="0" xfId="4" applyFont="1" applyFill="1" applyBorder="1" applyAlignment="1" applyProtection="1">
      <alignment horizontal="left" vertical="center"/>
    </xf>
    <xf numFmtId="164" fontId="79" fillId="11" borderId="0" xfId="4" applyFont="1" applyFill="1" applyBorder="1" applyAlignment="1" applyProtection="1">
      <alignment horizontal="left" vertical="center"/>
    </xf>
    <xf numFmtId="0" fontId="77" fillId="9" borderId="0" xfId="0" applyNumberFormat="1" applyFont="1" applyFill="1" applyBorder="1" applyAlignment="1" applyProtection="1">
      <alignment horizontal="left" vertical="center"/>
    </xf>
    <xf numFmtId="0" fontId="73" fillId="0" borderId="0" xfId="0" applyNumberFormat="1" applyFont="1" applyBorder="1" applyAlignment="1" applyProtection="1">
      <alignment horizontal="left" vertical="center" wrapText="1"/>
    </xf>
    <xf numFmtId="167" fontId="78" fillId="13" borderId="0" xfId="4" applyNumberFormat="1" applyFont="1" applyFill="1" applyBorder="1" applyAlignment="1" applyProtection="1">
      <alignment horizontal="left" vertical="center"/>
    </xf>
    <xf numFmtId="0" fontId="3" fillId="2" borderId="0" xfId="0" applyNumberFormat="1" applyFont="1" applyFill="1" applyBorder="1" applyAlignment="1" applyProtection="1">
      <alignment horizontal="right" vertical="center" wrapText="1"/>
    </xf>
    <xf numFmtId="0" fontId="73" fillId="0" borderId="0" xfId="0" applyNumberFormat="1" applyFont="1" applyBorder="1" applyAlignment="1" applyProtection="1">
      <alignment horizontal="left" vertical="center" wrapText="1" indent="1"/>
    </xf>
    <xf numFmtId="164" fontId="73" fillId="0" borderId="0" xfId="0" applyNumberFormat="1" applyFont="1" applyBorder="1" applyAlignment="1" applyProtection="1">
      <alignment horizontal="left" vertical="center" wrapText="1" indent="1"/>
    </xf>
    <xf numFmtId="164" fontId="73" fillId="0" borderId="0" xfId="0" applyNumberFormat="1" applyFont="1" applyBorder="1" applyAlignment="1" applyProtection="1">
      <alignment horizontal="left" vertical="center" wrapText="1"/>
    </xf>
    <xf numFmtId="164" fontId="80" fillId="0" borderId="0" xfId="0" applyNumberFormat="1" applyFont="1" applyBorder="1" applyAlignment="1" applyProtection="1">
      <alignment horizontal="center" vertical="center" wrapText="1"/>
    </xf>
    <xf numFmtId="164" fontId="0" fillId="2" borderId="18" xfId="0" applyFill="1" applyBorder="1" applyAlignment="1">
      <alignment horizontal="center" vertical="center" wrapText="1"/>
    </xf>
    <xf numFmtId="164" fontId="0" fillId="2" borderId="20" xfId="0" applyFill="1" applyBorder="1" applyAlignment="1">
      <alignment horizontal="center" vertical="center" wrapText="1"/>
    </xf>
    <xf numFmtId="164" fontId="61" fillId="31" borderId="17" xfId="0" applyFont="1" applyFill="1" applyBorder="1" applyAlignment="1">
      <alignment horizontal="center" wrapText="1"/>
    </xf>
    <xf numFmtId="0" fontId="57" fillId="2" borderId="12" xfId="1" applyFont="1" applyFill="1" applyBorder="1" applyAlignment="1" applyProtection="1">
      <alignment horizontal="center" vertical="center" wrapText="1"/>
    </xf>
    <xf numFmtId="164" fontId="65" fillId="2" borderId="0" xfId="0" applyFont="1" applyFill="1" applyBorder="1" applyAlignment="1">
      <alignment vertical="top" wrapText="1"/>
    </xf>
    <xf numFmtId="164" fontId="60" fillId="2" borderId="0" xfId="0" applyFont="1" applyFill="1" applyAlignment="1">
      <alignment horizontal="center" vertical="top"/>
    </xf>
    <xf numFmtId="164" fontId="0" fillId="2" borderId="0" xfId="0" applyFont="1" applyFill="1" applyAlignment="1">
      <alignment horizontal="center" vertical="top" wrapText="1"/>
    </xf>
    <xf numFmtId="164" fontId="62" fillId="2" borderId="0" xfId="0" applyFont="1" applyFill="1" applyAlignment="1">
      <alignment horizontal="center"/>
    </xf>
    <xf numFmtId="164" fontId="0" fillId="2" borderId="0" xfId="0" applyFont="1" applyFill="1" applyAlignment="1">
      <alignment horizontal="center" vertical="center"/>
    </xf>
    <xf numFmtId="164" fontId="0" fillId="2" borderId="0" xfId="0" applyFont="1" applyFill="1"/>
    <xf numFmtId="164" fontId="62" fillId="2" borderId="0" xfId="0" applyFont="1" applyFill="1" applyAlignment="1">
      <alignment horizontal="center" vertical="center"/>
    </xf>
    <xf numFmtId="164" fontId="0" fillId="2" borderId="0" xfId="0" applyFont="1" applyFill="1" applyBorder="1" applyAlignment="1">
      <alignment horizontal="center" vertical="center"/>
    </xf>
    <xf numFmtId="164" fontId="0" fillId="2" borderId="0" xfId="0" applyFill="1" applyAlignment="1">
      <alignment horizontal="center" vertical="center"/>
    </xf>
    <xf numFmtId="164" fontId="82" fillId="2" borderId="0" xfId="0" applyFont="1" applyFill="1" applyAlignment="1">
      <alignment horizontal="center" vertical="center" wrapText="1"/>
    </xf>
    <xf numFmtId="164" fontId="82" fillId="2" borderId="0" xfId="0" applyFont="1" applyFill="1" applyAlignment="1">
      <alignment horizontal="center" vertical="center"/>
    </xf>
    <xf numFmtId="164" fontId="84" fillId="2" borderId="0" xfId="0" applyFont="1" applyFill="1"/>
    <xf numFmtId="164" fontId="85" fillId="2" borderId="0" xfId="0" applyFont="1" applyFill="1" applyAlignment="1">
      <alignment horizontal="center" vertical="top"/>
    </xf>
    <xf numFmtId="164" fontId="85" fillId="2" borderId="0" xfId="0" applyFont="1" applyFill="1"/>
    <xf numFmtId="164" fontId="85" fillId="0" borderId="0" xfId="0" applyFont="1" applyAlignment="1">
      <alignment horizontal="center" vertical="top"/>
    </xf>
    <xf numFmtId="164" fontId="85" fillId="0" borderId="0" xfId="0" applyFont="1" applyAlignment="1">
      <alignment horizontal="center" vertical="top" wrapText="1"/>
    </xf>
    <xf numFmtId="164" fontId="85" fillId="2" borderId="0" xfId="0" applyFont="1" applyFill="1" applyAlignment="1">
      <alignment horizontal="center" vertical="top" wrapText="1"/>
    </xf>
    <xf numFmtId="164" fontId="86" fillId="2" borderId="0" xfId="0" applyFont="1" applyFill="1"/>
    <xf numFmtId="164" fontId="0" fillId="2" borderId="0" xfId="0" applyFill="1" applyBorder="1" applyAlignment="1">
      <alignment horizontal="left" vertical="center" indent="5"/>
    </xf>
    <xf numFmtId="164" fontId="0" fillId="0" borderId="0" xfId="0" applyAlignment="1">
      <alignment horizontal="left" vertical="center" indent="5"/>
    </xf>
    <xf numFmtId="164" fontId="35" fillId="0" borderId="0" xfId="0" applyFont="1" applyFill="1" applyBorder="1" applyAlignment="1" applyProtection="1">
      <alignment horizontal="left" vertical="center" indent="5"/>
    </xf>
    <xf numFmtId="166" fontId="6" fillId="13" borderId="0" xfId="4" applyNumberFormat="1" applyFont="1" applyFill="1" applyBorder="1" applyAlignment="1" applyProtection="1">
      <alignment horizontal="left" vertical="center" indent="5"/>
    </xf>
    <xf numFmtId="164" fontId="23" fillId="12" borderId="0" xfId="0" applyFont="1" applyFill="1" applyBorder="1" applyAlignment="1" applyProtection="1">
      <alignment horizontal="left" vertical="center" indent="5"/>
    </xf>
    <xf numFmtId="164" fontId="0" fillId="12" borderId="0" xfId="0" applyFill="1" applyBorder="1" applyAlignment="1">
      <alignment horizontal="left" vertical="center" indent="5"/>
    </xf>
    <xf numFmtId="164" fontId="6" fillId="13" borderId="0" xfId="4" applyFont="1" applyFill="1" applyBorder="1" applyAlignment="1" applyProtection="1">
      <alignment horizontal="left" vertical="center" indent="5"/>
    </xf>
    <xf numFmtId="166" fontId="80" fillId="2" borderId="8" xfId="0" applyNumberFormat="1" applyFont="1" applyFill="1" applyBorder="1" applyAlignment="1" applyProtection="1">
      <alignment horizontal="right" vertical="center" wrapText="1"/>
      <protection locked="0"/>
    </xf>
    <xf numFmtId="166" fontId="73" fillId="2" borderId="2" xfId="0" applyNumberFormat="1" applyFont="1" applyFill="1" applyBorder="1" applyAlignment="1" applyProtection="1">
      <alignment horizontal="right" vertical="center" wrapText="1"/>
      <protection locked="0"/>
    </xf>
    <xf numFmtId="166" fontId="80" fillId="2" borderId="2" xfId="0" applyNumberFormat="1" applyFont="1" applyFill="1" applyBorder="1" applyAlignment="1" applyProtection="1">
      <alignment horizontal="right" vertical="center" wrapText="1"/>
      <protection locked="0"/>
    </xf>
    <xf numFmtId="168" fontId="73" fillId="0" borderId="2" xfId="0" applyNumberFormat="1" applyFont="1" applyFill="1" applyBorder="1" applyAlignment="1" applyProtection="1">
      <alignment horizontal="right" wrapText="1"/>
    </xf>
    <xf numFmtId="166" fontId="73" fillId="5" borderId="2" xfId="0" applyNumberFormat="1" applyFont="1" applyFill="1" applyBorder="1" applyAlignment="1" applyProtection="1">
      <alignment horizontal="right"/>
      <protection locked="0"/>
    </xf>
    <xf numFmtId="168" fontId="73" fillId="0" borderId="0" xfId="0" applyNumberFormat="1" applyFont="1" applyFill="1" applyBorder="1" applyAlignment="1" applyProtection="1">
      <alignment horizontal="right" wrapText="1"/>
    </xf>
    <xf numFmtId="164" fontId="88" fillId="0" borderId="0" xfId="0" applyFont="1" applyFill="1" applyBorder="1" applyAlignment="1" applyProtection="1"/>
    <xf numFmtId="166" fontId="73" fillId="5" borderId="9" xfId="0" applyNumberFormat="1" applyFont="1" applyFill="1" applyBorder="1" applyAlignment="1" applyProtection="1">
      <alignment horizontal="right"/>
      <protection locked="0"/>
    </xf>
    <xf numFmtId="168" fontId="87" fillId="0" borderId="0" xfId="0" applyNumberFormat="1" applyFont="1" applyFill="1" applyBorder="1" applyAlignment="1" applyProtection="1">
      <alignment horizontal="right" wrapText="1"/>
    </xf>
    <xf numFmtId="170" fontId="73" fillId="0" borderId="2" xfId="0" applyNumberFormat="1" applyFont="1" applyFill="1" applyBorder="1" applyAlignment="1" applyProtection="1">
      <alignment horizontal="right" wrapText="1"/>
    </xf>
    <xf numFmtId="164" fontId="88" fillId="0" borderId="0" xfId="0" applyFont="1" applyFill="1" applyBorder="1" applyAlignment="1" applyProtection="1">
      <alignment horizontal="right"/>
    </xf>
    <xf numFmtId="166" fontId="73" fillId="5" borderId="2" xfId="0" applyNumberFormat="1" applyFont="1" applyFill="1" applyBorder="1" applyAlignment="1" applyProtection="1">
      <alignment horizontal="right"/>
    </xf>
    <xf numFmtId="164" fontId="88" fillId="0" borderId="16" xfId="0" applyFont="1" applyFill="1" applyBorder="1" applyAlignment="1" applyProtection="1"/>
    <xf numFmtId="166" fontId="73" fillId="0" borderId="2" xfId="0" applyNumberFormat="1" applyFont="1" applyFill="1" applyBorder="1" applyAlignment="1" applyProtection="1">
      <alignment horizontal="right"/>
      <protection locked="0"/>
    </xf>
    <xf numFmtId="164" fontId="73" fillId="2" borderId="0" xfId="0" applyNumberFormat="1" applyFont="1" applyFill="1" applyBorder="1" applyAlignment="1" applyProtection="1">
      <alignment vertical="center" wrapText="1"/>
    </xf>
    <xf numFmtId="164" fontId="73" fillId="2" borderId="0" xfId="0" applyNumberFormat="1" applyFont="1" applyFill="1" applyBorder="1" applyAlignment="1" applyProtection="1">
      <alignment horizontal="left" vertical="center" wrapText="1"/>
    </xf>
    <xf numFmtId="0" fontId="73" fillId="0" borderId="0" xfId="0" applyNumberFormat="1" applyFont="1" applyFill="1" applyBorder="1" applyAlignment="1" applyProtection="1">
      <alignment horizontal="left" wrapText="1"/>
    </xf>
    <xf numFmtId="164" fontId="73" fillId="2" borderId="0" xfId="0" applyNumberFormat="1" applyFont="1" applyFill="1" applyBorder="1" applyAlignment="1" applyProtection="1">
      <alignment horizontal="left" vertical="center" wrapText="1" indent="1"/>
    </xf>
    <xf numFmtId="0" fontId="73" fillId="2" borderId="0" xfId="0" quotePrefix="1" applyNumberFormat="1" applyFont="1" applyFill="1" applyBorder="1" applyAlignment="1" applyProtection="1">
      <alignment horizontal="left" wrapText="1" indent="2"/>
    </xf>
    <xf numFmtId="0" fontId="90" fillId="0" borderId="0" xfId="0" applyNumberFormat="1" applyFont="1" applyFill="1" applyBorder="1" applyAlignment="1" applyProtection="1">
      <alignment horizontal="center" vertical="center" wrapText="1"/>
    </xf>
    <xf numFmtId="0" fontId="73" fillId="2" borderId="0" xfId="0" quotePrefix="1" applyNumberFormat="1" applyFont="1" applyFill="1" applyBorder="1" applyAlignment="1" applyProtection="1">
      <alignment horizontal="left" vertical="top" wrapText="1" indent="2"/>
    </xf>
    <xf numFmtId="0" fontId="73" fillId="2" borderId="0" xfId="0" applyNumberFormat="1" applyFont="1" applyFill="1" applyBorder="1" applyAlignment="1" applyProtection="1">
      <alignment horizontal="left" vertical="top" wrapText="1" indent="4"/>
    </xf>
    <xf numFmtId="0" fontId="90" fillId="0" borderId="0" xfId="0" applyNumberFormat="1" applyFont="1" applyFill="1" applyBorder="1" applyAlignment="1" applyProtection="1">
      <alignment horizontal="left" vertical="center" wrapText="1" indent="1"/>
    </xf>
    <xf numFmtId="164" fontId="73" fillId="0" borderId="0" xfId="0" applyNumberFormat="1" applyFont="1" applyBorder="1" applyAlignment="1" applyProtection="1">
      <alignment horizontal="left" vertical="center" wrapText="1" indent="2"/>
    </xf>
    <xf numFmtId="164" fontId="73" fillId="0" borderId="0" xfId="0" applyNumberFormat="1" applyFont="1" applyFill="1" applyBorder="1" applyAlignment="1" applyProtection="1">
      <alignment horizontal="left" vertical="center" wrapText="1" indent="2"/>
    </xf>
    <xf numFmtId="164" fontId="73" fillId="2" borderId="0" xfId="0" applyNumberFormat="1" applyFont="1" applyFill="1" applyBorder="1" applyAlignment="1" applyProtection="1">
      <alignment horizontal="right" vertical="center" wrapText="1"/>
    </xf>
    <xf numFmtId="0" fontId="73" fillId="2" borderId="0" xfId="0" applyNumberFormat="1" applyFont="1" applyFill="1" applyBorder="1" applyAlignment="1" applyProtection="1">
      <alignment horizontal="right" vertical="center" wrapText="1"/>
    </xf>
    <xf numFmtId="164" fontId="88" fillId="0" borderId="0" xfId="0" applyFont="1"/>
    <xf numFmtId="164" fontId="88" fillId="0" borderId="0" xfId="0" applyFont="1" applyBorder="1"/>
    <xf numFmtId="0" fontId="92" fillId="0" borderId="2" xfId="0" applyNumberFormat="1" applyFont="1" applyFill="1" applyBorder="1" applyAlignment="1" applyProtection="1">
      <alignment horizontal="center" vertical="center" wrapText="1"/>
      <protection locked="0"/>
    </xf>
    <xf numFmtId="0" fontId="73" fillId="2" borderId="0" xfId="0" applyNumberFormat="1" applyFont="1" applyFill="1" applyBorder="1" applyAlignment="1" applyProtection="1">
      <alignment horizontal="left" wrapText="1"/>
    </xf>
    <xf numFmtId="0" fontId="73" fillId="2" borderId="2" xfId="0" applyNumberFormat="1" applyFont="1" applyFill="1" applyBorder="1" applyAlignment="1" applyProtection="1">
      <alignment horizontal="center" vertical="center" wrapText="1"/>
      <protection locked="0"/>
    </xf>
    <xf numFmtId="167" fontId="73" fillId="2" borderId="0" xfId="1" applyNumberFormat="1" applyFont="1" applyFill="1" applyBorder="1" applyAlignment="1" applyProtection="1">
      <alignment horizontal="left" vertical="center" wrapText="1"/>
    </xf>
    <xf numFmtId="167" fontId="73" fillId="0" borderId="0" xfId="0" applyNumberFormat="1" applyFont="1" applyBorder="1" applyAlignment="1" applyProtection="1">
      <alignment horizontal="left" vertical="center" wrapText="1"/>
    </xf>
    <xf numFmtId="166" fontId="73" fillId="0" borderId="0" xfId="0" applyNumberFormat="1" applyFont="1" applyFill="1" applyBorder="1" applyAlignment="1" applyProtection="1"/>
    <xf numFmtId="164" fontId="94" fillId="0" borderId="0" xfId="0" applyFont="1" applyFill="1" applyBorder="1" applyAlignment="1" applyProtection="1">
      <alignment horizontal="right"/>
    </xf>
    <xf numFmtId="164" fontId="94" fillId="0" borderId="0" xfId="0" applyFont="1" applyFill="1" applyBorder="1" applyAlignment="1" applyProtection="1"/>
    <xf numFmtId="167" fontId="73" fillId="0" borderId="0" xfId="0" applyNumberFormat="1" applyFont="1" applyBorder="1" applyAlignment="1" applyProtection="1">
      <alignment horizontal="left" vertical="center" wrapText="1" indent="1"/>
    </xf>
    <xf numFmtId="167" fontId="73" fillId="5" borderId="0" xfId="4" applyNumberFormat="1" applyFont="1" applyFill="1" applyBorder="1" applyAlignment="1" applyProtection="1">
      <alignment horizontal="left" vertical="center"/>
    </xf>
    <xf numFmtId="166" fontId="73" fillId="2" borderId="2" xfId="0" applyNumberFormat="1" applyFont="1" applyFill="1" applyBorder="1" applyAlignment="1" applyProtection="1">
      <protection locked="0"/>
    </xf>
    <xf numFmtId="0" fontId="73" fillId="2" borderId="3" xfId="0" applyNumberFormat="1" applyFont="1" applyFill="1" applyBorder="1" applyAlignment="1" applyProtection="1">
      <alignment horizontal="center" vertical="center" wrapText="1"/>
      <protection locked="0"/>
    </xf>
    <xf numFmtId="0" fontId="73" fillId="4" borderId="0" xfId="0" applyNumberFormat="1" applyFont="1" applyFill="1" applyBorder="1" applyAlignment="1" applyProtection="1">
      <alignment vertical="center"/>
    </xf>
    <xf numFmtId="0" fontId="73" fillId="4" borderId="0" xfId="0" applyNumberFormat="1" applyFont="1" applyFill="1" applyBorder="1" applyAlignment="1" applyProtection="1">
      <alignment horizontal="center" vertical="center"/>
    </xf>
    <xf numFmtId="0" fontId="73" fillId="4" borderId="0" xfId="0" applyNumberFormat="1" applyFont="1" applyFill="1" applyBorder="1" applyAlignment="1" applyProtection="1"/>
    <xf numFmtId="1" fontId="73" fillId="4" borderId="0" xfId="0" applyNumberFormat="1" applyFont="1" applyFill="1" applyBorder="1" applyAlignment="1" applyProtection="1">
      <alignment horizontal="right"/>
    </xf>
    <xf numFmtId="166" fontId="73" fillId="5" borderId="0" xfId="0" applyNumberFormat="1" applyFont="1" applyFill="1" applyBorder="1" applyAlignment="1" applyProtection="1"/>
    <xf numFmtId="167" fontId="73" fillId="2" borderId="0" xfId="0" applyNumberFormat="1" applyFont="1" applyFill="1" applyBorder="1" applyAlignment="1" applyProtection="1">
      <alignment horizontal="left" vertical="center" wrapText="1" indent="1"/>
    </xf>
    <xf numFmtId="166" fontId="73" fillId="0" borderId="2" xfId="0" applyNumberFormat="1" applyFont="1" applyBorder="1" applyAlignment="1" applyProtection="1">
      <protection locked="0"/>
    </xf>
    <xf numFmtId="164" fontId="88" fillId="2" borderId="0" xfId="0" applyFont="1" applyFill="1" applyBorder="1" applyAlignment="1" applyProtection="1"/>
    <xf numFmtId="0" fontId="95" fillId="2" borderId="0" xfId="0" applyNumberFormat="1" applyFont="1" applyFill="1" applyBorder="1" applyAlignment="1" applyProtection="1">
      <alignment horizontal="center" vertical="center" wrapText="1"/>
    </xf>
    <xf numFmtId="164" fontId="73" fillId="0" borderId="0" xfId="0" applyNumberFormat="1" applyFont="1" applyFill="1" applyBorder="1" applyAlignment="1" applyProtection="1">
      <alignment horizontal="left" vertical="center" wrapText="1" indent="1"/>
    </xf>
    <xf numFmtId="164" fontId="73" fillId="0" borderId="0" xfId="0" applyNumberFormat="1" applyFont="1" applyFill="1" applyBorder="1" applyAlignment="1" applyProtection="1">
      <alignment horizontal="left" vertical="center" wrapText="1"/>
    </xf>
    <xf numFmtId="0" fontId="73" fillId="2" borderId="0" xfId="0" applyNumberFormat="1" applyFont="1" applyFill="1" applyBorder="1" applyAlignment="1" applyProtection="1">
      <alignment horizontal="left" wrapText="1" indent="1"/>
    </xf>
    <xf numFmtId="0" fontId="80" fillId="2" borderId="0" xfId="0" applyNumberFormat="1" applyFont="1" applyFill="1" applyBorder="1" applyAlignment="1" applyProtection="1">
      <alignment horizontal="right" vertical="center" wrapText="1"/>
    </xf>
    <xf numFmtId="164" fontId="88" fillId="0" borderId="0" xfId="0" applyFont="1" applyBorder="1" applyAlignment="1" applyProtection="1"/>
    <xf numFmtId="0" fontId="73" fillId="0" borderId="0" xfId="0" applyNumberFormat="1" applyFont="1" applyFill="1" applyBorder="1" applyAlignment="1" applyProtection="1">
      <alignment horizontal="center" vertical="center" wrapText="1"/>
    </xf>
    <xf numFmtId="0" fontId="73" fillId="2" borderId="2" xfId="0" applyNumberFormat="1" applyFont="1" applyFill="1" applyBorder="1" applyAlignment="1" applyProtection="1">
      <alignment horizontal="left" vertical="center" wrapText="1"/>
      <protection locked="0"/>
    </xf>
    <xf numFmtId="166" fontId="73" fillId="2" borderId="2" xfId="0" applyNumberFormat="1" applyFont="1" applyFill="1" applyBorder="1" applyAlignment="1" applyProtection="1"/>
    <xf numFmtId="0" fontId="80" fillId="0" borderId="0" xfId="0" applyNumberFormat="1" applyFont="1" applyBorder="1" applyAlignment="1" applyProtection="1">
      <alignment horizontal="right" vertical="center" wrapText="1"/>
    </xf>
    <xf numFmtId="164" fontId="73" fillId="0" borderId="0" xfId="0" quotePrefix="1" applyNumberFormat="1" applyFont="1" applyFill="1" applyBorder="1" applyAlignment="1" applyProtection="1">
      <alignment horizontal="left" vertical="center" wrapText="1"/>
    </xf>
    <xf numFmtId="0" fontId="73" fillId="2" borderId="9" xfId="0" applyNumberFormat="1" applyFont="1" applyFill="1" applyBorder="1" applyAlignment="1" applyProtection="1">
      <alignment horizontal="center" vertical="center" wrapText="1"/>
      <protection locked="0"/>
    </xf>
    <xf numFmtId="168" fontId="73" fillId="0" borderId="13" xfId="0" applyNumberFormat="1" applyFont="1" applyFill="1" applyBorder="1" applyAlignment="1" applyProtection="1">
      <alignment horizontal="right" wrapText="1"/>
    </xf>
    <xf numFmtId="164" fontId="88" fillId="2" borderId="0" xfId="0" applyFont="1" applyFill="1" applyBorder="1" applyProtection="1"/>
    <xf numFmtId="164" fontId="88" fillId="2" borderId="0" xfId="0" applyFont="1" applyFill="1" applyBorder="1" applyAlignment="1" applyProtection="1">
      <alignment horizontal="right"/>
    </xf>
    <xf numFmtId="164" fontId="73" fillId="2" borderId="0" xfId="1" applyNumberFormat="1" applyFont="1" applyFill="1" applyBorder="1" applyAlignment="1" applyProtection="1">
      <alignment horizontal="left" vertical="center" wrapText="1" indent="1"/>
    </xf>
    <xf numFmtId="164" fontId="73" fillId="0" borderId="0" xfId="0" applyFont="1" applyBorder="1" applyAlignment="1" applyProtection="1">
      <alignment horizontal="left" wrapText="1" indent="1"/>
    </xf>
    <xf numFmtId="164" fontId="73" fillId="0" borderId="0" xfId="1" applyNumberFormat="1" applyFont="1" applyFill="1" applyBorder="1" applyAlignment="1" applyProtection="1">
      <alignment horizontal="left" vertical="center" wrapText="1" indent="1"/>
    </xf>
    <xf numFmtId="0" fontId="73" fillId="0" borderId="0" xfId="1" applyNumberFormat="1" applyFont="1" applyFill="1" applyBorder="1" applyAlignment="1" applyProtection="1">
      <alignment horizontal="left" vertical="center" wrapText="1" indent="1"/>
    </xf>
    <xf numFmtId="167" fontId="73" fillId="2" borderId="0" xfId="1" applyNumberFormat="1" applyFont="1" applyFill="1" applyBorder="1" applyAlignment="1" applyProtection="1">
      <alignment horizontal="left" vertical="center" wrapText="1" indent="1"/>
    </xf>
    <xf numFmtId="164" fontId="88" fillId="0" borderId="0" xfId="0" applyFont="1" applyProtection="1"/>
    <xf numFmtId="166" fontId="87" fillId="2" borderId="9" xfId="0" applyNumberFormat="1" applyFont="1" applyFill="1" applyBorder="1" applyAlignment="1" applyProtection="1">
      <protection locked="0"/>
    </xf>
    <xf numFmtId="166" fontId="87" fillId="2" borderId="2" xfId="0" applyNumberFormat="1" applyFont="1" applyFill="1" applyBorder="1" applyAlignment="1" applyProtection="1">
      <protection locked="0"/>
    </xf>
    <xf numFmtId="164" fontId="88" fillId="0" borderId="0" xfId="0" applyFont="1" applyBorder="1" applyProtection="1"/>
    <xf numFmtId="0" fontId="73" fillId="2" borderId="0" xfId="0" applyNumberFormat="1" applyFont="1" applyFill="1" applyBorder="1" applyAlignment="1" applyProtection="1">
      <alignment horizontal="center" vertical="center" wrapText="1"/>
    </xf>
    <xf numFmtId="166" fontId="80" fillId="2" borderId="9" xfId="0" applyNumberFormat="1" applyFont="1" applyFill="1" applyBorder="1" applyAlignment="1" applyProtection="1">
      <alignment horizontal="right" vertical="center" wrapText="1"/>
      <protection locked="0"/>
    </xf>
    <xf numFmtId="0" fontId="73" fillId="0" borderId="0" xfId="0" applyNumberFormat="1" applyFont="1" applyBorder="1" applyAlignment="1" applyProtection="1">
      <alignment horizontal="right" vertical="center" wrapText="1"/>
    </xf>
    <xf numFmtId="164" fontId="91" fillId="2" borderId="0" xfId="0" applyNumberFormat="1" applyFont="1" applyFill="1" applyBorder="1" applyAlignment="1" applyProtection="1">
      <alignment horizontal="left" vertical="center" wrapText="1" indent="3"/>
    </xf>
    <xf numFmtId="164" fontId="80" fillId="2" borderId="0" xfId="0" applyNumberFormat="1" applyFont="1" applyFill="1" applyBorder="1" applyAlignment="1" applyProtection="1">
      <alignment horizontal="left" vertical="center" wrapText="1" indent="3"/>
    </xf>
    <xf numFmtId="164" fontId="80" fillId="2" borderId="0" xfId="0" applyNumberFormat="1" applyFont="1" applyFill="1" applyBorder="1" applyAlignment="1" applyProtection="1">
      <alignment horizontal="left" vertical="center" wrapText="1"/>
    </xf>
    <xf numFmtId="164" fontId="88" fillId="0" borderId="0" xfId="0" applyFont="1" applyAlignment="1"/>
    <xf numFmtId="166" fontId="73" fillId="2" borderId="0" xfId="0" applyNumberFormat="1" applyFont="1" applyFill="1" applyBorder="1" applyAlignment="1" applyProtection="1"/>
    <xf numFmtId="166" fontId="73" fillId="0" borderId="2" xfId="0" applyNumberFormat="1" applyFont="1" applyFill="1" applyBorder="1" applyAlignment="1" applyProtection="1"/>
    <xf numFmtId="166" fontId="99" fillId="2" borderId="0" xfId="0" applyNumberFormat="1" applyFont="1" applyFill="1"/>
    <xf numFmtId="0" fontId="73" fillId="0" borderId="0" xfId="0" applyNumberFormat="1" applyFont="1" applyFill="1" applyBorder="1" applyAlignment="1" applyProtection="1">
      <alignment horizontal="left" wrapText="1" indent="1"/>
    </xf>
    <xf numFmtId="164" fontId="88" fillId="0" borderId="0" xfId="0" applyFont="1" applyFill="1" applyBorder="1"/>
    <xf numFmtId="164" fontId="88" fillId="2" borderId="0" xfId="0" applyFont="1" applyFill="1" applyBorder="1"/>
    <xf numFmtId="164" fontId="88" fillId="0" borderId="0" xfId="0" applyFont="1" applyFill="1" applyBorder="1" applyAlignment="1" applyProtection="1">
      <alignment horizontal="left" indent="1"/>
    </xf>
    <xf numFmtId="164" fontId="73" fillId="2" borderId="0" xfId="0" applyNumberFormat="1" applyFont="1" applyFill="1" applyBorder="1" applyAlignment="1" applyProtection="1">
      <alignment horizontal="left" vertical="center" wrapText="1" indent="5"/>
    </xf>
    <xf numFmtId="164" fontId="97" fillId="2" borderId="0" xfId="0" applyFont="1" applyFill="1" applyBorder="1" applyAlignment="1" applyProtection="1"/>
    <xf numFmtId="164" fontId="80" fillId="2" borderId="0" xfId="0" applyNumberFormat="1" applyFont="1" applyFill="1" applyBorder="1" applyAlignment="1" applyProtection="1">
      <alignment horizontal="center" vertical="center" wrapText="1"/>
    </xf>
    <xf numFmtId="164" fontId="73" fillId="2" borderId="0" xfId="0" applyNumberFormat="1" applyFont="1" applyFill="1" applyBorder="1" applyAlignment="1" applyProtection="1">
      <alignment horizontal="left" vertical="center" wrapText="1" indent="3"/>
    </xf>
    <xf numFmtId="164" fontId="73" fillId="0" borderId="0" xfId="1" applyNumberFormat="1" applyFont="1" applyFill="1" applyBorder="1" applyAlignment="1" applyProtection="1">
      <alignment horizontal="left" vertical="center" wrapText="1"/>
    </xf>
    <xf numFmtId="1" fontId="6" fillId="13" borderId="0" xfId="4" applyNumberFormat="1" applyFont="1" applyFill="1" applyBorder="1" applyAlignment="1" applyProtection="1">
      <alignment horizontal="left" vertical="center" indent="4"/>
    </xf>
    <xf numFmtId="1" fontId="0" fillId="12" borderId="0" xfId="0" applyNumberFormat="1" applyFill="1" applyBorder="1" applyProtection="1"/>
    <xf numFmtId="164" fontId="0" fillId="12" borderId="0" xfId="0" applyFill="1" applyProtection="1"/>
    <xf numFmtId="164" fontId="0" fillId="12" borderId="0" xfId="0" applyFill="1" applyBorder="1" applyAlignment="1" applyProtection="1">
      <alignment vertical="center"/>
    </xf>
    <xf numFmtId="1" fontId="29" fillId="9" borderId="0" xfId="0" applyNumberFormat="1" applyFont="1" applyFill="1" applyAlignment="1" applyProtection="1">
      <alignment horizontal="left"/>
    </xf>
    <xf numFmtId="166" fontId="66" fillId="5" borderId="2" xfId="0" applyNumberFormat="1" applyFont="1" applyFill="1" applyBorder="1" applyAlignment="1" applyProtection="1">
      <alignment horizontal="right"/>
    </xf>
    <xf numFmtId="164" fontId="101" fillId="0" borderId="0" xfId="0" applyFont="1"/>
    <xf numFmtId="164" fontId="102" fillId="0" borderId="0" xfId="0" applyFont="1"/>
    <xf numFmtId="164" fontId="37" fillId="0" borderId="0" xfId="0" applyFont="1" applyBorder="1" applyAlignment="1">
      <alignment horizontal="left" vertical="center" indent="5"/>
    </xf>
    <xf numFmtId="164" fontId="33" fillId="0" borderId="0" xfId="0" applyFont="1" applyBorder="1" applyAlignment="1"/>
    <xf numFmtId="164" fontId="33" fillId="0" borderId="0" xfId="0" applyFont="1" applyFill="1" applyBorder="1" applyAlignment="1" applyProtection="1"/>
    <xf numFmtId="0" fontId="33" fillId="2" borderId="23" xfId="0" applyNumberFormat="1" applyFont="1" applyFill="1" applyBorder="1" applyAlignment="1" applyProtection="1">
      <alignment horizontal="center" vertical="center" wrapText="1"/>
      <protection locked="0"/>
    </xf>
    <xf numFmtId="0" fontId="93" fillId="23" borderId="22" xfId="1" applyFont="1" applyFill="1" applyBorder="1" applyAlignment="1" applyProtection="1">
      <alignment horizontal="center" vertical="center"/>
    </xf>
    <xf numFmtId="0" fontId="73" fillId="2" borderId="13" xfId="0" applyNumberFormat="1" applyFont="1" applyFill="1" applyBorder="1" applyAlignment="1" applyProtection="1">
      <alignment horizontal="center" vertical="center" wrapText="1"/>
      <protection locked="0"/>
    </xf>
    <xf numFmtId="0" fontId="93" fillId="29" borderId="22" xfId="1" applyFont="1" applyFill="1" applyBorder="1" applyAlignment="1" applyProtection="1">
      <alignment horizontal="center" vertical="center"/>
    </xf>
    <xf numFmtId="164" fontId="73" fillId="2" borderId="0" xfId="0" applyNumberFormat="1" applyFont="1" applyFill="1" applyBorder="1" applyAlignment="1" applyProtection="1">
      <alignment horizontal="left" vertical="center" wrapText="1" indent="4"/>
    </xf>
    <xf numFmtId="164" fontId="98" fillId="2" borderId="0" xfId="0" applyNumberFormat="1" applyFont="1" applyFill="1" applyBorder="1" applyAlignment="1" applyProtection="1">
      <alignment horizontal="left" vertical="center" wrapText="1"/>
    </xf>
    <xf numFmtId="1" fontId="6" fillId="9" borderId="0" xfId="0" applyNumberFormat="1" applyFont="1" applyFill="1" applyBorder="1" applyAlignment="1" applyProtection="1">
      <alignment horizontal="center"/>
    </xf>
    <xf numFmtId="0" fontId="6" fillId="9" borderId="0" xfId="0" applyNumberFormat="1" applyFont="1" applyFill="1" applyBorder="1" applyAlignment="1" applyProtection="1">
      <alignment horizontal="center" wrapText="1"/>
    </xf>
    <xf numFmtId="1" fontId="6" fillId="12" borderId="0" xfId="0" applyNumberFormat="1" applyFont="1" applyFill="1" applyBorder="1" applyAlignment="1" applyProtection="1">
      <alignment horizontal="center"/>
    </xf>
    <xf numFmtId="164" fontId="4" fillId="0" borderId="0" xfId="0" applyFont="1" applyAlignment="1">
      <alignment horizontal="center"/>
    </xf>
    <xf numFmtId="166" fontId="73" fillId="2" borderId="8" xfId="0" applyNumberFormat="1" applyFont="1" applyFill="1" applyBorder="1" applyAlignment="1" applyProtection="1">
      <alignment horizontal="right" vertical="center" wrapText="1"/>
      <protection locked="0"/>
    </xf>
    <xf numFmtId="166" fontId="73" fillId="2" borderId="9" xfId="0" applyNumberFormat="1" applyFont="1" applyFill="1" applyBorder="1" applyAlignment="1" applyProtection="1">
      <alignment horizontal="right" vertical="center" wrapText="1"/>
      <protection locked="0"/>
    </xf>
    <xf numFmtId="164" fontId="73" fillId="0" borderId="0" xfId="0" applyNumberFormat="1" applyFont="1" applyBorder="1" applyAlignment="1" applyProtection="1">
      <alignment horizontal="left" vertical="center" wrapText="1" indent="5"/>
    </xf>
    <xf numFmtId="0" fontId="80" fillId="2" borderId="0" xfId="1" applyNumberFormat="1" applyFont="1" applyFill="1" applyBorder="1" applyAlignment="1" applyProtection="1">
      <alignment horizontal="right" vertical="center" wrapText="1" indent="2"/>
    </xf>
    <xf numFmtId="166" fontId="89" fillId="2" borderId="0" xfId="0" applyNumberFormat="1" applyFont="1" applyFill="1"/>
    <xf numFmtId="167" fontId="73" fillId="2" borderId="0" xfId="0" applyNumberFormat="1" applyFont="1" applyFill="1" applyBorder="1" applyAlignment="1" applyProtection="1">
      <alignment horizontal="left" wrapText="1" indent="4"/>
    </xf>
    <xf numFmtId="164" fontId="80" fillId="2" borderId="0" xfId="0" applyNumberFormat="1" applyFont="1" applyFill="1" applyBorder="1" applyAlignment="1" applyProtection="1">
      <alignment horizontal="left" wrapText="1"/>
    </xf>
    <xf numFmtId="167" fontId="73" fillId="2" borderId="0" xfId="0" applyNumberFormat="1" applyFont="1" applyFill="1" applyBorder="1" applyAlignment="1" applyProtection="1">
      <alignment horizontal="left" wrapText="1" indent="2"/>
    </xf>
    <xf numFmtId="164" fontId="0" fillId="2" borderId="0" xfId="0" applyFill="1" applyBorder="1" applyAlignment="1">
      <alignment vertical="top"/>
    </xf>
    <xf numFmtId="0" fontId="31" fillId="17" borderId="0" xfId="0" applyNumberFormat="1" applyFont="1" applyFill="1" applyBorder="1" applyAlignment="1" applyProtection="1">
      <alignment horizontal="left" vertical="top" wrapText="1"/>
    </xf>
    <xf numFmtId="169" fontId="31" fillId="17" borderId="0" xfId="0" applyNumberFormat="1" applyFont="1" applyFill="1" applyBorder="1" applyAlignment="1" applyProtection="1">
      <alignment horizontal="center" vertical="top" wrapText="1"/>
    </xf>
    <xf numFmtId="164" fontId="0" fillId="0" borderId="0" xfId="0" applyAlignment="1">
      <alignment vertical="top"/>
    </xf>
    <xf numFmtId="166" fontId="6" fillId="13" borderId="0" xfId="4" applyNumberFormat="1" applyFont="1" applyFill="1" applyBorder="1" applyAlignment="1" applyProtection="1">
      <alignment horizontal="center" vertical="top"/>
    </xf>
    <xf numFmtId="1" fontId="6" fillId="9" borderId="0" xfId="0" applyNumberFormat="1" applyFont="1" applyFill="1" applyBorder="1" applyAlignment="1" applyProtection="1">
      <alignment horizontal="center" vertical="top"/>
    </xf>
    <xf numFmtId="164" fontId="0" fillId="12" borderId="0" xfId="0" applyFill="1" applyBorder="1" applyAlignment="1">
      <alignment vertical="top"/>
    </xf>
    <xf numFmtId="0" fontId="27" fillId="12" borderId="0" xfId="1" applyFont="1" applyFill="1" applyBorder="1" applyAlignment="1" applyProtection="1">
      <alignment horizontal="left" vertical="top"/>
    </xf>
    <xf numFmtId="164" fontId="23" fillId="12" borderId="0" xfId="0" applyFont="1" applyFill="1" applyBorder="1" applyAlignment="1" applyProtection="1">
      <alignment horizontal="center" vertical="top"/>
    </xf>
    <xf numFmtId="0" fontId="31" fillId="17" borderId="0" xfId="0" applyNumberFormat="1" applyFont="1" applyFill="1" applyBorder="1" applyAlignment="1" applyProtection="1">
      <alignment horizontal="center" vertical="top" wrapText="1"/>
    </xf>
    <xf numFmtId="0" fontId="103" fillId="17" borderId="0" xfId="0" applyNumberFormat="1" applyFont="1" applyFill="1" applyBorder="1" applyAlignment="1" applyProtection="1">
      <alignment horizontal="left" indent="2"/>
    </xf>
    <xf numFmtId="164" fontId="103" fillId="7" borderId="0" xfId="0" applyFont="1" applyFill="1" applyAlignment="1">
      <alignment horizontal="left" indent="2"/>
    </xf>
    <xf numFmtId="0" fontId="42" fillId="17" borderId="0" xfId="0" applyNumberFormat="1" applyFont="1" applyFill="1" applyBorder="1" applyAlignment="1" applyProtection="1">
      <alignment horizontal="center"/>
    </xf>
    <xf numFmtId="0" fontId="103" fillId="17" borderId="0" xfId="0" applyNumberFormat="1" applyFont="1" applyFill="1" applyBorder="1" applyAlignment="1" applyProtection="1">
      <alignment horizontal="center" wrapText="1"/>
    </xf>
    <xf numFmtId="164" fontId="6" fillId="11" borderId="0" xfId="4" applyFont="1" applyFill="1" applyBorder="1" applyAlignment="1" applyProtection="1">
      <alignment horizontal="center" vertical="center"/>
    </xf>
    <xf numFmtId="166" fontId="73" fillId="2" borderId="2" xfId="0" applyNumberFormat="1" applyFont="1" applyFill="1" applyBorder="1" applyAlignment="1" applyProtection="1">
      <alignment horizontal="right" vertical="center"/>
    </xf>
    <xf numFmtId="164" fontId="0" fillId="2" borderId="0" xfId="0" applyFill="1" applyBorder="1" applyAlignment="1">
      <alignment horizontal="center" vertical="center"/>
    </xf>
    <xf numFmtId="1" fontId="6" fillId="9" borderId="0" xfId="0" applyNumberFormat="1" applyFont="1" applyFill="1" applyBorder="1" applyAlignment="1" applyProtection="1">
      <alignment horizontal="center" vertical="center"/>
    </xf>
    <xf numFmtId="164" fontId="0" fillId="12" borderId="0" xfId="0" applyFill="1" applyBorder="1" applyAlignment="1">
      <alignment horizontal="center" vertical="center"/>
    </xf>
    <xf numFmtId="164" fontId="104" fillId="2" borderId="0" xfId="0" applyFont="1" applyFill="1" applyAlignment="1">
      <alignment horizontal="center" vertical="top"/>
    </xf>
    <xf numFmtId="164" fontId="82" fillId="32" borderId="0" xfId="0" applyFont="1" applyFill="1" applyAlignment="1">
      <alignment horizontal="center" vertical="center" wrapText="1"/>
    </xf>
    <xf numFmtId="164" fontId="62" fillId="32" borderId="0" xfId="0" applyFont="1" applyFill="1" applyAlignment="1">
      <alignment horizontal="center" vertical="center"/>
    </xf>
    <xf numFmtId="164" fontId="0" fillId="32" borderId="0" xfId="0" applyFont="1" applyFill="1" applyAlignment="1">
      <alignment horizontal="center" vertical="center"/>
    </xf>
    <xf numFmtId="164" fontId="0" fillId="32" borderId="0" xfId="0" applyFill="1" applyAlignment="1">
      <alignment horizontal="center" vertical="center"/>
    </xf>
    <xf numFmtId="164" fontId="0" fillId="32" borderId="0" xfId="0" applyFill="1"/>
    <xf numFmtId="164" fontId="84" fillId="32" borderId="0" xfId="0" applyFont="1" applyFill="1"/>
    <xf numFmtId="164" fontId="85" fillId="2" borderId="0" xfId="0" applyFont="1" applyFill="1" applyBorder="1" applyAlignment="1">
      <alignment horizontal="center" vertical="top" wrapText="1"/>
    </xf>
    <xf numFmtId="164" fontId="0" fillId="7" borderId="24" xfId="0" applyFill="1" applyBorder="1"/>
    <xf numFmtId="164" fontId="0" fillId="32" borderId="0" xfId="0" applyFont="1" applyFill="1" applyAlignment="1">
      <alignment horizontal="left" vertical="center"/>
    </xf>
    <xf numFmtId="164" fontId="63" fillId="32" borderId="0" xfId="0" applyFont="1" applyFill="1" applyAlignment="1">
      <alignment horizontal="center" vertical="center"/>
    </xf>
    <xf numFmtId="164" fontId="62" fillId="32" borderId="0" xfId="0" applyFont="1" applyFill="1" applyAlignment="1">
      <alignment horizontal="center" vertical="center" wrapText="1"/>
    </xf>
    <xf numFmtId="164" fontId="84" fillId="32" borderId="0" xfId="0" applyFont="1" applyFill="1" applyAlignment="1">
      <alignment horizontal="center" vertical="center"/>
    </xf>
    <xf numFmtId="164" fontId="0" fillId="32" borderId="0" xfId="0" applyFont="1" applyFill="1" applyBorder="1"/>
    <xf numFmtId="164" fontId="84" fillId="32" borderId="0" xfId="0" applyFont="1" applyFill="1" applyAlignment="1">
      <alignment horizontal="center" vertical="center" wrapText="1"/>
    </xf>
    <xf numFmtId="164" fontId="82" fillId="32" borderId="0" xfId="0" applyFont="1" applyFill="1" applyAlignment="1">
      <alignment horizontal="center" vertical="center"/>
    </xf>
    <xf numFmtId="164" fontId="62" fillId="32" borderId="18" xfId="0" applyFont="1" applyFill="1" applyBorder="1" applyAlignment="1">
      <alignment horizontal="center" vertical="center" wrapText="1"/>
    </xf>
    <xf numFmtId="164" fontId="0" fillId="32" borderId="18" xfId="0" applyFill="1" applyBorder="1"/>
    <xf numFmtId="164" fontId="0" fillId="32" borderId="18" xfId="0" applyFill="1" applyBorder="1" applyAlignment="1">
      <alignment horizontal="center" vertical="center"/>
    </xf>
    <xf numFmtId="164" fontId="0" fillId="32" borderId="19" xfId="0" applyFill="1" applyBorder="1"/>
    <xf numFmtId="164" fontId="62" fillId="32" borderId="21" xfId="0" applyFont="1" applyFill="1" applyBorder="1" applyAlignment="1">
      <alignment horizontal="center" vertical="center" wrapText="1"/>
    </xf>
    <xf numFmtId="164" fontId="0" fillId="32" borderId="21" xfId="0" applyFill="1" applyBorder="1" applyAlignment="1">
      <alignment horizontal="center" vertical="center"/>
    </xf>
    <xf numFmtId="0" fontId="93" fillId="29" borderId="11" xfId="1" applyFont="1" applyFill="1" applyBorder="1" applyAlignment="1" applyProtection="1">
      <alignment horizontal="center" vertical="center"/>
    </xf>
    <xf numFmtId="164" fontId="80" fillId="2" borderId="11" xfId="0" applyNumberFormat="1" applyFont="1" applyFill="1" applyBorder="1" applyAlignment="1" applyProtection="1">
      <alignment horizontal="center" vertical="center" wrapText="1"/>
    </xf>
    <xf numFmtId="0" fontId="73" fillId="2" borderId="0" xfId="1" applyNumberFormat="1" applyFont="1" applyFill="1" applyBorder="1" applyAlignment="1" applyProtection="1">
      <alignment horizontal="left" vertical="center" wrapText="1"/>
    </xf>
    <xf numFmtId="164" fontId="73" fillId="0" borderId="0" xfId="0" applyFont="1" applyBorder="1" applyAlignment="1" applyProtection="1">
      <alignment horizontal="left" wrapText="1"/>
    </xf>
    <xf numFmtId="0" fontId="73" fillId="2" borderId="0" xfId="1" applyNumberFormat="1" applyFont="1" applyFill="1" applyBorder="1" applyAlignment="1" applyProtection="1">
      <alignment horizontal="left" vertical="center" wrapText="1"/>
      <protection locked="0"/>
    </xf>
    <xf numFmtId="0" fontId="73" fillId="0" borderId="0" xfId="1" applyNumberFormat="1" applyFont="1" applyFill="1" applyBorder="1" applyAlignment="1" applyProtection="1">
      <alignment horizontal="left" vertical="center" wrapText="1"/>
    </xf>
    <xf numFmtId="164" fontId="73" fillId="0" borderId="0" xfId="0" applyFont="1" applyFill="1" applyBorder="1" applyAlignment="1" applyProtection="1">
      <alignment horizontal="left" indent="1"/>
    </xf>
    <xf numFmtId="164" fontId="73" fillId="0" borderId="0" xfId="0" quotePrefix="1" applyFont="1" applyFill="1" applyBorder="1" applyAlignment="1" applyProtection="1">
      <alignment horizontal="left" indent="2"/>
    </xf>
    <xf numFmtId="164" fontId="73" fillId="0" borderId="0" xfId="0" quotePrefix="1" applyFont="1" applyFill="1" applyBorder="1" applyAlignment="1" applyProtection="1">
      <alignment horizontal="left" vertical="center" indent="2"/>
    </xf>
    <xf numFmtId="0" fontId="73" fillId="0" borderId="0" xfId="0" quotePrefix="1" applyNumberFormat="1" applyFont="1" applyBorder="1" applyAlignment="1" applyProtection="1">
      <alignment horizontal="left" vertical="center" wrapText="1" indent="2"/>
    </xf>
    <xf numFmtId="164" fontId="73" fillId="2" borderId="0" xfId="0" applyNumberFormat="1" applyFont="1" applyFill="1" applyBorder="1" applyAlignment="1" applyProtection="1">
      <alignment horizontal="left" wrapText="1" indent="1"/>
    </xf>
    <xf numFmtId="164" fontId="73" fillId="2" borderId="0" xfId="0" applyNumberFormat="1" applyFont="1" applyFill="1" applyBorder="1" applyAlignment="1" applyProtection="1">
      <alignment horizontal="left" vertical="top" wrapText="1" indent="1"/>
    </xf>
    <xf numFmtId="164" fontId="73" fillId="2" borderId="0" xfId="0" quotePrefix="1" applyNumberFormat="1" applyFont="1" applyFill="1" applyBorder="1" applyAlignment="1" applyProtection="1">
      <alignment horizontal="left" wrapText="1" indent="2"/>
    </xf>
    <xf numFmtId="164" fontId="73" fillId="2" borderId="0" xfId="0" quotePrefix="1" applyNumberFormat="1" applyFont="1" applyFill="1" applyBorder="1" applyAlignment="1" applyProtection="1">
      <alignment horizontal="left" vertical="center" wrapText="1" indent="2"/>
    </xf>
    <xf numFmtId="164" fontId="73" fillId="2" borderId="0" xfId="0" quotePrefix="1" applyNumberFormat="1" applyFont="1" applyFill="1" applyBorder="1" applyAlignment="1" applyProtection="1">
      <alignment horizontal="left" vertical="top" wrapText="1" indent="2"/>
    </xf>
    <xf numFmtId="164" fontId="73" fillId="0" borderId="0" xfId="0" quotePrefix="1" applyNumberFormat="1" applyFont="1" applyBorder="1" applyAlignment="1" applyProtection="1">
      <alignment horizontal="left" vertical="center" wrapText="1" indent="2"/>
    </xf>
    <xf numFmtId="164" fontId="73" fillId="0" borderId="0" xfId="1" applyNumberFormat="1" applyFont="1" applyFill="1" applyBorder="1" applyAlignment="1" applyProtection="1">
      <alignment horizontal="left" vertical="center" wrapText="1" indent="3"/>
    </xf>
    <xf numFmtId="167" fontId="73" fillId="0" borderId="0" xfId="0" applyNumberFormat="1" applyFont="1" applyFill="1" applyBorder="1" applyAlignment="1" applyProtection="1">
      <alignment horizontal="left" vertical="center" wrapText="1" indent="4"/>
    </xf>
    <xf numFmtId="0" fontId="73" fillId="0" borderId="0" xfId="1" applyNumberFormat="1" applyFont="1" applyFill="1" applyBorder="1" applyAlignment="1" applyProtection="1">
      <alignment horizontal="left" vertical="center" wrapText="1" indent="2"/>
    </xf>
    <xf numFmtId="164" fontId="73" fillId="0" borderId="0" xfId="0" applyFont="1" applyBorder="1" applyAlignment="1" applyProtection="1">
      <alignment horizontal="left" wrapText="1" indent="2"/>
    </xf>
    <xf numFmtId="164" fontId="73" fillId="2" borderId="0" xfId="1" applyNumberFormat="1" applyFont="1" applyFill="1" applyBorder="1" applyAlignment="1" applyProtection="1">
      <alignment horizontal="left" vertical="center" wrapText="1" indent="2"/>
    </xf>
    <xf numFmtId="167" fontId="73" fillId="5" borderId="0" xfId="4" quotePrefix="1" applyNumberFormat="1" applyFont="1" applyFill="1" applyBorder="1" applyAlignment="1" applyProtection="1">
      <alignment horizontal="left" vertical="center"/>
    </xf>
    <xf numFmtId="166" fontId="73" fillId="5" borderId="2" xfId="0" applyNumberFormat="1" applyFont="1" applyFill="1" applyBorder="1" applyAlignment="1" applyProtection="1">
      <alignment horizontal="center" vertical="center"/>
      <protection locked="0"/>
    </xf>
    <xf numFmtId="166" fontId="73" fillId="2" borderId="2" xfId="0" applyNumberFormat="1" applyFont="1" applyFill="1" applyBorder="1" applyAlignment="1" applyProtection="1">
      <alignment horizontal="right" vertical="center"/>
      <protection locked="0"/>
    </xf>
    <xf numFmtId="164" fontId="89" fillId="0" borderId="0" xfId="0" applyFont="1" applyBorder="1" applyAlignment="1">
      <alignment horizontal="right" vertical="center"/>
    </xf>
    <xf numFmtId="166" fontId="80" fillId="6" borderId="2" xfId="0" applyNumberFormat="1" applyFont="1" applyFill="1" applyBorder="1" applyAlignment="1" applyProtection="1">
      <alignment horizontal="right" vertical="center"/>
    </xf>
    <xf numFmtId="164" fontId="73" fillId="2" borderId="0" xfId="0" applyNumberFormat="1" applyFont="1" applyFill="1" applyBorder="1" applyAlignment="1" applyProtection="1">
      <alignment horizontal="left" vertical="center" wrapText="1" indent="6"/>
    </xf>
    <xf numFmtId="164" fontId="73" fillId="2" borderId="0" xfId="0" applyNumberFormat="1" applyFont="1" applyFill="1" applyBorder="1" applyAlignment="1" applyProtection="1">
      <alignment horizontal="left" vertical="center" wrapText="1" indent="7"/>
    </xf>
    <xf numFmtId="164" fontId="73" fillId="0" borderId="0" xfId="1" applyNumberFormat="1" applyFont="1" applyFill="1" applyBorder="1" applyAlignment="1" applyProtection="1">
      <alignment horizontal="left" vertical="center" wrapText="1" indent="2"/>
    </xf>
    <xf numFmtId="0" fontId="73" fillId="29" borderId="0" xfId="1" applyNumberFormat="1" applyFont="1" applyFill="1" applyBorder="1" applyAlignment="1" applyProtection="1">
      <alignment horizontal="left" vertical="center" wrapText="1" indent="2"/>
    </xf>
    <xf numFmtId="0" fontId="73" fillId="33" borderId="0" xfId="1" applyNumberFormat="1" applyFont="1" applyFill="1" applyBorder="1" applyAlignment="1" applyProtection="1">
      <alignment horizontal="left" vertical="center" wrapText="1" indent="3"/>
    </xf>
    <xf numFmtId="0" fontId="73" fillId="34" borderId="0" xfId="1" applyNumberFormat="1" applyFont="1" applyFill="1" applyBorder="1" applyAlignment="1" applyProtection="1">
      <alignment horizontal="left" vertical="center" wrapText="1" indent="4"/>
      <protection locked="0"/>
    </xf>
    <xf numFmtId="164" fontId="73" fillId="34" borderId="0" xfId="1" applyNumberFormat="1" applyFont="1" applyFill="1" applyBorder="1" applyAlignment="1" applyProtection="1">
      <alignment horizontal="left" vertical="center" wrapText="1" indent="5"/>
    </xf>
    <xf numFmtId="0" fontId="73" fillId="34" borderId="0" xfId="1" applyNumberFormat="1" applyFont="1" applyFill="1" applyBorder="1" applyAlignment="1" applyProtection="1">
      <alignment horizontal="left" vertical="center" wrapText="1" indent="5"/>
    </xf>
    <xf numFmtId="0" fontId="73" fillId="34" borderId="0" xfId="1" applyNumberFormat="1" applyFont="1" applyFill="1" applyBorder="1" applyAlignment="1" applyProtection="1">
      <alignment horizontal="left" vertical="center" wrapText="1" indent="4"/>
    </xf>
    <xf numFmtId="164" fontId="73" fillId="34" borderId="0" xfId="1" applyNumberFormat="1" applyFont="1" applyFill="1" applyBorder="1" applyAlignment="1" applyProtection="1">
      <alignment horizontal="left" vertical="center" wrapText="1" indent="4"/>
    </xf>
    <xf numFmtId="167" fontId="73" fillId="0" borderId="0" xfId="0" applyNumberFormat="1" applyFont="1" applyBorder="1" applyAlignment="1" applyProtection="1">
      <alignment horizontal="left" vertical="center" wrapText="1" indent="3"/>
    </xf>
    <xf numFmtId="164" fontId="23" fillId="2" borderId="0" xfId="0" applyFont="1" applyFill="1"/>
    <xf numFmtId="167" fontId="23" fillId="2" borderId="0" xfId="0" applyNumberFormat="1" applyFont="1" applyFill="1"/>
    <xf numFmtId="164" fontId="106" fillId="2" borderId="28" xfId="0" applyFont="1" applyFill="1" applyBorder="1" applyAlignment="1">
      <alignment horizontal="center"/>
    </xf>
    <xf numFmtId="164" fontId="23" fillId="2" borderId="0" xfId="0" applyFont="1" applyFill="1" applyAlignment="1">
      <alignment horizontal="left" vertical="center" wrapText="1"/>
    </xf>
    <xf numFmtId="0" fontId="103" fillId="17" borderId="0" xfId="0" applyNumberFormat="1" applyFont="1" applyFill="1" applyBorder="1" applyAlignment="1" applyProtection="1">
      <alignment horizontal="left" vertical="top"/>
    </xf>
    <xf numFmtId="0" fontId="73" fillId="2" borderId="0" xfId="1" applyNumberFormat="1" applyFont="1" applyFill="1" applyBorder="1" applyAlignment="1" applyProtection="1">
      <alignment horizontal="left" vertical="center" wrapText="1" indent="1"/>
    </xf>
    <xf numFmtId="164" fontId="0" fillId="2" borderId="0" xfId="0" applyFill="1" applyBorder="1" applyAlignment="1">
      <alignment horizontal="left" vertical="center" indent="1"/>
    </xf>
    <xf numFmtId="0" fontId="73" fillId="2" borderId="2" xfId="0" applyNumberFormat="1" applyFont="1" applyFill="1" applyBorder="1" applyAlignment="1" applyProtection="1">
      <alignment horizontal="left" vertical="center" wrapText="1" indent="1"/>
      <protection locked="0"/>
    </xf>
    <xf numFmtId="164" fontId="0" fillId="0" borderId="0" xfId="0" applyAlignment="1">
      <alignment horizontal="left" vertical="center" indent="1"/>
    </xf>
    <xf numFmtId="166" fontId="6" fillId="13" borderId="0" xfId="4" applyNumberFormat="1" applyFont="1" applyFill="1" applyBorder="1" applyAlignment="1" applyProtection="1">
      <alignment horizontal="left" vertical="center" indent="1"/>
    </xf>
    <xf numFmtId="164" fontId="0" fillId="12" borderId="0" xfId="0" applyFill="1" applyBorder="1" applyAlignment="1">
      <alignment horizontal="left" vertical="center" indent="1"/>
    </xf>
    <xf numFmtId="164" fontId="0" fillId="0" borderId="10" xfId="0" applyBorder="1"/>
    <xf numFmtId="164" fontId="73" fillId="0" borderId="0" xfId="0" quotePrefix="1" applyFont="1" applyAlignment="1">
      <alignment horizontal="left" vertical="center" indent="2"/>
    </xf>
    <xf numFmtId="164" fontId="73" fillId="0" borderId="0" xfId="0" quotePrefix="1" applyFont="1" applyAlignment="1">
      <alignment horizontal="left" vertical="center" indent="1"/>
    </xf>
    <xf numFmtId="0" fontId="73" fillId="2" borderId="0" xfId="0" applyNumberFormat="1" applyFont="1" applyFill="1" applyBorder="1" applyAlignment="1" applyProtection="1">
      <alignment horizontal="left" vertical="center" wrapText="1"/>
      <protection locked="0"/>
    </xf>
    <xf numFmtId="164" fontId="73" fillId="0" borderId="0" xfId="0" quotePrefix="1" applyFont="1" applyAlignment="1" applyProtection="1">
      <alignment horizontal="left" vertical="center" indent="1"/>
      <protection locked="0"/>
    </xf>
    <xf numFmtId="164" fontId="73" fillId="0" borderId="0" xfId="0" applyFont="1" applyAlignment="1" applyProtection="1">
      <alignment horizontal="left" vertical="center" indent="1"/>
      <protection locked="0"/>
    </xf>
    <xf numFmtId="0" fontId="73" fillId="2" borderId="0" xfId="0" applyNumberFormat="1" applyFont="1" applyFill="1" applyBorder="1" applyAlignment="1" applyProtection="1">
      <alignment horizontal="left" vertical="center" wrapText="1" indent="3"/>
      <protection locked="0"/>
    </xf>
    <xf numFmtId="164" fontId="73" fillId="0" borderId="0" xfId="0" applyFont="1" applyAlignment="1" applyProtection="1">
      <alignment horizontal="left" vertical="center" indent="4"/>
      <protection locked="0"/>
    </xf>
    <xf numFmtId="0" fontId="73" fillId="2" borderId="0" xfId="0" applyNumberFormat="1" applyFont="1" applyFill="1" applyBorder="1" applyAlignment="1" applyProtection="1">
      <alignment horizontal="left" vertical="center" wrapText="1" indent="6"/>
      <protection locked="0"/>
    </xf>
    <xf numFmtId="164" fontId="73" fillId="0" borderId="0" xfId="0" applyFont="1" applyAlignment="1" applyProtection="1">
      <alignment horizontal="left" vertical="center" indent="7"/>
      <protection locked="0"/>
    </xf>
    <xf numFmtId="164" fontId="73" fillId="0" borderId="0" xfId="0" applyFont="1" applyAlignment="1" applyProtection="1">
      <alignment horizontal="left" vertical="center" indent="1"/>
    </xf>
    <xf numFmtId="164" fontId="73" fillId="0" borderId="0" xfId="0" applyFont="1" applyAlignment="1" applyProtection="1">
      <alignment horizontal="left" vertical="center" indent="3"/>
    </xf>
    <xf numFmtId="0" fontId="73" fillId="2" borderId="0" xfId="0" quotePrefix="1" applyNumberFormat="1" applyFont="1" applyFill="1" applyBorder="1" applyAlignment="1" applyProtection="1">
      <alignment horizontal="left" wrapText="1" indent="3"/>
    </xf>
    <xf numFmtId="164" fontId="73" fillId="0" borderId="0" xfId="1" applyNumberFormat="1" applyFont="1" applyFill="1" applyBorder="1" applyAlignment="1" applyProtection="1">
      <alignment horizontal="left" vertical="top" wrapText="1" indent="1"/>
    </xf>
    <xf numFmtId="164" fontId="88" fillId="0" borderId="27" xfId="0" applyFont="1" applyFill="1" applyBorder="1" applyAlignment="1" applyProtection="1"/>
    <xf numFmtId="164" fontId="73" fillId="2" borderId="0" xfId="0" quotePrefix="1" applyNumberFormat="1" applyFont="1" applyFill="1" applyBorder="1" applyAlignment="1" applyProtection="1">
      <alignment horizontal="left" vertical="center" wrapText="1" indent="4"/>
    </xf>
    <xf numFmtId="167" fontId="105" fillId="0" borderId="0" xfId="0" applyNumberFormat="1" applyFont="1" applyBorder="1" applyAlignment="1" applyProtection="1">
      <alignment vertical="center" wrapText="1"/>
    </xf>
    <xf numFmtId="1" fontId="0" fillId="12" borderId="0" xfId="0" applyNumberFormat="1" applyFill="1" applyBorder="1"/>
    <xf numFmtId="1" fontId="80" fillId="2" borderId="11" xfId="0" applyNumberFormat="1" applyFont="1" applyFill="1" applyBorder="1" applyAlignment="1" applyProtection="1">
      <alignment horizontal="center" vertical="center" wrapText="1"/>
      <protection locked="0"/>
    </xf>
    <xf numFmtId="164" fontId="80" fillId="2" borderId="11" xfId="0" applyNumberFormat="1" applyFont="1" applyFill="1" applyBorder="1" applyAlignment="1" applyProtection="1">
      <alignment horizontal="center" vertical="center" wrapText="1"/>
      <protection locked="0"/>
    </xf>
    <xf numFmtId="164" fontId="80" fillId="2" borderId="25" xfId="0" applyNumberFormat="1" applyFont="1" applyFill="1" applyBorder="1" applyAlignment="1" applyProtection="1">
      <alignment horizontal="center" vertical="center" wrapText="1"/>
      <protection locked="0"/>
    </xf>
    <xf numFmtId="164" fontId="80" fillId="2" borderId="26" xfId="0" applyNumberFormat="1" applyFont="1" applyFill="1" applyBorder="1" applyAlignment="1" applyProtection="1">
      <alignment horizontal="center" vertical="center" wrapText="1"/>
      <protection locked="0"/>
    </xf>
    <xf numFmtId="164" fontId="73" fillId="0" borderId="0" xfId="1" applyNumberFormat="1" applyFont="1" applyFill="1" applyBorder="1" applyAlignment="1" applyProtection="1">
      <alignment horizontal="left" vertical="center" wrapText="1" indent="5"/>
    </xf>
    <xf numFmtId="164" fontId="73" fillId="2" borderId="0" xfId="1" applyNumberFormat="1" applyFont="1" applyFill="1" applyBorder="1" applyAlignment="1" applyProtection="1">
      <alignment horizontal="left" vertical="center" wrapText="1" indent="5"/>
    </xf>
    <xf numFmtId="164" fontId="73" fillId="2" borderId="0" xfId="1" applyNumberFormat="1" applyFont="1" applyFill="1" applyBorder="1" applyAlignment="1" applyProtection="1">
      <alignment horizontal="left" vertical="center" wrapText="1" indent="6"/>
    </xf>
    <xf numFmtId="164" fontId="73" fillId="2" borderId="0" xfId="1" applyNumberFormat="1" applyFont="1" applyFill="1" applyBorder="1" applyAlignment="1" applyProtection="1">
      <alignment horizontal="left" vertical="center" wrapText="1" indent="7"/>
    </xf>
    <xf numFmtId="164" fontId="73" fillId="2" borderId="0" xfId="1" applyNumberFormat="1" applyFont="1" applyFill="1" applyBorder="1" applyAlignment="1" applyProtection="1">
      <alignment horizontal="left" vertical="center" wrapText="1" indent="4"/>
    </xf>
    <xf numFmtId="166" fontId="73" fillId="0" borderId="2" xfId="0" applyNumberFormat="1" applyFont="1" applyBorder="1" applyAlignment="1" applyProtection="1">
      <alignment vertical="center"/>
      <protection locked="0"/>
    </xf>
    <xf numFmtId="0" fontId="108" fillId="0" borderId="0" xfId="0" applyNumberFormat="1" applyFont="1" applyBorder="1" applyAlignment="1" applyProtection="1">
      <alignment horizontal="left" vertical="center" wrapText="1"/>
    </xf>
    <xf numFmtId="0" fontId="73" fillId="0" borderId="0" xfId="0" quotePrefix="1" applyNumberFormat="1" applyFont="1" applyBorder="1" applyAlignment="1" applyProtection="1">
      <alignment horizontal="left" vertical="center" wrapText="1" indent="4"/>
    </xf>
    <xf numFmtId="0" fontId="80" fillId="2" borderId="0" xfId="0" applyNumberFormat="1" applyFont="1" applyFill="1" applyBorder="1" applyAlignment="1" applyProtection="1">
      <alignment horizontal="center" wrapText="1"/>
    </xf>
    <xf numFmtId="164" fontId="73" fillId="2" borderId="0" xfId="0" applyFont="1" applyFill="1" applyBorder="1" applyAlignment="1" applyProtection="1">
      <alignment horizontal="right"/>
    </xf>
    <xf numFmtId="0" fontId="0" fillId="12" borderId="0" xfId="0" applyNumberFormat="1" applyFill="1" applyBorder="1"/>
    <xf numFmtId="0" fontId="6" fillId="13" borderId="0" xfId="4" applyNumberFormat="1" applyFont="1" applyFill="1" applyBorder="1" applyAlignment="1" applyProtection="1">
      <alignment horizontal="center" vertical="center"/>
    </xf>
    <xf numFmtId="165" fontId="0" fillId="12" borderId="0" xfId="0" applyNumberFormat="1" applyFill="1" applyAlignment="1">
      <alignment vertical="center"/>
    </xf>
    <xf numFmtId="1" fontId="23" fillId="12" borderId="0" xfId="0" applyNumberFormat="1" applyFont="1" applyFill="1" applyBorder="1" applyAlignment="1" applyProtection="1">
      <alignment horizontal="center" vertical="center"/>
    </xf>
    <xf numFmtId="164" fontId="42" fillId="2" borderId="0" xfId="0" applyFont="1" applyFill="1" applyAlignment="1">
      <alignment horizontal="left" vertical="center"/>
    </xf>
    <xf numFmtId="164" fontId="23" fillId="2" borderId="0" xfId="0" applyFont="1" applyFill="1" applyAlignment="1" applyProtection="1">
      <alignment horizontal="left" vertical="center" wrapText="1"/>
      <protection locked="0"/>
    </xf>
    <xf numFmtId="0" fontId="110" fillId="29" borderId="22" xfId="1" applyFill="1" applyBorder="1" applyAlignment="1" applyProtection="1">
      <alignment horizontal="center" vertical="center"/>
    </xf>
    <xf numFmtId="164" fontId="0" fillId="0" borderId="0" xfId="0" applyAlignment="1">
      <alignment horizontal="right" vertical="center"/>
    </xf>
    <xf numFmtId="164" fontId="73" fillId="0" borderId="0" xfId="0" applyNumberFormat="1" applyFont="1" applyFill="1" applyBorder="1" applyAlignment="1" applyProtection="1">
      <alignment horizontal="left" vertical="center" wrapText="1" indent="3"/>
    </xf>
    <xf numFmtId="0" fontId="73" fillId="0" borderId="0" xfId="0" quotePrefix="1" applyNumberFormat="1" applyFont="1" applyFill="1" applyBorder="1" applyAlignment="1" applyProtection="1">
      <alignment horizontal="left" vertical="center" wrapText="1" indent="3"/>
    </xf>
    <xf numFmtId="0" fontId="73" fillId="2" borderId="0" xfId="0" quotePrefix="1" applyNumberFormat="1" applyFont="1" applyFill="1" applyBorder="1" applyAlignment="1" applyProtection="1">
      <alignment horizontal="left" vertical="center" wrapText="1" indent="3"/>
    </xf>
    <xf numFmtId="0" fontId="73" fillId="2" borderId="0" xfId="0" quotePrefix="1" applyNumberFormat="1" applyFont="1" applyFill="1" applyBorder="1" applyAlignment="1" applyProtection="1">
      <alignment horizontal="left" wrapText="1" indent="3"/>
      <protection locked="0"/>
    </xf>
    <xf numFmtId="0" fontId="111" fillId="36" borderId="31" xfId="1" applyFont="1" applyFill="1" applyAlignment="1" applyProtection="1">
      <alignment horizontal="center"/>
    </xf>
    <xf numFmtId="0" fontId="111" fillId="35" borderId="31" xfId="1" applyFont="1" applyAlignment="1" applyProtection="1">
      <alignment horizontal="center"/>
    </xf>
    <xf numFmtId="0" fontId="111" fillId="36" borderId="31" xfId="1" applyNumberFormat="1" applyFont="1" applyFill="1" applyAlignment="1" applyProtection="1">
      <alignment horizontal="center" wrapText="1"/>
    </xf>
    <xf numFmtId="164" fontId="111" fillId="36" borderId="31" xfId="1" applyNumberFormat="1" applyFont="1" applyFill="1" applyAlignment="1" applyProtection="1">
      <alignment horizontal="center" vertical="center"/>
    </xf>
    <xf numFmtId="0" fontId="111" fillId="36" borderId="31" xfId="1" applyFont="1" applyFill="1" applyAlignment="1" applyProtection="1">
      <alignment horizontal="center" vertical="center"/>
    </xf>
    <xf numFmtId="164" fontId="111" fillId="36" borderId="31" xfId="1" applyNumberFormat="1" applyFont="1" applyFill="1" applyAlignment="1" applyProtection="1">
      <alignment horizontal="center"/>
    </xf>
    <xf numFmtId="0" fontId="111" fillId="36" borderId="31" xfId="1" applyNumberFormat="1" applyFont="1" applyFill="1" applyAlignment="1" applyProtection="1">
      <alignment horizontal="center" vertical="center" wrapText="1"/>
    </xf>
    <xf numFmtId="0" fontId="107" fillId="29" borderId="15" xfId="1" applyFont="1" applyFill="1" applyBorder="1" applyAlignment="1" applyProtection="1">
      <alignment horizontal="center" vertical="center"/>
    </xf>
    <xf numFmtId="164" fontId="73" fillId="0" borderId="0" xfId="0" applyFont="1" applyAlignment="1">
      <alignment horizontal="left" vertical="center" indent="4"/>
    </xf>
    <xf numFmtId="0" fontId="32" fillId="7" borderId="0" xfId="0" applyNumberFormat="1" applyFont="1" applyFill="1" applyBorder="1" applyAlignment="1" applyProtection="1">
      <alignment horizontal="left"/>
    </xf>
    <xf numFmtId="164" fontId="73" fillId="0" borderId="0" xfId="0" applyFont="1" applyFill="1" applyBorder="1" applyAlignment="1" applyProtection="1">
      <alignment horizontal="left" vertical="center" wrapText="1" indent="2"/>
    </xf>
    <xf numFmtId="0" fontId="80" fillId="33" borderId="0" xfId="1" applyNumberFormat="1" applyFont="1" applyFill="1" applyBorder="1" applyAlignment="1" applyProtection="1">
      <alignment horizontal="left" vertical="center" wrapText="1" indent="3"/>
    </xf>
    <xf numFmtId="164" fontId="73" fillId="34" borderId="0" xfId="0" applyNumberFormat="1" applyFont="1" applyFill="1" applyBorder="1" applyAlignment="1" applyProtection="1">
      <alignment horizontal="left" vertical="center" wrapText="1"/>
    </xf>
    <xf numFmtId="164" fontId="73" fillId="34" borderId="0" xfId="1" applyNumberFormat="1" applyFont="1" applyFill="1" applyBorder="1" applyAlignment="1" applyProtection="1">
      <alignment horizontal="left" vertical="center" wrapText="1" indent="1"/>
    </xf>
    <xf numFmtId="164" fontId="73" fillId="34" borderId="0" xfId="0" applyNumberFormat="1" applyFont="1" applyFill="1" applyBorder="1" applyAlignment="1" applyProtection="1">
      <alignment horizontal="left" vertical="center" wrapText="1" indent="1"/>
    </xf>
    <xf numFmtId="164" fontId="73" fillId="34" borderId="0" xfId="1" applyNumberFormat="1" applyFont="1" applyFill="1" applyBorder="1" applyAlignment="1" applyProtection="1">
      <alignment horizontal="left" vertical="center" wrapText="1" indent="3"/>
    </xf>
    <xf numFmtId="164" fontId="73" fillId="34" borderId="0" xfId="1" applyNumberFormat="1" applyFont="1" applyFill="1" applyBorder="1" applyAlignment="1" applyProtection="1">
      <alignment horizontal="left" vertical="center" wrapText="1" indent="6"/>
    </xf>
    <xf numFmtId="164" fontId="80" fillId="2" borderId="0" xfId="0" applyNumberFormat="1" applyFont="1" applyFill="1" applyBorder="1" applyAlignment="1" applyProtection="1">
      <alignment horizontal="center" wrapText="1"/>
    </xf>
    <xf numFmtId="0" fontId="29" fillId="0" borderId="0" xfId="0" applyNumberFormat="1" applyFont="1" applyBorder="1" applyAlignment="1" applyProtection="1">
      <alignment horizontal="right" vertical="center" wrapText="1" indent="3"/>
    </xf>
    <xf numFmtId="166" fontId="73" fillId="5" borderId="2" xfId="0" applyNumberFormat="1" applyFont="1" applyFill="1" applyBorder="1" applyAlignment="1" applyProtection="1">
      <alignment horizontal="right" vertical="center"/>
      <protection locked="0"/>
    </xf>
    <xf numFmtId="164" fontId="23" fillId="2" borderId="0" xfId="0" applyFont="1" applyFill="1" applyAlignment="1">
      <alignment horizontal="left" vertical="top"/>
    </xf>
    <xf numFmtId="0" fontId="116" fillId="2" borderId="0" xfId="0" applyNumberFormat="1" applyFont="1" applyFill="1" applyBorder="1" applyAlignment="1" applyProtection="1">
      <alignment horizontal="left" wrapText="1"/>
    </xf>
    <xf numFmtId="0" fontId="115" fillId="2" borderId="3" xfId="0" applyNumberFormat="1" applyFont="1" applyFill="1" applyBorder="1" applyAlignment="1" applyProtection="1">
      <alignment horizontal="center" vertical="center" wrapText="1"/>
      <protection locked="0"/>
    </xf>
    <xf numFmtId="167" fontId="73" fillId="2" borderId="0" xfId="0" applyNumberFormat="1" applyFont="1" applyFill="1" applyBorder="1" applyAlignment="1" applyProtection="1">
      <alignment horizontal="left" vertical="center" wrapText="1"/>
    </xf>
    <xf numFmtId="167" fontId="73" fillId="2" borderId="0" xfId="0" applyNumberFormat="1" applyFont="1" applyFill="1" applyBorder="1" applyAlignment="1" applyProtection="1">
      <alignment horizontal="left" vertical="center" wrapText="1" indent="3"/>
    </xf>
    <xf numFmtId="167" fontId="73" fillId="2" borderId="0" xfId="0" quotePrefix="1" applyNumberFormat="1" applyFont="1" applyFill="1" applyBorder="1" applyAlignment="1" applyProtection="1">
      <alignment horizontal="left" vertical="center" wrapText="1" indent="1"/>
    </xf>
    <xf numFmtId="0" fontId="32" fillId="7" borderId="0" xfId="0" applyNumberFormat="1" applyFont="1" applyFill="1" applyBorder="1" applyAlignment="1" applyProtection="1">
      <alignment horizontal="left"/>
    </xf>
    <xf numFmtId="167" fontId="73" fillId="2" borderId="0" xfId="0" applyNumberFormat="1" applyFont="1" applyFill="1" applyBorder="1" applyAlignment="1" applyProtection="1">
      <alignment horizontal="left" vertical="center" wrapText="1" indent="2"/>
    </xf>
    <xf numFmtId="0" fontId="108" fillId="0" borderId="0" xfId="0" applyNumberFormat="1" applyFont="1" applyBorder="1" applyAlignment="1" applyProtection="1">
      <alignment horizontal="left" vertical="center" wrapText="1"/>
    </xf>
    <xf numFmtId="164" fontId="23" fillId="0" borderId="0" xfId="0" applyFont="1" applyFill="1"/>
    <xf numFmtId="166" fontId="66" fillId="0" borderId="2" xfId="0" applyNumberFormat="1" applyFont="1" applyFill="1" applyBorder="1" applyAlignment="1" applyProtection="1">
      <alignment horizontal="right"/>
      <protection locked="0"/>
    </xf>
    <xf numFmtId="0" fontId="117" fillId="0" borderId="0" xfId="0" applyNumberFormat="1" applyFont="1" applyFill="1" applyBorder="1" applyAlignment="1" applyProtection="1">
      <alignment horizontal="left" wrapText="1"/>
    </xf>
    <xf numFmtId="0" fontId="108" fillId="0" borderId="0" xfId="0" applyNumberFormat="1" applyFont="1" applyBorder="1" applyAlignment="1" applyProtection="1">
      <alignment vertical="center" wrapText="1"/>
    </xf>
    <xf numFmtId="0" fontId="80" fillId="0" borderId="11" xfId="0" applyNumberFormat="1" applyFont="1" applyFill="1" applyBorder="1" applyAlignment="1" applyProtection="1">
      <alignment horizontal="center" vertical="center" wrapText="1"/>
      <protection locked="0"/>
    </xf>
    <xf numFmtId="0" fontId="71" fillId="0" borderId="11" xfId="0" applyNumberFormat="1" applyFont="1" applyFill="1" applyBorder="1" applyAlignment="1" applyProtection="1">
      <alignment horizontal="center" vertical="center" wrapText="1"/>
      <protection locked="0"/>
    </xf>
    <xf numFmtId="164" fontId="73" fillId="2" borderId="0" xfId="0" applyFont="1" applyFill="1" applyBorder="1" applyAlignment="1" applyProtection="1">
      <alignment wrapText="1"/>
    </xf>
    <xf numFmtId="164" fontId="0" fillId="0" borderId="0" xfId="0" applyProtection="1"/>
    <xf numFmtId="0" fontId="114" fillId="2" borderId="0" xfId="0" quotePrefix="1" applyNumberFormat="1" applyFont="1" applyFill="1" applyBorder="1" applyAlignment="1" applyProtection="1">
      <alignment horizontal="left" wrapText="1"/>
    </xf>
    <xf numFmtId="0" fontId="73" fillId="0" borderId="0" xfId="0" quotePrefix="1" applyNumberFormat="1" applyFont="1" applyFill="1" applyBorder="1" applyAlignment="1" applyProtection="1">
      <alignment horizontal="left" wrapText="1"/>
    </xf>
    <xf numFmtId="0" fontId="73" fillId="0" borderId="0" xfId="0" applyNumberFormat="1" applyFont="1" applyBorder="1" applyAlignment="1" applyProtection="1">
      <alignment horizontal="left" wrapText="1"/>
    </xf>
    <xf numFmtId="0" fontId="73" fillId="2" borderId="0" xfId="0" applyNumberFormat="1" applyFont="1" applyFill="1" applyBorder="1" applyAlignment="1" applyProtection="1">
      <alignment wrapText="1"/>
    </xf>
    <xf numFmtId="164" fontId="73" fillId="2" borderId="0" xfId="0" applyFont="1" applyFill="1" applyBorder="1" applyAlignment="1" applyProtection="1">
      <alignment horizontal="left" wrapText="1"/>
    </xf>
    <xf numFmtId="164" fontId="0" fillId="0" borderId="0" xfId="0" applyAlignment="1" applyProtection="1"/>
    <xf numFmtId="164" fontId="91" fillId="0" borderId="0" xfId="0" applyFont="1" applyBorder="1" applyAlignment="1" applyProtection="1">
      <alignment vertical="center"/>
    </xf>
    <xf numFmtId="0" fontId="73" fillId="0" borderId="10" xfId="0" applyNumberFormat="1" applyFont="1" applyBorder="1" applyAlignment="1" applyProtection="1">
      <alignment horizontal="left" wrapText="1"/>
    </xf>
    <xf numFmtId="0" fontId="96" fillId="2" borderId="2" xfId="1" applyNumberFormat="1" applyFont="1" applyFill="1" applyBorder="1" applyAlignment="1" applyProtection="1">
      <alignment horizontal="center" vertical="center" wrapText="1"/>
      <protection locked="0"/>
    </xf>
    <xf numFmtId="0" fontId="96" fillId="2" borderId="13" xfId="1" applyNumberFormat="1" applyFont="1" applyFill="1" applyBorder="1" applyAlignment="1" applyProtection="1">
      <alignment horizontal="center" vertical="center" wrapText="1"/>
      <protection locked="0"/>
    </xf>
    <xf numFmtId="0" fontId="73" fillId="0" borderId="2" xfId="0" applyNumberFormat="1" applyFont="1" applyBorder="1" applyAlignment="1" applyProtection="1">
      <alignment horizontal="left" vertical="center" wrapText="1"/>
      <protection locked="0"/>
    </xf>
    <xf numFmtId="164" fontId="73" fillId="0" borderId="0" xfId="0" applyNumberFormat="1" applyFont="1" applyBorder="1" applyAlignment="1" applyProtection="1">
      <alignment horizontal="left" vertical="center" wrapText="1" indent="21"/>
    </xf>
    <xf numFmtId="164" fontId="73" fillId="0" borderId="0" xfId="0" quotePrefix="1" applyNumberFormat="1" applyFont="1" applyFill="1" applyBorder="1" applyAlignment="1" applyProtection="1">
      <alignment horizontal="left" vertical="center" wrapText="1" indent="2"/>
    </xf>
    <xf numFmtId="166" fontId="6" fillId="5" borderId="0" xfId="4" applyNumberFormat="1" applyFont="1" applyFill="1" applyBorder="1" applyAlignment="1" applyProtection="1">
      <alignment horizontal="center" vertical="center"/>
    </xf>
    <xf numFmtId="164" fontId="6" fillId="2" borderId="0" xfId="0" applyFont="1" applyFill="1" applyAlignment="1">
      <alignment horizontal="center"/>
    </xf>
    <xf numFmtId="166" fontId="89" fillId="5" borderId="32" xfId="0" applyNumberFormat="1" applyFont="1" applyFill="1" applyBorder="1" applyAlignment="1" applyProtection="1">
      <alignment horizontal="right"/>
    </xf>
    <xf numFmtId="0" fontId="73" fillId="34" borderId="0" xfId="1" applyNumberFormat="1" applyFont="1" applyFill="1" applyBorder="1" applyAlignment="1" applyProtection="1">
      <alignment horizontal="left" vertical="center" wrapText="1" indent="6"/>
    </xf>
    <xf numFmtId="0" fontId="73" fillId="34" borderId="0" xfId="1" applyNumberFormat="1" applyFont="1" applyFill="1" applyBorder="1" applyAlignment="1" applyProtection="1">
      <alignment horizontal="left" vertical="center" wrapText="1" indent="7"/>
    </xf>
    <xf numFmtId="0" fontId="73" fillId="34" borderId="0" xfId="1" applyNumberFormat="1" applyFont="1" applyFill="1" applyBorder="1" applyAlignment="1" applyProtection="1">
      <alignment horizontal="left" vertical="center" wrapText="1" indent="8"/>
    </xf>
    <xf numFmtId="0" fontId="73" fillId="34" borderId="0" xfId="1" applyNumberFormat="1" applyFont="1" applyFill="1" applyBorder="1" applyAlignment="1" applyProtection="1">
      <alignment horizontal="left" vertical="center" wrapText="1" indent="9"/>
    </xf>
    <xf numFmtId="0" fontId="67" fillId="2" borderId="0" xfId="0" applyNumberFormat="1" applyFont="1" applyFill="1" applyBorder="1" applyAlignment="1" applyProtection="1">
      <alignment horizontal="left" wrapText="1"/>
    </xf>
    <xf numFmtId="167" fontId="73" fillId="0" borderId="0" xfId="1" applyNumberFormat="1" applyFont="1" applyFill="1" applyBorder="1" applyAlignment="1" applyProtection="1">
      <alignment horizontal="left" vertical="center" wrapText="1" indent="1"/>
    </xf>
    <xf numFmtId="166" fontId="6" fillId="13" borderId="0" xfId="4" applyNumberFormat="1" applyFont="1" applyFill="1" applyBorder="1" applyAlignment="1" applyProtection="1">
      <alignment vertical="center"/>
    </xf>
    <xf numFmtId="166" fontId="6" fillId="11" borderId="0" xfId="4" applyNumberFormat="1" applyFont="1" applyFill="1" applyBorder="1" applyAlignment="1" applyProtection="1">
      <alignment vertical="center"/>
    </xf>
    <xf numFmtId="14" fontId="118" fillId="37" borderId="0" xfId="4" applyNumberFormat="1" applyFont="1" applyFill="1" applyBorder="1" applyAlignment="1">
      <alignment horizontal="right"/>
    </xf>
    <xf numFmtId="164" fontId="6" fillId="11" borderId="0" xfId="4" applyFont="1" applyFill="1" applyBorder="1" applyAlignment="1" applyProtection="1">
      <alignment horizontal="left" vertical="center" indent="1"/>
    </xf>
    <xf numFmtId="0" fontId="73" fillId="2" borderId="0" xfId="1" applyNumberFormat="1" applyFont="1" applyFill="1" applyBorder="1" applyAlignment="1" applyProtection="1">
      <alignment horizontal="left" wrapText="1" indent="5"/>
    </xf>
    <xf numFmtId="164" fontId="75" fillId="10" borderId="15" xfId="0" applyFont="1" applyFill="1" applyBorder="1" applyProtection="1">
      <protection locked="0"/>
    </xf>
    <xf numFmtId="0" fontId="70" fillId="0" borderId="3" xfId="0" applyNumberFormat="1" applyFont="1" applyFill="1" applyBorder="1" applyAlignment="1" applyProtection="1">
      <alignment horizontal="center" vertical="center" wrapText="1"/>
      <protection locked="0"/>
    </xf>
    <xf numFmtId="166" fontId="73" fillId="5" borderId="2" xfId="0" applyNumberFormat="1" applyFont="1" applyFill="1" applyBorder="1" applyAlignment="1" applyProtection="1">
      <alignment vertical="center"/>
      <protection locked="0"/>
    </xf>
    <xf numFmtId="0" fontId="6" fillId="13" borderId="0" xfId="4" applyNumberFormat="1" applyFont="1" applyFill="1" applyBorder="1" applyAlignment="1" applyProtection="1">
      <alignment horizontal="center" vertical="center" wrapText="1"/>
    </xf>
    <xf numFmtId="1" fontId="6" fillId="13" borderId="0" xfId="4" applyNumberFormat="1" applyFont="1" applyFill="1" applyBorder="1" applyAlignment="1" applyProtection="1">
      <alignment horizontal="center" vertical="center" wrapText="1"/>
    </xf>
    <xf numFmtId="1" fontId="7" fillId="12" borderId="0" xfId="0" applyNumberFormat="1" applyFont="1" applyFill="1" applyAlignment="1">
      <alignment horizontal="left"/>
    </xf>
    <xf numFmtId="167" fontId="73" fillId="0" borderId="0" xfId="0" applyNumberFormat="1" applyFont="1" applyFill="1" applyBorder="1" applyAlignment="1" applyProtection="1">
      <alignment horizontal="left" vertical="center" wrapText="1" indent="3"/>
    </xf>
    <xf numFmtId="170" fontId="73" fillId="0" borderId="2" xfId="0" applyNumberFormat="1" applyFont="1" applyFill="1" applyBorder="1" applyAlignment="1" applyProtection="1">
      <alignment horizontal="right" vertical="center" wrapText="1"/>
    </xf>
    <xf numFmtId="164" fontId="68" fillId="0" borderId="0" xfId="0" applyFont="1" applyBorder="1" applyAlignment="1">
      <alignment horizontal="right" vertical="center"/>
    </xf>
    <xf numFmtId="164" fontId="68" fillId="0" borderId="0" xfId="0" applyFont="1" applyFill="1" applyBorder="1" applyAlignment="1" applyProtection="1">
      <alignment horizontal="right" vertical="center"/>
    </xf>
    <xf numFmtId="164" fontId="69" fillId="0" borderId="0" xfId="0" applyFont="1" applyFill="1" applyBorder="1" applyAlignment="1" applyProtection="1">
      <alignment horizontal="right" vertical="center"/>
    </xf>
    <xf numFmtId="164" fontId="0" fillId="0" borderId="0" xfId="0" applyBorder="1" applyAlignment="1">
      <alignment horizontal="right" vertical="center"/>
    </xf>
    <xf numFmtId="164" fontId="0" fillId="0" borderId="4" xfId="0" applyBorder="1" applyAlignment="1">
      <alignment horizontal="right" vertical="center"/>
    </xf>
    <xf numFmtId="164" fontId="0" fillId="0" borderId="16" xfId="0" applyBorder="1"/>
    <xf numFmtId="167" fontId="120" fillId="0" borderId="0" xfId="0" applyNumberFormat="1" applyFont="1" applyAlignment="1">
      <alignment horizontal="center" vertical="center"/>
    </xf>
    <xf numFmtId="164" fontId="0" fillId="10" borderId="0" xfId="0" applyFill="1"/>
    <xf numFmtId="167" fontId="122" fillId="10" borderId="0" xfId="0" applyNumberFormat="1" applyFont="1" applyFill="1" applyAlignment="1">
      <alignment horizontal="center" vertical="center"/>
    </xf>
    <xf numFmtId="164" fontId="1" fillId="10" borderId="0" xfId="0" applyFont="1" applyFill="1"/>
    <xf numFmtId="167" fontId="121" fillId="10" borderId="0" xfId="0" applyNumberFormat="1" applyFont="1" applyFill="1" applyAlignment="1">
      <alignment horizontal="center" vertical="center"/>
    </xf>
    <xf numFmtId="1" fontId="0" fillId="8" borderId="34" xfId="0" applyNumberFormat="1" applyFill="1" applyBorder="1" applyAlignment="1">
      <alignment horizontal="center" vertical="center"/>
    </xf>
    <xf numFmtId="171" fontId="124" fillId="0" borderId="36" xfId="0" applyNumberFormat="1" applyFont="1" applyBorder="1" applyAlignment="1">
      <alignment horizontal="center" vertical="center"/>
    </xf>
    <xf numFmtId="171" fontId="124" fillId="10" borderId="36" xfId="0" applyNumberFormat="1" applyFont="1" applyFill="1" applyBorder="1" applyAlignment="1">
      <alignment horizontal="center" vertical="center"/>
    </xf>
    <xf numFmtId="171" fontId="124" fillId="0" borderId="36" xfId="0" applyNumberFormat="1" applyFont="1" applyBorder="1"/>
    <xf numFmtId="171" fontId="124" fillId="10" borderId="36" xfId="0" applyNumberFormat="1" applyFont="1" applyFill="1" applyBorder="1"/>
    <xf numFmtId="164" fontId="126" fillId="0" borderId="0" xfId="0" applyFont="1"/>
    <xf numFmtId="164" fontId="0" fillId="0" borderId="37" xfId="0" applyBorder="1"/>
    <xf numFmtId="164" fontId="1" fillId="2" borderId="0" xfId="0" applyFont="1" applyFill="1"/>
    <xf numFmtId="164" fontId="123" fillId="2" borderId="0" xfId="0" applyFont="1" applyFill="1"/>
    <xf numFmtId="164" fontId="1" fillId="10" borderId="0" xfId="0" applyFont="1" applyFill="1" applyBorder="1"/>
    <xf numFmtId="164" fontId="123" fillId="10" borderId="0" xfId="0" applyFont="1" applyFill="1" applyBorder="1"/>
    <xf numFmtId="164" fontId="0" fillId="0" borderId="0" xfId="0" applyFill="1" applyBorder="1"/>
    <xf numFmtId="1" fontId="22" fillId="2" borderId="0" xfId="0" applyNumberFormat="1" applyFont="1" applyFill="1"/>
    <xf numFmtId="164" fontId="126" fillId="2" borderId="0" xfId="0" applyFont="1" applyFill="1"/>
    <xf numFmtId="164" fontId="128" fillId="0" borderId="0" xfId="0" applyFont="1"/>
    <xf numFmtId="164" fontId="129" fillId="0" borderId="0" xfId="0" applyFont="1" applyFill="1" applyAlignment="1">
      <alignment horizontal="right"/>
    </xf>
    <xf numFmtId="164" fontId="129" fillId="0" borderId="0" xfId="0" applyFont="1" applyAlignment="1">
      <alignment horizontal="left"/>
    </xf>
    <xf numFmtId="166" fontId="128" fillId="0" borderId="0" xfId="0" applyNumberFormat="1" applyFont="1" applyFill="1" applyAlignment="1">
      <alignment horizontal="right"/>
    </xf>
    <xf numFmtId="166" fontId="128" fillId="0" borderId="0" xfId="0" applyNumberFormat="1" applyFont="1" applyFill="1"/>
    <xf numFmtId="1" fontId="129" fillId="0" borderId="0" xfId="0" applyNumberFormat="1" applyFont="1" applyAlignment="1">
      <alignment horizontal="left"/>
    </xf>
    <xf numFmtId="164" fontId="130" fillId="2" borderId="0" xfId="0" applyFont="1" applyFill="1" applyAlignment="1">
      <alignment wrapText="1"/>
    </xf>
    <xf numFmtId="164" fontId="134" fillId="2" borderId="0" xfId="0" applyFont="1" applyFill="1" applyAlignment="1"/>
    <xf numFmtId="164" fontId="131" fillId="2" borderId="0" xfId="0" applyFont="1" applyFill="1" applyAlignment="1"/>
    <xf numFmtId="164" fontId="135" fillId="2" borderId="0" xfId="0" applyFont="1" applyFill="1"/>
    <xf numFmtId="0" fontId="0" fillId="2" borderId="0" xfId="0" applyNumberFormat="1" applyFill="1" applyAlignment="1">
      <alignment horizontal="left" vertical="top" indent="1"/>
    </xf>
    <xf numFmtId="0" fontId="0" fillId="2" borderId="0" xfId="0" applyNumberFormat="1" applyFill="1" applyAlignment="1">
      <alignment vertical="top"/>
    </xf>
    <xf numFmtId="164" fontId="0" fillId="2" borderId="36" xfId="0" applyFill="1" applyBorder="1"/>
    <xf numFmtId="164" fontId="36" fillId="2" borderId="0" xfId="0" applyFont="1" applyFill="1"/>
    <xf numFmtId="164" fontId="132" fillId="2" borderId="0" xfId="0" applyFont="1" applyFill="1" applyAlignment="1"/>
    <xf numFmtId="164" fontId="0" fillId="2" borderId="0" xfId="0" applyFont="1" applyFill="1" applyAlignment="1">
      <alignment horizontal="left" indent="3"/>
    </xf>
    <xf numFmtId="164" fontId="136" fillId="31" borderId="6" xfId="0" applyFont="1" applyFill="1" applyBorder="1" applyAlignment="1">
      <alignment horizontal="center" vertical="center"/>
    </xf>
    <xf numFmtId="164" fontId="136" fillId="31" borderId="6" xfId="0" applyFont="1" applyFill="1" applyBorder="1" applyAlignment="1">
      <alignment horizontal="center" vertical="center" wrapText="1"/>
    </xf>
    <xf numFmtId="164" fontId="137" fillId="31" borderId="6" xfId="0" applyFont="1" applyFill="1" applyBorder="1" applyAlignment="1">
      <alignment horizontal="center" vertical="center"/>
    </xf>
    <xf numFmtId="164" fontId="0" fillId="2" borderId="39" xfId="0" applyFont="1" applyFill="1" applyBorder="1" applyAlignment="1">
      <alignment horizontal="left" vertical="top" indent="1"/>
    </xf>
    <xf numFmtId="164" fontId="0" fillId="2" borderId="39" xfId="0" applyFill="1" applyBorder="1" applyAlignment="1">
      <alignment vertical="top" wrapText="1"/>
    </xf>
    <xf numFmtId="164" fontId="0" fillId="2" borderId="39" xfId="0" applyFill="1" applyBorder="1" applyAlignment="1">
      <alignment vertical="top"/>
    </xf>
    <xf numFmtId="164" fontId="0" fillId="2" borderId="39" xfId="0" applyFill="1" applyBorder="1" applyAlignment="1">
      <alignment horizontal="center" vertical="top"/>
    </xf>
    <xf numFmtId="166" fontId="0" fillId="2" borderId="39" xfId="0" applyNumberFormat="1" applyFill="1" applyBorder="1" applyAlignment="1">
      <alignment vertical="top"/>
    </xf>
    <xf numFmtId="164" fontId="0" fillId="2" borderId="39" xfId="0" applyFill="1" applyBorder="1" applyAlignment="1">
      <alignment horizontal="left" vertical="top" indent="1"/>
    </xf>
    <xf numFmtId="164" fontId="132" fillId="0" borderId="0" xfId="0" applyFont="1"/>
    <xf numFmtId="164" fontId="134" fillId="0" borderId="0" xfId="0" applyFont="1"/>
    <xf numFmtId="164" fontId="37" fillId="0" borderId="0" xfId="0" applyFont="1"/>
    <xf numFmtId="164" fontId="0" fillId="0" borderId="0" xfId="0" applyFill="1"/>
    <xf numFmtId="164" fontId="138" fillId="0" borderId="0" xfId="0" applyFont="1" applyFill="1"/>
    <xf numFmtId="164" fontId="36" fillId="0" borderId="0" xfId="0" applyFont="1" applyFill="1"/>
    <xf numFmtId="164" fontId="139" fillId="0" borderId="0" xfId="0" applyFont="1" applyFill="1"/>
    <xf numFmtId="164" fontId="119" fillId="2" borderId="35" xfId="0" applyFont="1" applyFill="1" applyBorder="1" applyAlignment="1">
      <alignment horizontal="right"/>
    </xf>
    <xf numFmtId="164" fontId="106" fillId="2" borderId="0" xfId="0" applyFont="1" applyFill="1" applyBorder="1" applyAlignment="1">
      <alignment horizontal="center"/>
    </xf>
    <xf numFmtId="164" fontId="127" fillId="2" borderId="0" xfId="0" applyFont="1" applyFill="1" applyBorder="1" applyAlignment="1">
      <alignment horizontal="center" vertical="center"/>
    </xf>
    <xf numFmtId="167" fontId="106" fillId="2" borderId="0" xfId="0" applyNumberFormat="1" applyFont="1" applyFill="1" applyBorder="1" applyAlignment="1">
      <alignment horizontal="center" vertical="top"/>
    </xf>
    <xf numFmtId="164" fontId="0" fillId="2" borderId="0" xfId="0" applyFill="1" applyAlignment="1">
      <alignment vertical="top" wrapText="1"/>
    </xf>
    <xf numFmtId="164" fontId="130" fillId="2" borderId="0" xfId="0" applyFont="1" applyFill="1" applyAlignment="1">
      <alignment horizontal="right" wrapText="1"/>
    </xf>
    <xf numFmtId="164" fontId="0" fillId="0" borderId="0" xfId="0" applyFill="1" applyAlignment="1">
      <alignment wrapText="1"/>
    </xf>
    <xf numFmtId="166" fontId="0" fillId="2" borderId="39" xfId="0" applyNumberFormat="1" applyFill="1" applyBorder="1" applyAlignment="1">
      <alignment horizontal="left" vertical="top" wrapText="1"/>
    </xf>
    <xf numFmtId="164" fontId="0" fillId="2" borderId="39" xfId="0" applyFill="1" applyBorder="1" applyAlignment="1">
      <alignment horizontal="left" vertical="top" wrapText="1"/>
    </xf>
    <xf numFmtId="166" fontId="0" fillId="2" borderId="0" xfId="0" applyNumberFormat="1" applyFill="1" applyBorder="1" applyAlignment="1">
      <alignment vertical="top"/>
    </xf>
    <xf numFmtId="164" fontId="0" fillId="2" borderId="0" xfId="0" applyFill="1" applyAlignment="1">
      <alignment wrapText="1"/>
    </xf>
    <xf numFmtId="164" fontId="132" fillId="2" borderId="0" xfId="0" applyFont="1" applyFill="1" applyAlignment="1">
      <alignment horizontal="left"/>
    </xf>
    <xf numFmtId="164" fontId="141" fillId="0" borderId="0" xfId="0" applyFont="1"/>
    <xf numFmtId="1" fontId="128" fillId="0" borderId="0" xfId="0" applyNumberFormat="1" applyFont="1" applyAlignment="1">
      <alignment horizontal="left" indent="1"/>
    </xf>
    <xf numFmtId="1" fontId="128" fillId="0" borderId="0" xfId="0" applyNumberFormat="1" applyFont="1" applyAlignment="1">
      <alignment horizontal="left" indent="2"/>
    </xf>
    <xf numFmtId="164" fontId="128" fillId="0" borderId="0" xfId="0" applyFont="1" applyAlignment="1">
      <alignment horizontal="left" indent="1"/>
    </xf>
    <xf numFmtId="1" fontId="128" fillId="0" borderId="0" xfId="0" applyNumberFormat="1" applyFont="1" applyFill="1"/>
    <xf numFmtId="164" fontId="73" fillId="2" borderId="0" xfId="0" quotePrefix="1" applyNumberFormat="1" applyFont="1" applyFill="1" applyBorder="1" applyAlignment="1" applyProtection="1">
      <alignment horizontal="left" vertical="center" wrapText="1" indent="3"/>
    </xf>
    <xf numFmtId="164" fontId="135" fillId="2" borderId="0" xfId="0" applyFont="1" applyFill="1" applyBorder="1" applyAlignment="1">
      <alignment vertical="center"/>
    </xf>
    <xf numFmtId="164" fontId="0" fillId="2" borderId="0" xfId="0" applyFill="1" applyBorder="1" applyAlignment="1">
      <alignment horizontal="left" vertical="center"/>
    </xf>
    <xf numFmtId="164" fontId="0" fillId="2" borderId="0" xfId="0" applyFill="1" applyBorder="1" applyAlignment="1">
      <alignment vertical="center"/>
    </xf>
    <xf numFmtId="164" fontId="0" fillId="2" borderId="0" xfId="0" applyFill="1" applyAlignment="1">
      <alignment vertical="center"/>
    </xf>
    <xf numFmtId="164" fontId="136" fillId="31" borderId="6" xfId="0" applyFont="1" applyFill="1" applyBorder="1" applyAlignment="1">
      <alignment horizontal="center"/>
    </xf>
    <xf numFmtId="164" fontId="136" fillId="31" borderId="6" xfId="0" applyFont="1" applyFill="1" applyBorder="1" applyAlignment="1">
      <alignment horizontal="center" wrapText="1"/>
    </xf>
    <xf numFmtId="164" fontId="0" fillId="2" borderId="0" xfId="0" applyFill="1" applyAlignment="1"/>
    <xf numFmtId="164" fontId="42" fillId="2" borderId="0" xfId="0" applyFont="1" applyFill="1" applyAlignment="1">
      <alignment horizontal="center" vertical="center" wrapText="1"/>
    </xf>
    <xf numFmtId="166" fontId="0" fillId="10" borderId="39" xfId="0" applyNumberFormat="1" applyFill="1" applyBorder="1" applyAlignment="1">
      <alignment horizontal="left" vertical="top" wrapText="1"/>
    </xf>
    <xf numFmtId="166" fontId="0" fillId="9" borderId="39" xfId="0" applyNumberFormat="1" applyFill="1" applyBorder="1" applyAlignment="1">
      <alignment horizontal="left" vertical="top" wrapText="1"/>
    </xf>
    <xf numFmtId="164" fontId="0" fillId="9" borderId="0" xfId="0" applyFill="1" applyAlignment="1">
      <alignment vertical="top" wrapText="1"/>
    </xf>
    <xf numFmtId="166" fontId="0" fillId="10" borderId="39" xfId="0" applyNumberFormat="1" applyFill="1" applyBorder="1" applyAlignment="1">
      <alignment horizontal="right" vertical="top" wrapText="1"/>
    </xf>
    <xf numFmtId="166" fontId="0" fillId="9" borderId="39" xfId="0" applyNumberFormat="1" applyFill="1" applyBorder="1" applyAlignment="1">
      <alignment horizontal="right" vertical="top" wrapText="1"/>
    </xf>
    <xf numFmtId="164" fontId="135" fillId="2" borderId="0" xfId="0" applyFont="1" applyFill="1" applyAlignment="1">
      <alignment horizontal="left" vertical="center"/>
    </xf>
    <xf numFmtId="164" fontId="0" fillId="2" borderId="0" xfId="0" applyFill="1" applyAlignment="1">
      <alignment horizontal="left" vertical="center"/>
    </xf>
    <xf numFmtId="164" fontId="132" fillId="2" borderId="0" xfId="0" applyFont="1" applyFill="1" applyAlignment="1">
      <alignment horizontal="left" vertical="center"/>
    </xf>
    <xf numFmtId="164" fontId="0" fillId="0" borderId="0" xfId="0" applyAlignment="1">
      <alignment horizontal="left" vertical="center"/>
    </xf>
    <xf numFmtId="164" fontId="0" fillId="10" borderId="39" xfId="0" applyFill="1" applyBorder="1" applyAlignment="1">
      <alignment vertical="top" wrapText="1"/>
    </xf>
    <xf numFmtId="164" fontId="0" fillId="9" borderId="39" xfId="0" applyFill="1" applyBorder="1" applyAlignment="1">
      <alignment vertical="top" wrapText="1"/>
    </xf>
    <xf numFmtId="166" fontId="0" fillId="9" borderId="39" xfId="0" applyNumberFormat="1" applyFill="1" applyBorder="1" applyAlignment="1">
      <alignment vertical="top" wrapText="1"/>
    </xf>
    <xf numFmtId="166" fontId="0" fillId="9" borderId="39" xfId="0" applyNumberFormat="1" applyFill="1" applyBorder="1" applyAlignment="1">
      <alignment vertical="top"/>
    </xf>
    <xf numFmtId="164" fontId="6" fillId="11" borderId="0" xfId="4" applyFont="1" applyFill="1" applyBorder="1" applyAlignment="1" applyProtection="1">
      <alignment horizontal="left" vertical="center" wrapText="1" indent="2"/>
    </xf>
    <xf numFmtId="164" fontId="140" fillId="0" borderId="0" xfId="0" applyFont="1" applyAlignment="1">
      <alignment vertical="top"/>
    </xf>
    <xf numFmtId="164" fontId="0" fillId="2" borderId="0" xfId="0" applyFill="1" applyAlignment="1">
      <alignment vertical="top"/>
    </xf>
    <xf numFmtId="164" fontId="36" fillId="2" borderId="0" xfId="0" applyFont="1" applyFill="1" applyAlignment="1">
      <alignment horizontal="left" indent="15"/>
    </xf>
    <xf numFmtId="164" fontId="0" fillId="9" borderId="39" xfId="0" applyFill="1" applyBorder="1" applyAlignment="1">
      <alignment horizontal="center" vertical="top"/>
    </xf>
    <xf numFmtId="164" fontId="0" fillId="10" borderId="39" xfId="0" applyFill="1" applyBorder="1" applyAlignment="1">
      <alignment horizontal="center" vertical="top"/>
    </xf>
    <xf numFmtId="164" fontId="0" fillId="10" borderId="39" xfId="0" applyFill="1" applyBorder="1" applyAlignment="1">
      <alignment horizontal="left" vertical="top"/>
    </xf>
    <xf numFmtId="164" fontId="0" fillId="10" borderId="39" xfId="0" applyFill="1" applyBorder="1" applyAlignment="1">
      <alignment horizontal="left" vertical="top" wrapText="1"/>
    </xf>
    <xf numFmtId="166" fontId="0" fillId="9" borderId="39" xfId="0" applyNumberFormat="1" applyFill="1" applyBorder="1" applyAlignment="1">
      <alignment horizontal="right" vertical="top"/>
    </xf>
    <xf numFmtId="164" fontId="0" fillId="9" borderId="39" xfId="0" applyFill="1" applyBorder="1" applyAlignment="1">
      <alignment vertical="top"/>
    </xf>
    <xf numFmtId="164" fontId="0" fillId="9" borderId="39" xfId="0" applyFill="1" applyBorder="1" applyAlignment="1">
      <alignment horizontal="left" vertical="top" wrapText="1"/>
    </xf>
    <xf numFmtId="166" fontId="0" fillId="2" borderId="39" xfId="0" applyNumberFormat="1" applyFill="1" applyBorder="1" applyAlignment="1">
      <alignment horizontal="right" vertical="top" wrapText="1"/>
    </xf>
    <xf numFmtId="166" fontId="0" fillId="10" borderId="39" xfId="0" applyNumberFormat="1" applyFill="1" applyBorder="1" applyAlignment="1">
      <alignment vertical="top"/>
    </xf>
    <xf numFmtId="166" fontId="0" fillId="0" borderId="39" xfId="0" applyNumberFormat="1" applyFill="1" applyBorder="1" applyAlignment="1">
      <alignment horizontal="left" vertical="top" wrapText="1"/>
    </xf>
    <xf numFmtId="164" fontId="0" fillId="0" borderId="39" xfId="0" applyFill="1" applyBorder="1" applyAlignment="1">
      <alignment vertical="top" wrapText="1"/>
    </xf>
    <xf numFmtId="0" fontId="32" fillId="7" borderId="0" xfId="0" applyNumberFormat="1" applyFont="1" applyFill="1" applyBorder="1" applyAlignment="1" applyProtection="1">
      <alignment horizontal="left"/>
    </xf>
    <xf numFmtId="0" fontId="51" fillId="7" borderId="0" xfId="0" applyNumberFormat="1" applyFont="1" applyFill="1" applyBorder="1" applyAlignment="1" applyProtection="1">
      <alignment horizontal="right" vertical="center" wrapText="1"/>
    </xf>
    <xf numFmtId="0" fontId="36" fillId="9" borderId="0" xfId="0" applyNumberFormat="1" applyFont="1" applyFill="1" applyBorder="1" applyAlignment="1" applyProtection="1">
      <alignment horizontal="center" vertical="center"/>
    </xf>
    <xf numFmtId="0" fontId="36" fillId="2" borderId="0" xfId="0" applyNumberFormat="1" applyFont="1" applyFill="1" applyBorder="1" applyAlignment="1" applyProtection="1">
      <alignment horizontal="center" vertical="center"/>
    </xf>
    <xf numFmtId="0" fontId="112" fillId="0" borderId="0" xfId="0" applyNumberFormat="1" applyFont="1" applyBorder="1" applyAlignment="1" applyProtection="1">
      <alignment horizontal="right" vertical="center" wrapText="1" indent="3"/>
    </xf>
    <xf numFmtId="0" fontId="111" fillId="36" borderId="31" xfId="1" applyNumberFormat="1" applyFont="1" applyFill="1" applyAlignment="1" applyProtection="1">
      <alignment horizontal="center" vertical="center"/>
    </xf>
    <xf numFmtId="0" fontId="29" fillId="2" borderId="0" xfId="0" applyNumberFormat="1" applyFont="1" applyFill="1" applyBorder="1" applyAlignment="1" applyProtection="1">
      <alignment horizontal="right" vertical="center" wrapText="1" indent="5"/>
    </xf>
    <xf numFmtId="0" fontId="29" fillId="2" borderId="0" xfId="0" applyNumberFormat="1" applyFont="1" applyFill="1" applyBorder="1" applyAlignment="1" applyProtection="1">
      <alignment horizontal="right" vertical="center" wrapText="1" indent="7"/>
    </xf>
    <xf numFmtId="0" fontId="21" fillId="0" borderId="0" xfId="0" applyNumberFormat="1" applyFont="1" applyFill="1" applyBorder="1" applyAlignment="1" applyProtection="1">
      <alignment horizontal="left" vertical="center"/>
    </xf>
    <xf numFmtId="0" fontId="88" fillId="0" borderId="0" xfId="0" applyNumberFormat="1" applyFont="1" applyFill="1" applyBorder="1" applyAlignment="1" applyProtection="1">
      <alignment horizontal="left" vertical="center"/>
    </xf>
    <xf numFmtId="0" fontId="80" fillId="2" borderId="0" xfId="0" applyNumberFormat="1" applyFont="1" applyFill="1" applyBorder="1" applyAlignment="1" applyProtection="1">
      <alignment horizontal="left" wrapText="1" indent="5"/>
    </xf>
    <xf numFmtId="0" fontId="98" fillId="0" borderId="0" xfId="0" applyNumberFormat="1" applyFont="1" applyBorder="1" applyAlignment="1"/>
    <xf numFmtId="0" fontId="0" fillId="0" borderId="0" xfId="0" applyNumberFormat="1" applyBorder="1"/>
    <xf numFmtId="0" fontId="73" fillId="2" borderId="0" xfId="0" applyNumberFormat="1" applyFont="1" applyFill="1" applyBorder="1" applyAlignment="1" applyProtection="1">
      <alignment horizontal="left" vertical="center" wrapText="1" indent="5"/>
    </xf>
    <xf numFmtId="0" fontId="73" fillId="2" borderId="0" xfId="0" applyNumberFormat="1" applyFont="1" applyFill="1" applyBorder="1" applyAlignment="1" applyProtection="1">
      <alignment horizontal="left" vertical="center" wrapText="1"/>
    </xf>
    <xf numFmtId="0" fontId="88" fillId="2" borderId="0" xfId="0" applyNumberFormat="1" applyFont="1" applyFill="1" applyBorder="1" applyAlignment="1" applyProtection="1">
      <alignment horizontal="center" vertical="center"/>
    </xf>
    <xf numFmtId="0" fontId="0" fillId="0" borderId="0" xfId="0" applyNumberFormat="1"/>
    <xf numFmtId="0" fontId="68" fillId="0" borderId="0" xfId="0" applyNumberFormat="1" applyFont="1"/>
    <xf numFmtId="0" fontId="40" fillId="7" borderId="0" xfId="0" applyNumberFormat="1" applyFont="1" applyFill="1" applyBorder="1" applyAlignment="1" applyProtection="1">
      <alignment horizontal="left" vertical="center" wrapText="1"/>
    </xf>
    <xf numFmtId="0" fontId="88" fillId="0" borderId="0" xfId="0" applyNumberFormat="1" applyFont="1"/>
    <xf numFmtId="0" fontId="88" fillId="0" borderId="13" xfId="0" applyNumberFormat="1" applyFont="1" applyBorder="1" applyAlignment="1" applyProtection="1">
      <alignment horizontal="center" vertical="center"/>
      <protection locked="0"/>
    </xf>
    <xf numFmtId="0" fontId="88" fillId="2" borderId="0" xfId="0" applyNumberFormat="1" applyFont="1" applyFill="1" applyBorder="1" applyAlignment="1" applyProtection="1">
      <alignment vertical="center"/>
    </xf>
    <xf numFmtId="0" fontId="88" fillId="0" borderId="0" xfId="0" applyNumberFormat="1" applyFont="1" applyBorder="1" applyAlignment="1" applyProtection="1"/>
    <xf numFmtId="0" fontId="88" fillId="0" borderId="0" xfId="0" applyNumberFormat="1" applyFont="1" applyProtection="1"/>
    <xf numFmtId="0" fontId="73" fillId="2" borderId="2" xfId="1" applyNumberFormat="1" applyFont="1" applyFill="1" applyBorder="1" applyAlignment="1" applyProtection="1">
      <alignment horizontal="center" vertical="center" wrapText="1"/>
      <protection locked="0"/>
    </xf>
    <xf numFmtId="0" fontId="73" fillId="2" borderId="2" xfId="1" applyNumberFormat="1" applyFont="1" applyFill="1" applyBorder="1" applyAlignment="1" applyProtection="1">
      <alignment vertical="center" wrapText="1"/>
      <protection locked="0"/>
    </xf>
    <xf numFmtId="0" fontId="73" fillId="2" borderId="2" xfId="1" applyNumberFormat="1" applyFont="1" applyFill="1" applyBorder="1" applyAlignment="1" applyProtection="1">
      <alignment horizontal="center" vertical="center"/>
    </xf>
    <xf numFmtId="0" fontId="88" fillId="0" borderId="0" xfId="0" applyNumberFormat="1" applyFont="1" applyAlignment="1">
      <alignment horizontal="center" vertical="center"/>
    </xf>
    <xf numFmtId="0" fontId="0" fillId="0" borderId="0" xfId="0" applyNumberFormat="1" applyProtection="1"/>
    <xf numFmtId="0" fontId="88" fillId="0" borderId="0" xfId="0" applyNumberFormat="1" applyFont="1" applyBorder="1" applyAlignment="1" applyProtection="1">
      <alignment horizontal="center" vertical="center"/>
    </xf>
    <xf numFmtId="0" fontId="0" fillId="0" borderId="4" xfId="0" applyNumberFormat="1" applyBorder="1"/>
    <xf numFmtId="0" fontId="73" fillId="2" borderId="2" xfId="1" applyNumberFormat="1" applyFont="1" applyFill="1" applyBorder="1" applyAlignment="1" applyProtection="1">
      <alignment horizontal="center" vertical="center"/>
      <protection locked="0"/>
    </xf>
    <xf numFmtId="0" fontId="73" fillId="0" borderId="13" xfId="0" applyNumberFormat="1" applyFont="1" applyBorder="1" applyAlignment="1" applyProtection="1">
      <alignment horizontal="center" vertical="center" wrapText="1"/>
      <protection locked="0"/>
    </xf>
    <xf numFmtId="0" fontId="73" fillId="0" borderId="0" xfId="0" applyNumberFormat="1" applyFont="1" applyBorder="1" applyAlignment="1" applyProtection="1">
      <alignment horizontal="center" vertical="center" wrapText="1"/>
    </xf>
    <xf numFmtId="0" fontId="73" fillId="0" borderId="2" xfId="0" applyNumberFormat="1" applyFont="1" applyBorder="1" applyAlignment="1" applyProtection="1">
      <alignment horizontal="center" vertical="center" wrapText="1"/>
      <protection locked="0"/>
    </xf>
    <xf numFmtId="0" fontId="0" fillId="8" borderId="0" xfId="0" applyNumberFormat="1" applyFill="1" applyAlignment="1">
      <alignment horizontal="center" vertical="center"/>
    </xf>
    <xf numFmtId="0" fontId="0" fillId="0" borderId="0" xfId="0" applyNumberFormat="1" applyAlignment="1">
      <alignment horizontal="center" vertical="center"/>
    </xf>
    <xf numFmtId="164" fontId="57" fillId="12" borderId="0" xfId="0" applyFont="1" applyFill="1"/>
    <xf numFmtId="164" fontId="101" fillId="0" borderId="0" xfId="0" applyFont="1" applyAlignment="1">
      <alignment horizontal="center" vertical="center"/>
    </xf>
    <xf numFmtId="164" fontId="73" fillId="0" borderId="0" xfId="0" quotePrefix="1" applyFont="1" applyFill="1" applyBorder="1" applyAlignment="1" applyProtection="1">
      <alignment horizontal="left" indent="3"/>
    </xf>
    <xf numFmtId="164" fontId="73" fillId="0" borderId="0" xfId="0" quotePrefix="1" applyNumberFormat="1" applyFont="1" applyFill="1" applyBorder="1" applyAlignment="1" applyProtection="1">
      <alignment horizontal="left" vertical="center" wrapText="1" indent="5"/>
    </xf>
    <xf numFmtId="164" fontId="0" fillId="0" borderId="4" xfId="0" applyBorder="1"/>
    <xf numFmtId="0" fontId="73" fillId="2" borderId="40" xfId="0" applyNumberFormat="1" applyFont="1" applyFill="1" applyBorder="1" applyAlignment="1" applyProtection="1">
      <alignment horizontal="left" wrapText="1"/>
    </xf>
    <xf numFmtId="0" fontId="92" fillId="0" borderId="41" xfId="0" applyNumberFormat="1" applyFont="1" applyFill="1" applyBorder="1" applyAlignment="1" applyProtection="1">
      <alignment horizontal="center" vertical="center" wrapText="1"/>
      <protection locked="0"/>
    </xf>
    <xf numFmtId="164" fontId="102" fillId="0" borderId="0" xfId="0" applyFont="1" applyAlignment="1">
      <alignment horizontal="right"/>
    </xf>
    <xf numFmtId="166" fontId="143" fillId="40" borderId="2" xfId="0" applyNumberFormat="1" applyFont="1" applyFill="1" applyBorder="1" applyAlignment="1" applyProtection="1">
      <alignment horizontal="right" vertical="center"/>
      <protection locked="0"/>
    </xf>
    <xf numFmtId="0" fontId="73" fillId="0" borderId="0" xfId="0" quotePrefix="1" applyNumberFormat="1" applyFont="1" applyFill="1" applyBorder="1" applyAlignment="1" applyProtection="1">
      <alignment horizontal="left" vertical="center" wrapText="1" indent="5"/>
    </xf>
    <xf numFmtId="164" fontId="73" fillId="0" borderId="0" xfId="1" applyNumberFormat="1" applyFont="1" applyFill="1" applyBorder="1" applyAlignment="1" applyProtection="1">
      <alignment horizontal="left" vertical="center" wrapText="1" indent="4"/>
    </xf>
    <xf numFmtId="164" fontId="73" fillId="2" borderId="0" xfId="0" applyNumberFormat="1" applyFont="1" applyFill="1" applyBorder="1" applyAlignment="1" applyProtection="1">
      <alignment horizontal="right" vertical="center" wrapText="1" indent="1"/>
    </xf>
    <xf numFmtId="164" fontId="88" fillId="0" borderId="4" xfId="0" applyFont="1" applyFill="1" applyBorder="1" applyAlignment="1" applyProtection="1"/>
    <xf numFmtId="0" fontId="66" fillId="2" borderId="0" xfId="1" applyNumberFormat="1" applyFont="1" applyFill="1" applyBorder="1" applyAlignment="1" applyProtection="1">
      <alignment horizontal="left" vertical="center" wrapText="1" indent="6"/>
    </xf>
    <xf numFmtId="0" fontId="66" fillId="2" borderId="0" xfId="1" applyNumberFormat="1" applyFont="1" applyFill="1" applyBorder="1" applyAlignment="1" applyProtection="1">
      <alignment horizontal="left" wrapText="1" indent="6"/>
    </xf>
    <xf numFmtId="164" fontId="73" fillId="0" borderId="0" xfId="0" quotePrefix="1" applyNumberFormat="1" applyFont="1" applyFill="1" applyBorder="1" applyAlignment="1" applyProtection="1">
      <alignment horizontal="left" vertical="center" wrapText="1" indent="1"/>
    </xf>
    <xf numFmtId="167" fontId="73" fillId="2" borderId="0" xfId="1" quotePrefix="1" applyNumberFormat="1" applyFont="1" applyFill="1" applyBorder="1" applyAlignment="1" applyProtection="1">
      <alignment horizontal="left" vertical="center" wrapText="1" indent="1"/>
    </xf>
    <xf numFmtId="167" fontId="73" fillId="2" borderId="0" xfId="1" applyNumberFormat="1" applyFont="1" applyFill="1" applyBorder="1" applyAlignment="1" applyProtection="1">
      <alignment horizontal="left" vertical="center" wrapText="1" indent="1"/>
      <protection locked="0"/>
    </xf>
    <xf numFmtId="164" fontId="0" fillId="2" borderId="0" xfId="0" applyFill="1" applyBorder="1" applyAlignment="1"/>
    <xf numFmtId="164" fontId="0" fillId="0" borderId="0" xfId="0" applyBorder="1" applyAlignment="1"/>
    <xf numFmtId="164" fontId="0" fillId="12" borderId="0" xfId="0" applyFill="1" applyBorder="1" applyAlignment="1"/>
    <xf numFmtId="164" fontId="6" fillId="11" borderId="0" xfId="4" applyFont="1" applyFill="1" applyBorder="1" applyAlignment="1" applyProtection="1">
      <alignment vertical="center" wrapText="1"/>
    </xf>
    <xf numFmtId="166" fontId="73" fillId="2" borderId="4" xfId="0" applyNumberFormat="1" applyFont="1" applyFill="1" applyBorder="1" applyAlignment="1" applyProtection="1">
      <alignment horizontal="right" vertical="center" wrapText="1"/>
    </xf>
    <xf numFmtId="164" fontId="145" fillId="10" borderId="0" xfId="0" applyFont="1" applyFill="1" applyBorder="1" applyAlignment="1">
      <alignment horizontal="center" vertical="center"/>
    </xf>
    <xf numFmtId="0" fontId="73" fillId="2" borderId="0" xfId="0" applyNumberFormat="1" applyFont="1" applyFill="1" applyBorder="1" applyAlignment="1" applyProtection="1">
      <alignment horizontal="center" vertical="center" wrapText="1"/>
      <protection locked="0"/>
    </xf>
    <xf numFmtId="164" fontId="73" fillId="2" borderId="0" xfId="0" applyNumberFormat="1" applyFont="1" applyFill="1" applyBorder="1" applyAlignment="1" applyProtection="1">
      <alignment horizontal="left" wrapText="1"/>
    </xf>
    <xf numFmtId="164" fontId="111" fillId="35" borderId="31" xfId="1" applyNumberFormat="1" applyFont="1" applyAlignment="1" applyProtection="1">
      <alignment horizontal="center" vertical="center"/>
    </xf>
    <xf numFmtId="164" fontId="73" fillId="0" borderId="0" xfId="0" quotePrefix="1" applyNumberFormat="1" applyFont="1" applyBorder="1" applyAlignment="1" applyProtection="1">
      <alignment horizontal="left" vertical="center" wrapText="1"/>
    </xf>
    <xf numFmtId="164" fontId="73" fillId="0" borderId="0" xfId="0" applyNumberFormat="1" applyFont="1" applyBorder="1" applyAlignment="1" applyProtection="1">
      <alignment horizontal="left" vertical="center" wrapText="1" indent="4"/>
      <protection locked="0"/>
    </xf>
    <xf numFmtId="164" fontId="139" fillId="0" borderId="0" xfId="0" applyFont="1"/>
    <xf numFmtId="164" fontId="139" fillId="0" borderId="0" xfId="0" applyFont="1" applyAlignment="1">
      <alignment horizontal="justify"/>
    </xf>
    <xf numFmtId="164" fontId="0" fillId="0" borderId="0" xfId="0" applyBorder="1" applyProtection="1"/>
    <xf numFmtId="164" fontId="73" fillId="0" borderId="42" xfId="0" applyFont="1" applyBorder="1" applyAlignment="1">
      <alignment horizontal="left" indent="1"/>
    </xf>
    <xf numFmtId="0" fontId="73" fillId="0" borderId="44" xfId="0" applyNumberFormat="1" applyFont="1" applyFill="1" applyBorder="1" applyAlignment="1" applyProtection="1">
      <alignment horizontal="left" wrapText="1"/>
    </xf>
    <xf numFmtId="166" fontId="73" fillId="2" borderId="45" xfId="0" applyNumberFormat="1" applyFont="1" applyFill="1" applyBorder="1" applyAlignment="1" applyProtection="1">
      <alignment horizontal="right" vertical="center" wrapText="1"/>
      <protection locked="0"/>
    </xf>
    <xf numFmtId="164" fontId="88" fillId="0" borderId="46" xfId="0" applyFont="1" applyFill="1" applyBorder="1" applyAlignment="1" applyProtection="1"/>
    <xf numFmtId="164" fontId="91" fillId="0" borderId="47" xfId="0" applyFont="1" applyBorder="1" applyAlignment="1" applyProtection="1">
      <alignment vertical="center"/>
    </xf>
    <xf numFmtId="164" fontId="145" fillId="10" borderId="48" xfId="0" applyFont="1" applyFill="1" applyBorder="1" applyAlignment="1">
      <alignment horizontal="center"/>
    </xf>
    <xf numFmtId="166" fontId="73" fillId="2" borderId="50" xfId="0" applyNumberFormat="1" applyFont="1" applyFill="1" applyBorder="1" applyAlignment="1" applyProtection="1">
      <alignment horizontal="right" vertical="center" wrapText="1"/>
    </xf>
    <xf numFmtId="0" fontId="73" fillId="0" borderId="51" xfId="0" applyNumberFormat="1" applyFont="1" applyFill="1" applyBorder="1" applyAlignment="1" applyProtection="1">
      <alignment horizontal="left" wrapText="1"/>
    </xf>
    <xf numFmtId="166" fontId="73" fillId="5" borderId="45" xfId="0" applyNumberFormat="1" applyFont="1" applyFill="1" applyBorder="1" applyAlignment="1" applyProtection="1">
      <alignment horizontal="right"/>
      <protection locked="0"/>
    </xf>
    <xf numFmtId="166" fontId="73" fillId="5" borderId="57" xfId="0" applyNumberFormat="1" applyFont="1" applyFill="1" applyBorder="1" applyAlignment="1" applyProtection="1">
      <alignment horizontal="right"/>
      <protection locked="0"/>
    </xf>
    <xf numFmtId="164" fontId="145" fillId="10" borderId="52" xfId="0" applyFont="1" applyFill="1" applyBorder="1" applyAlignment="1">
      <alignment horizontal="center" vertical="center"/>
    </xf>
    <xf numFmtId="164" fontId="145" fillId="10" borderId="53" xfId="0" applyFont="1" applyFill="1" applyBorder="1" applyAlignment="1">
      <alignment horizontal="left" vertical="center" indent="1"/>
    </xf>
    <xf numFmtId="164" fontId="145" fillId="10" borderId="54" xfId="0" applyFont="1" applyFill="1" applyBorder="1" applyAlignment="1">
      <alignment horizontal="center"/>
    </xf>
    <xf numFmtId="164" fontId="73" fillId="0" borderId="0" xfId="0" quotePrefix="1" applyNumberFormat="1" applyFont="1" applyBorder="1" applyAlignment="1" applyProtection="1">
      <alignment horizontal="left" vertical="center" wrapText="1" indent="3"/>
    </xf>
    <xf numFmtId="164" fontId="73" fillId="0" borderId="0" xfId="0" quotePrefix="1" applyNumberFormat="1" applyFont="1" applyFill="1" applyBorder="1" applyAlignment="1" applyProtection="1">
      <alignment horizontal="left" vertical="center" wrapText="1" indent="3"/>
    </xf>
    <xf numFmtId="164" fontId="73" fillId="0" borderId="0" xfId="0" applyNumberFormat="1" applyFont="1" applyFill="1" applyBorder="1" applyAlignment="1" applyProtection="1">
      <alignment vertical="center" wrapText="1"/>
    </xf>
    <xf numFmtId="0" fontId="73" fillId="0" borderId="2" xfId="0" applyNumberFormat="1" applyFont="1" applyFill="1" applyBorder="1" applyAlignment="1" applyProtection="1">
      <alignment horizontal="center" vertical="center" wrapText="1"/>
      <protection locked="0"/>
    </xf>
    <xf numFmtId="166" fontId="6" fillId="9" borderId="0" xfId="4" applyNumberFormat="1" applyFont="1" applyFill="1" applyBorder="1" applyAlignment="1" applyProtection="1">
      <alignment horizontal="center" vertical="center"/>
    </xf>
    <xf numFmtId="164" fontId="5" fillId="9" borderId="0" xfId="4" applyFont="1" applyFill="1" applyBorder="1" applyAlignment="1" applyProtection="1">
      <alignment horizontal="left" vertical="center"/>
    </xf>
    <xf numFmtId="164" fontId="125" fillId="2" borderId="0" xfId="0" applyFont="1" applyFill="1" applyBorder="1" applyAlignment="1">
      <alignment horizontal="left"/>
    </xf>
    <xf numFmtId="164" fontId="106" fillId="2" borderId="0" xfId="0" applyFont="1" applyFill="1" applyBorder="1" applyAlignment="1">
      <alignment horizontal="center"/>
    </xf>
    <xf numFmtId="164" fontId="73" fillId="2" borderId="0" xfId="0" applyNumberFormat="1" applyFont="1" applyFill="1" applyBorder="1" applyAlignment="1" applyProtection="1">
      <alignment wrapText="1"/>
    </xf>
    <xf numFmtId="164" fontId="0" fillId="0" borderId="61" xfId="0" applyBorder="1"/>
    <xf numFmtId="164" fontId="0" fillId="0" borderId="42" xfId="0" applyBorder="1"/>
    <xf numFmtId="164" fontId="0" fillId="0" borderId="62" xfId="0" applyBorder="1"/>
    <xf numFmtId="164" fontId="0" fillId="0" borderId="47" xfId="0" applyBorder="1"/>
    <xf numFmtId="164" fontId="0" fillId="0" borderId="30" xfId="0" applyBorder="1"/>
    <xf numFmtId="167" fontId="73" fillId="0" borderId="0" xfId="0" applyNumberFormat="1" applyFont="1" applyBorder="1" applyAlignment="1" applyProtection="1">
      <alignment horizontal="left" vertical="center" wrapText="1" indent="2"/>
    </xf>
    <xf numFmtId="167" fontId="148" fillId="0" borderId="0" xfId="0" applyNumberFormat="1" applyFont="1" applyBorder="1" applyAlignment="1" applyProtection="1">
      <alignment horizontal="left" vertical="center" wrapText="1" indent="4"/>
    </xf>
    <xf numFmtId="164" fontId="149" fillId="2" borderId="0" xfId="0" applyFont="1" applyFill="1" applyAlignment="1">
      <alignment horizontal="left" vertical="top"/>
    </xf>
    <xf numFmtId="173" fontId="23" fillId="2" borderId="0" xfId="0" applyNumberFormat="1" applyFont="1" applyFill="1"/>
    <xf numFmtId="173" fontId="23" fillId="2" borderId="0" xfId="0" applyNumberFormat="1" applyFont="1" applyFill="1" applyAlignment="1">
      <alignment horizontal="right"/>
    </xf>
    <xf numFmtId="173" fontId="23" fillId="2" borderId="0" xfId="0" applyNumberFormat="1" applyFont="1" applyFill="1" applyAlignment="1">
      <alignment horizontal="center"/>
    </xf>
    <xf numFmtId="164" fontId="106" fillId="2" borderId="0" xfId="0" applyFont="1" applyFill="1" applyBorder="1" applyAlignment="1"/>
    <xf numFmtId="164" fontId="125" fillId="2" borderId="63" xfId="0" applyFont="1" applyFill="1" applyBorder="1" applyAlignment="1">
      <alignment horizontal="left"/>
    </xf>
    <xf numFmtId="0" fontId="80" fillId="0" borderId="0" xfId="0" applyNumberFormat="1" applyFont="1" applyFill="1" applyBorder="1" applyAlignment="1" applyProtection="1">
      <alignment horizontal="center" wrapText="1"/>
    </xf>
    <xf numFmtId="0" fontId="80" fillId="33" borderId="0" xfId="0" applyNumberFormat="1" applyFont="1" applyFill="1" applyBorder="1" applyAlignment="1" applyProtection="1">
      <alignment horizontal="center" wrapText="1"/>
    </xf>
    <xf numFmtId="164" fontId="151" fillId="0" borderId="0" xfId="0" applyFont="1"/>
    <xf numFmtId="164" fontId="152" fillId="0" borderId="0" xfId="0" applyFont="1" applyAlignment="1">
      <alignment horizontal="right"/>
    </xf>
    <xf numFmtId="0" fontId="31" fillId="17" borderId="0" xfId="0" applyNumberFormat="1" applyFont="1" applyFill="1" applyBorder="1" applyAlignment="1" applyProtection="1">
      <alignment horizontal="left" indent="1"/>
    </xf>
    <xf numFmtId="14" fontId="153" fillId="7" borderId="0" xfId="0" applyNumberFormat="1" applyFont="1" applyFill="1" applyBorder="1" applyAlignment="1" applyProtection="1">
      <alignment horizontal="left" vertical="center" wrapText="1" indent="2"/>
    </xf>
    <xf numFmtId="166" fontId="154" fillId="7" borderId="0" xfId="0" applyNumberFormat="1" applyFont="1" applyFill="1" applyBorder="1" applyAlignment="1" applyProtection="1">
      <alignment horizontal="center" vertical="center"/>
      <protection locked="0"/>
    </xf>
    <xf numFmtId="166" fontId="153" fillId="7" borderId="0" xfId="0" applyNumberFormat="1" applyFont="1" applyFill="1" applyBorder="1" applyAlignment="1" applyProtection="1">
      <alignment horizontal="center" vertical="center"/>
    </xf>
    <xf numFmtId="1" fontId="80" fillId="2" borderId="11" xfId="0" applyNumberFormat="1" applyFont="1" applyFill="1" applyBorder="1" applyAlignment="1" applyProtection="1">
      <alignment horizontal="center" wrapText="1"/>
      <protection locked="0"/>
    </xf>
    <xf numFmtId="166" fontId="6" fillId="13" borderId="0" xfId="4" applyNumberFormat="1" applyFont="1" applyFill="1" applyBorder="1" applyAlignment="1" applyProtection="1">
      <alignment horizontal="center"/>
    </xf>
    <xf numFmtId="164" fontId="6" fillId="13" borderId="0" xfId="4" applyFont="1" applyFill="1" applyBorder="1" applyAlignment="1" applyProtection="1">
      <alignment horizontal="center"/>
    </xf>
    <xf numFmtId="1" fontId="30" fillId="13" borderId="0" xfId="4" applyNumberFormat="1" applyFont="1" applyFill="1" applyBorder="1" applyAlignment="1" applyProtection="1">
      <alignment horizontal="center" wrapText="1"/>
    </xf>
    <xf numFmtId="1" fontId="6" fillId="11" borderId="0" xfId="4" applyNumberFormat="1" applyFont="1" applyFill="1" applyBorder="1" applyAlignment="1" applyProtection="1">
      <alignment horizontal="left" wrapText="1"/>
    </xf>
    <xf numFmtId="167" fontId="146" fillId="2" borderId="0" xfId="1" applyNumberFormat="1" applyFont="1" applyFill="1" applyBorder="1" applyAlignment="1" applyProtection="1">
      <alignment horizontal="left" vertical="center" wrapText="1" indent="1"/>
    </xf>
    <xf numFmtId="164" fontId="88" fillId="0" borderId="4" xfId="0" applyFont="1" applyBorder="1"/>
    <xf numFmtId="164" fontId="156" fillId="12" borderId="30" xfId="0" applyFont="1" applyFill="1" applyBorder="1" applyAlignment="1" applyProtection="1">
      <alignment horizontal="center" vertical="center" wrapText="1"/>
    </xf>
    <xf numFmtId="166" fontId="72" fillId="39" borderId="64" xfId="4" applyNumberFormat="1" applyFont="1" applyFill="1" applyBorder="1" applyAlignment="1" applyProtection="1">
      <alignment horizontal="center" vertical="center"/>
    </xf>
    <xf numFmtId="164" fontId="5" fillId="11" borderId="0" xfId="4" applyFont="1" applyFill="1" applyBorder="1" applyAlignment="1" applyProtection="1">
      <alignment horizontal="left"/>
    </xf>
    <xf numFmtId="166" fontId="73" fillId="2" borderId="2" xfId="0" applyNumberFormat="1" applyFont="1" applyFill="1" applyBorder="1" applyAlignment="1" applyProtection="1">
      <alignment horizontal="right"/>
      <protection locked="0"/>
    </xf>
    <xf numFmtId="167" fontId="73" fillId="0" borderId="0" xfId="0" quotePrefix="1" applyNumberFormat="1" applyFont="1" applyBorder="1" applyAlignment="1" applyProtection="1">
      <alignment horizontal="left" vertical="center" wrapText="1" indent="1"/>
    </xf>
    <xf numFmtId="164" fontId="0" fillId="0" borderId="29" xfId="0" applyBorder="1"/>
    <xf numFmtId="167" fontId="73" fillId="2" borderId="0" xfId="1" applyNumberFormat="1" applyFont="1" applyFill="1" applyBorder="1" applyAlignment="1" applyProtection="1">
      <alignment horizontal="left" vertical="center" wrapText="1" indent="3"/>
    </xf>
    <xf numFmtId="0" fontId="32" fillId="7" borderId="0" xfId="0" applyNumberFormat="1" applyFont="1" applyFill="1" applyBorder="1" applyAlignment="1" applyProtection="1">
      <alignment horizontal="left"/>
    </xf>
    <xf numFmtId="164" fontId="30" fillId="13" borderId="0" xfId="4" applyFont="1" applyFill="1" applyBorder="1" applyAlignment="1" applyProtection="1">
      <alignment horizontal="center" vertical="center" wrapText="1"/>
    </xf>
    <xf numFmtId="164" fontId="0" fillId="9" borderId="0" xfId="0" applyFill="1" applyBorder="1" applyAlignment="1">
      <alignment horizontal="left"/>
    </xf>
    <xf numFmtId="164" fontId="0" fillId="2" borderId="33" xfId="0" applyFill="1" applyBorder="1" applyAlignment="1">
      <alignment vertical="top" wrapText="1"/>
    </xf>
    <xf numFmtId="164" fontId="0" fillId="2" borderId="0" xfId="0" applyFill="1" applyAlignment="1">
      <alignment vertical="top" wrapText="1"/>
    </xf>
    <xf numFmtId="168" fontId="55" fillId="7" borderId="0" xfId="0" applyNumberFormat="1" applyFont="1" applyFill="1" applyBorder="1" applyAlignment="1" applyProtection="1">
      <alignment horizontal="center" wrapText="1"/>
    </xf>
    <xf numFmtId="0" fontId="39" fillId="17" borderId="0" xfId="0" applyNumberFormat="1" applyFont="1" applyFill="1" applyBorder="1" applyAlignment="1" applyProtection="1">
      <alignment horizontal="left" vertical="center" wrapText="1" indent="3"/>
    </xf>
    <xf numFmtId="0" fontId="80" fillId="2" borderId="49" xfId="1" applyNumberFormat="1" applyFont="1" applyFill="1" applyBorder="1" applyAlignment="1" applyProtection="1">
      <alignment horizontal="right" vertical="center" wrapText="1"/>
    </xf>
    <xf numFmtId="164" fontId="75" fillId="2" borderId="0" xfId="0" applyFont="1" applyFill="1"/>
    <xf numFmtId="164" fontId="75" fillId="9" borderId="65" xfId="0" applyFont="1" applyFill="1" applyBorder="1"/>
    <xf numFmtId="164" fontId="75" fillId="9" borderId="66" xfId="0" applyFont="1" applyFill="1" applyBorder="1" applyAlignment="1">
      <alignment horizontal="left" indent="1"/>
    </xf>
    <xf numFmtId="164" fontId="75" fillId="9" borderId="66" xfId="0" applyFont="1" applyFill="1" applyBorder="1"/>
    <xf numFmtId="164" fontId="75" fillId="9" borderId="66" xfId="0" applyFont="1" applyFill="1" applyBorder="1" applyAlignment="1">
      <alignment horizontal="left" vertical="top" wrapText="1" indent="1"/>
    </xf>
    <xf numFmtId="164" fontId="159" fillId="9" borderId="66" xfId="0" applyFont="1" applyFill="1" applyBorder="1" applyAlignment="1">
      <alignment horizontal="left" indent="1"/>
    </xf>
    <xf numFmtId="164" fontId="75" fillId="9" borderId="66" xfId="0" applyFont="1" applyFill="1" applyBorder="1" applyAlignment="1">
      <alignment horizontal="left" vertical="top" wrapText="1" indent="3"/>
    </xf>
    <xf numFmtId="164" fontId="75" fillId="9" borderId="66" xfId="0" applyFont="1" applyFill="1" applyBorder="1" applyAlignment="1">
      <alignment horizontal="left" indent="3"/>
    </xf>
    <xf numFmtId="164" fontId="75" fillId="9" borderId="67" xfId="0" applyFont="1" applyFill="1" applyBorder="1"/>
    <xf numFmtId="164" fontId="119" fillId="10" borderId="70" xfId="0" applyFont="1" applyFill="1" applyBorder="1" applyAlignment="1">
      <alignment horizontal="left" indent="1"/>
    </xf>
    <xf numFmtId="164" fontId="56" fillId="38" borderId="35" xfId="0" applyFont="1" applyFill="1" applyBorder="1" applyAlignment="1">
      <alignment horizontal="center"/>
    </xf>
    <xf numFmtId="164" fontId="119" fillId="10" borderId="71" xfId="0" applyFont="1" applyFill="1" applyBorder="1" applyAlignment="1">
      <alignment horizontal="left" indent="1"/>
    </xf>
    <xf numFmtId="164" fontId="56" fillId="38" borderId="72" xfId="0" applyFont="1" applyFill="1" applyBorder="1" applyAlignment="1">
      <alignment horizontal="center"/>
    </xf>
    <xf numFmtId="164" fontId="56" fillId="38" borderId="68" xfId="0" applyFont="1" applyFill="1" applyBorder="1" applyAlignment="1">
      <alignment horizontal="center" vertical="center"/>
    </xf>
    <xf numFmtId="164" fontId="0" fillId="38" borderId="69" xfId="0" applyFill="1" applyBorder="1"/>
    <xf numFmtId="166" fontId="87" fillId="2" borderId="8" xfId="0" applyNumberFormat="1" applyFont="1" applyFill="1" applyBorder="1" applyAlignment="1" applyProtection="1">
      <protection locked="0"/>
    </xf>
    <xf numFmtId="166" fontId="80" fillId="2" borderId="73" xfId="0" applyNumberFormat="1" applyFont="1" applyFill="1" applyBorder="1" applyAlignment="1" applyProtection="1">
      <alignment horizontal="right"/>
      <protection locked="0"/>
    </xf>
    <xf numFmtId="164" fontId="155" fillId="0" borderId="0" xfId="0" applyFont="1" applyAlignment="1">
      <alignment vertical="top" wrapText="1"/>
    </xf>
    <xf numFmtId="166" fontId="73" fillId="2" borderId="8" xfId="0" applyNumberFormat="1" applyFont="1" applyFill="1" applyBorder="1" applyAlignment="1" applyProtection="1"/>
    <xf numFmtId="1" fontId="150" fillId="2" borderId="0" xfId="0" applyNumberFormat="1" applyFont="1" applyFill="1" applyBorder="1" applyAlignment="1" applyProtection="1">
      <alignment horizontal="center" vertical="center" wrapText="1"/>
    </xf>
    <xf numFmtId="1" fontId="152" fillId="0" borderId="10" xfId="0" applyNumberFormat="1" applyFont="1" applyBorder="1" applyAlignment="1">
      <alignment horizontal="right" vertical="center"/>
    </xf>
    <xf numFmtId="1" fontId="150" fillId="2" borderId="75" xfId="0" applyNumberFormat="1" applyFont="1" applyFill="1" applyBorder="1" applyAlignment="1" applyProtection="1">
      <alignment horizontal="right" vertical="center" wrapText="1"/>
    </xf>
    <xf numFmtId="0" fontId="88" fillId="2" borderId="0" xfId="0" applyNumberFormat="1" applyFont="1" applyFill="1" applyBorder="1" applyAlignment="1" applyProtection="1">
      <alignment horizontal="left" vertical="center"/>
    </xf>
    <xf numFmtId="166" fontId="80" fillId="2" borderId="73" xfId="0" applyNumberFormat="1" applyFont="1" applyFill="1" applyBorder="1" applyAlignment="1" applyProtection="1">
      <alignment horizontal="right" vertical="center"/>
      <protection locked="0"/>
    </xf>
    <xf numFmtId="1" fontId="80" fillId="2" borderId="0" xfId="0" applyNumberFormat="1" applyFont="1" applyFill="1" applyBorder="1" applyAlignment="1" applyProtection="1">
      <alignment horizontal="left" vertical="center" wrapText="1"/>
    </xf>
    <xf numFmtId="1" fontId="80" fillId="2" borderId="0" xfId="0" applyNumberFormat="1" applyFont="1" applyFill="1" applyBorder="1" applyAlignment="1" applyProtection="1">
      <alignment horizontal="left" vertical="center" wrapText="1" indent="3"/>
    </xf>
    <xf numFmtId="0" fontId="73" fillId="2" borderId="0" xfId="0" applyNumberFormat="1" applyFont="1" applyFill="1" applyBorder="1" applyAlignment="1" applyProtection="1">
      <alignment horizontal="left" vertical="center" wrapText="1" indent="2"/>
    </xf>
    <xf numFmtId="1" fontId="73" fillId="2" borderId="0" xfId="0" applyNumberFormat="1" applyFont="1" applyFill="1" applyBorder="1" applyAlignment="1" applyProtection="1">
      <alignment horizontal="left" vertical="center" wrapText="1" indent="3"/>
    </xf>
    <xf numFmtId="0" fontId="112" fillId="2" borderId="0" xfId="0" applyNumberFormat="1" applyFont="1" applyFill="1" applyBorder="1" applyAlignment="1" applyProtection="1">
      <alignment horizontal="right" vertical="center" wrapText="1" indent="3"/>
    </xf>
    <xf numFmtId="0" fontId="0" fillId="2" borderId="0" xfId="0" applyNumberFormat="1" applyFill="1" applyAlignment="1">
      <alignment horizontal="center" vertical="center"/>
    </xf>
    <xf numFmtId="0" fontId="21" fillId="2" borderId="0" xfId="0" applyNumberFormat="1" applyFont="1" applyFill="1" applyBorder="1"/>
    <xf numFmtId="0" fontId="112" fillId="2" borderId="0" xfId="0" applyNumberFormat="1" applyFont="1" applyFill="1" applyBorder="1" applyAlignment="1" applyProtection="1">
      <alignment horizontal="left" vertical="center" wrapText="1" indent="1"/>
    </xf>
    <xf numFmtId="164" fontId="152" fillId="2" borderId="0" xfId="0" applyFont="1" applyFill="1" applyAlignment="1">
      <alignment horizontal="center"/>
    </xf>
    <xf numFmtId="164" fontId="88" fillId="2" borderId="0" xfId="0" applyFont="1" applyFill="1" applyAlignment="1"/>
    <xf numFmtId="0" fontId="113" fillId="2" borderId="0" xfId="0" applyNumberFormat="1" applyFont="1" applyFill="1" applyBorder="1" applyAlignment="1">
      <alignment horizontal="right" vertical="top" indent="3"/>
    </xf>
    <xf numFmtId="0" fontId="21" fillId="2" borderId="0" xfId="0" applyNumberFormat="1" applyFont="1" applyFill="1" applyBorder="1" applyAlignment="1" applyProtection="1">
      <alignment horizontal="right" vertical="center" indent="3"/>
    </xf>
    <xf numFmtId="0" fontId="21" fillId="2" borderId="0" xfId="0" applyNumberFormat="1" applyFont="1" applyFill="1" applyBorder="1" applyAlignment="1" applyProtection="1">
      <alignment horizontal="left" vertical="center"/>
    </xf>
    <xf numFmtId="164" fontId="0" fillId="0" borderId="85" xfId="0" applyBorder="1"/>
    <xf numFmtId="0" fontId="147" fillId="6" borderId="81" xfId="0" applyNumberFormat="1" applyFont="1" applyFill="1" applyBorder="1" applyAlignment="1" applyProtection="1">
      <alignment horizontal="center" wrapText="1"/>
    </xf>
    <xf numFmtId="0" fontId="147" fillId="6" borderId="82" xfId="0" applyNumberFormat="1" applyFont="1" applyFill="1" applyBorder="1" applyAlignment="1" applyProtection="1">
      <alignment horizontal="center" wrapText="1"/>
    </xf>
    <xf numFmtId="166" fontId="73" fillId="30" borderId="80" xfId="0" applyNumberFormat="1" applyFont="1" applyFill="1" applyBorder="1" applyAlignment="1" applyProtection="1">
      <alignment horizontal="right"/>
      <protection locked="0"/>
    </xf>
    <xf numFmtId="166" fontId="73" fillId="30" borderId="76" xfId="0" applyNumberFormat="1" applyFont="1" applyFill="1" applyBorder="1" applyAlignment="1" applyProtection="1">
      <alignment horizontal="right"/>
      <protection locked="0"/>
    </xf>
    <xf numFmtId="166" fontId="73" fillId="30" borderId="77" xfId="0" applyNumberFormat="1" applyFont="1" applyFill="1" applyBorder="1" applyAlignment="1" applyProtection="1">
      <alignment horizontal="right"/>
      <protection locked="0"/>
    </xf>
    <xf numFmtId="166" fontId="73" fillId="30" borderId="78" xfId="0" applyNumberFormat="1" applyFont="1" applyFill="1" applyBorder="1" applyAlignment="1" applyProtection="1">
      <alignment horizontal="right"/>
      <protection locked="0"/>
    </xf>
    <xf numFmtId="166" fontId="73" fillId="30" borderId="79" xfId="0" applyNumberFormat="1" applyFont="1" applyFill="1" applyBorder="1" applyAlignment="1" applyProtection="1">
      <alignment horizontal="right"/>
      <protection locked="0"/>
    </xf>
    <xf numFmtId="0" fontId="32" fillId="7" borderId="0" xfId="0" applyNumberFormat="1" applyFont="1" applyFill="1" applyBorder="1" applyAlignment="1" applyProtection="1">
      <alignment horizontal="left"/>
    </xf>
    <xf numFmtId="1" fontId="0" fillId="12" borderId="0" xfId="0" applyNumberFormat="1" applyFill="1"/>
    <xf numFmtId="164" fontId="6" fillId="13" borderId="0" xfId="4" quotePrefix="1" applyFont="1" applyFill="1" applyBorder="1" applyAlignment="1" applyProtection="1">
      <alignment horizontal="center" vertical="center" wrapText="1"/>
    </xf>
    <xf numFmtId="0" fontId="73" fillId="0" borderId="0" xfId="1" quotePrefix="1" applyNumberFormat="1" applyFont="1" applyFill="1" applyBorder="1" applyAlignment="1" applyProtection="1">
      <alignment horizontal="left" vertical="center" wrapText="1" indent="4"/>
    </xf>
    <xf numFmtId="0" fontId="73" fillId="2" borderId="0" xfId="1" quotePrefix="1" applyNumberFormat="1" applyFont="1" applyFill="1" applyBorder="1" applyAlignment="1" applyProtection="1">
      <alignment horizontal="left" vertical="center" wrapText="1" indent="4"/>
    </xf>
    <xf numFmtId="0" fontId="80" fillId="0" borderId="0" xfId="0" applyNumberFormat="1" applyFont="1" applyFill="1" applyBorder="1" applyAlignment="1" applyProtection="1">
      <alignment vertical="center" wrapText="1"/>
    </xf>
    <xf numFmtId="167" fontId="98" fillId="2" borderId="0" xfId="1" applyNumberFormat="1" applyFont="1" applyFill="1" applyBorder="1" applyAlignment="1" applyProtection="1">
      <alignment vertical="center" wrapText="1"/>
    </xf>
    <xf numFmtId="164" fontId="105" fillId="0" borderId="29" xfId="0" applyFont="1" applyBorder="1" applyAlignment="1"/>
    <xf numFmtId="164" fontId="105" fillId="0" borderId="10" xfId="0" applyFont="1" applyBorder="1" applyAlignment="1"/>
    <xf numFmtId="0" fontId="70" fillId="2" borderId="0"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center" vertical="center" wrapText="1"/>
      <protection locked="0"/>
    </xf>
    <xf numFmtId="0" fontId="70" fillId="2" borderId="0" xfId="0" applyNumberFormat="1" applyFont="1" applyFill="1" applyBorder="1" applyAlignment="1" applyProtection="1">
      <alignment horizontal="center" vertical="center" wrapText="1"/>
    </xf>
    <xf numFmtId="0" fontId="66" fillId="2" borderId="0" xfId="0" applyNumberFormat="1" applyFont="1" applyFill="1" applyBorder="1" applyAlignment="1" applyProtection="1">
      <alignment horizontal="center" vertical="center" wrapText="1"/>
      <protection locked="0"/>
    </xf>
    <xf numFmtId="0" fontId="115" fillId="2" borderId="0" xfId="0" applyNumberFormat="1" applyFont="1" applyFill="1" applyBorder="1" applyAlignment="1" applyProtection="1">
      <alignment horizontal="center" vertical="center" wrapText="1"/>
      <protection locked="0"/>
    </xf>
    <xf numFmtId="0" fontId="92" fillId="0" borderId="0" xfId="0" applyNumberFormat="1" applyFont="1" applyFill="1" applyBorder="1" applyAlignment="1" applyProtection="1">
      <alignment horizontal="center" vertical="center" wrapText="1"/>
      <protection locked="0"/>
    </xf>
    <xf numFmtId="0" fontId="73" fillId="0" borderId="49" xfId="0" applyNumberFormat="1" applyFont="1" applyFill="1" applyBorder="1" applyAlignment="1" applyProtection="1">
      <alignment horizontal="left" wrapText="1"/>
    </xf>
    <xf numFmtId="1" fontId="73" fillId="2" borderId="0" xfId="0" applyNumberFormat="1" applyFont="1" applyFill="1" applyBorder="1" applyAlignment="1" applyProtection="1">
      <alignment horizontal="center" vertical="center" wrapText="1"/>
      <protection locked="0"/>
    </xf>
    <xf numFmtId="0" fontId="33" fillId="2" borderId="0" xfId="0" applyNumberFormat="1" applyFont="1" applyFill="1" applyBorder="1" applyAlignment="1" applyProtection="1">
      <alignment horizontal="center" vertical="center" wrapText="1"/>
      <protection locked="0"/>
    </xf>
    <xf numFmtId="0" fontId="88" fillId="0" borderId="0" xfId="0" applyNumberFormat="1" applyFont="1" applyBorder="1" applyAlignment="1" applyProtection="1">
      <alignment horizontal="center" vertical="center"/>
      <protection locked="0"/>
    </xf>
    <xf numFmtId="0" fontId="73" fillId="2" borderId="0" xfId="1" applyNumberFormat="1" applyFont="1" applyFill="1" applyBorder="1" applyAlignment="1" applyProtection="1">
      <alignment vertical="center" wrapText="1"/>
      <protection locked="0"/>
    </xf>
    <xf numFmtId="0" fontId="73" fillId="2" borderId="0" xfId="1" applyNumberFormat="1" applyFont="1" applyFill="1" applyBorder="1" applyAlignment="1" applyProtection="1">
      <alignment horizontal="center" vertical="center" wrapText="1"/>
      <protection locked="0"/>
    </xf>
    <xf numFmtId="0" fontId="73" fillId="2" borderId="0" xfId="1" applyNumberFormat="1" applyFont="1" applyFill="1" applyBorder="1" applyAlignment="1" applyProtection="1">
      <alignment horizontal="center" vertical="center"/>
    </xf>
    <xf numFmtId="0" fontId="73" fillId="0" borderId="0" xfId="0" applyNumberFormat="1" applyFont="1" applyFill="1" applyBorder="1" applyAlignment="1" applyProtection="1">
      <alignment horizontal="center" vertical="center" wrapText="1"/>
      <protection locked="0"/>
    </xf>
    <xf numFmtId="166" fontId="73" fillId="0" borderId="0" xfId="0" applyNumberFormat="1" applyFont="1" applyFill="1" applyBorder="1" applyAlignment="1" applyProtection="1">
      <alignment horizontal="right"/>
      <protection locked="0"/>
    </xf>
    <xf numFmtId="0" fontId="73" fillId="2" borderId="29" xfId="0" applyNumberFormat="1" applyFont="1" applyFill="1" applyBorder="1" applyAlignment="1" applyProtection="1">
      <alignment horizontal="center" vertical="center" wrapText="1"/>
      <protection locked="0"/>
    </xf>
    <xf numFmtId="0" fontId="73" fillId="2" borderId="0" xfId="0" applyNumberFormat="1" applyFont="1" applyFill="1" applyBorder="1" applyAlignment="1" applyProtection="1">
      <alignment horizontal="left" vertical="center" wrapText="1" indent="1"/>
      <protection locked="0"/>
    </xf>
    <xf numFmtId="0" fontId="73" fillId="0" borderId="0" xfId="0" applyNumberFormat="1" applyFont="1" applyBorder="1" applyAlignment="1" applyProtection="1">
      <alignment horizontal="left" vertical="center" wrapText="1"/>
      <protection locked="0"/>
    </xf>
    <xf numFmtId="0" fontId="73" fillId="0" borderId="0" xfId="0" applyNumberFormat="1" applyFont="1" applyBorder="1" applyAlignment="1" applyProtection="1">
      <alignment horizontal="center" vertical="center" wrapText="1"/>
      <protection locked="0"/>
    </xf>
    <xf numFmtId="164" fontId="163" fillId="0" borderId="0" xfId="0" applyFont="1"/>
    <xf numFmtId="164" fontId="73" fillId="0" borderId="0" xfId="0" applyFont="1" applyAlignment="1" applyProtection="1">
      <alignment horizontal="right" vertical="center" indent="1"/>
      <protection locked="0"/>
    </xf>
    <xf numFmtId="164" fontId="73" fillId="0" borderId="0" xfId="0" quotePrefix="1" applyNumberFormat="1" applyFont="1" applyFill="1" applyBorder="1" applyAlignment="1" applyProtection="1">
      <alignment horizontal="left" vertical="center" wrapText="1" indent="6"/>
    </xf>
    <xf numFmtId="164" fontId="73" fillId="0" borderId="0" xfId="0" applyNumberFormat="1" applyFont="1" applyFill="1" applyBorder="1" applyAlignment="1" applyProtection="1">
      <alignment horizontal="left" vertical="center" wrapText="1" indent="4"/>
    </xf>
    <xf numFmtId="164" fontId="165" fillId="0" borderId="0" xfId="0" applyFont="1"/>
    <xf numFmtId="164" fontId="166" fillId="0" borderId="0" xfId="0" applyFont="1"/>
    <xf numFmtId="1" fontId="166" fillId="2" borderId="0" xfId="0" applyNumberFormat="1" applyFont="1" applyFill="1" applyBorder="1" applyAlignment="1" applyProtection="1">
      <alignment horizontal="center" wrapText="1"/>
    </xf>
    <xf numFmtId="1" fontId="166" fillId="2" borderId="0" xfId="0" applyNumberFormat="1" applyFont="1" applyFill="1" applyBorder="1" applyAlignment="1" applyProtection="1">
      <alignment horizontal="center" vertical="center" wrapText="1"/>
    </xf>
    <xf numFmtId="164" fontId="166" fillId="2" borderId="0" xfId="0" applyFont="1" applyFill="1"/>
    <xf numFmtId="164" fontId="168" fillId="2" borderId="0" xfId="0" applyFont="1" applyFill="1"/>
    <xf numFmtId="164" fontId="168" fillId="2" borderId="0" xfId="0" applyFont="1" applyFill="1" applyAlignment="1">
      <alignment horizontal="right"/>
    </xf>
    <xf numFmtId="164" fontId="169" fillId="2" borderId="0" xfId="0" applyNumberFormat="1" applyFont="1" applyFill="1" applyBorder="1" applyAlignment="1" applyProtection="1">
      <alignment horizontal="left" vertical="center" wrapText="1" indent="3"/>
    </xf>
    <xf numFmtId="164" fontId="168" fillId="0" borderId="0" xfId="0" applyFont="1"/>
    <xf numFmtId="0" fontId="0" fillId="9" borderId="0" xfId="0" applyNumberFormat="1" applyFill="1" applyBorder="1" applyAlignment="1">
      <alignment horizontal="center"/>
    </xf>
    <xf numFmtId="0" fontId="73" fillId="0" borderId="0" xfId="0" applyNumberFormat="1" applyFont="1" applyBorder="1" applyAlignment="1" applyProtection="1">
      <alignment horizontal="left" vertical="center" wrapText="1" indent="4"/>
    </xf>
    <xf numFmtId="0" fontId="111" fillId="35" borderId="31" xfId="1" applyNumberFormat="1" applyFont="1" applyAlignment="1" applyProtection="1">
      <alignment horizontal="center" wrapText="1"/>
    </xf>
    <xf numFmtId="164" fontId="80" fillId="2" borderId="0" xfId="0" applyNumberFormat="1" applyFont="1" applyFill="1" applyBorder="1" applyAlignment="1" applyProtection="1">
      <alignment horizontal="left" vertical="center" wrapText="1" indent="2"/>
    </xf>
    <xf numFmtId="164" fontId="73" fillId="2" borderId="0" xfId="0" applyNumberFormat="1" applyFont="1" applyFill="1" applyBorder="1" applyAlignment="1" applyProtection="1">
      <alignment horizontal="left" vertical="top" wrapText="1" indent="2"/>
    </xf>
    <xf numFmtId="166" fontId="73" fillId="2" borderId="9" xfId="0" applyNumberFormat="1" applyFont="1" applyFill="1" applyBorder="1" applyAlignment="1" applyProtection="1"/>
    <xf numFmtId="166" fontId="73" fillId="8" borderId="87" xfId="0" applyNumberFormat="1" applyFont="1" applyFill="1" applyBorder="1" applyAlignment="1" applyProtection="1">
      <protection locked="0"/>
    </xf>
    <xf numFmtId="166" fontId="73" fillId="8" borderId="88" xfId="0" applyNumberFormat="1" applyFont="1" applyFill="1" applyBorder="1" applyAlignment="1" applyProtection="1">
      <protection locked="0"/>
    </xf>
    <xf numFmtId="166" fontId="6" fillId="41" borderId="0" xfId="4" applyNumberFormat="1" applyFont="1" applyFill="1" applyBorder="1" applyAlignment="1" applyProtection="1">
      <alignment horizontal="center" vertical="center"/>
    </xf>
    <xf numFmtId="167" fontId="105" fillId="0" borderId="10" xfId="0" applyNumberFormat="1" applyFont="1" applyBorder="1" applyAlignment="1" applyProtection="1">
      <alignment horizontal="right" vertical="center" wrapText="1"/>
    </xf>
    <xf numFmtId="164" fontId="6" fillId="2" borderId="0" xfId="0" applyFont="1" applyFill="1" applyBorder="1" applyAlignment="1" applyProtection="1">
      <alignment wrapText="1"/>
    </xf>
    <xf numFmtId="164" fontId="165" fillId="0" borderId="0" xfId="0" applyFont="1" applyAlignment="1"/>
    <xf numFmtId="164" fontId="166" fillId="0" borderId="0" xfId="0" applyFont="1" applyAlignment="1"/>
    <xf numFmtId="1" fontId="166" fillId="2" borderId="0" xfId="0" applyNumberFormat="1" applyFont="1" applyFill="1" applyBorder="1" applyAlignment="1" applyProtection="1">
      <alignment wrapText="1"/>
    </xf>
    <xf numFmtId="1" fontId="166" fillId="2" borderId="0" xfId="0" applyNumberFormat="1" applyFont="1" applyFill="1" applyBorder="1" applyAlignment="1" applyProtection="1">
      <alignment vertical="center" wrapText="1"/>
    </xf>
    <xf numFmtId="164" fontId="166" fillId="2" borderId="0" xfId="0" applyFont="1" applyFill="1" applyAlignment="1"/>
    <xf numFmtId="1" fontId="167" fillId="2" borderId="0" xfId="0" applyNumberFormat="1" applyFont="1" applyFill="1" applyBorder="1" applyAlignment="1" applyProtection="1">
      <alignment vertical="center" wrapText="1"/>
    </xf>
    <xf numFmtId="164" fontId="168" fillId="2" borderId="0" xfId="0" applyFont="1" applyFill="1" applyAlignment="1"/>
    <xf numFmtId="164" fontId="169" fillId="2" borderId="0" xfId="0" applyNumberFormat="1" applyFont="1" applyFill="1" applyBorder="1" applyAlignment="1" applyProtection="1">
      <alignment vertical="center" wrapText="1"/>
    </xf>
    <xf numFmtId="164" fontId="168" fillId="0" borderId="0" xfId="0" applyFont="1" applyAlignment="1"/>
    <xf numFmtId="1" fontId="167" fillId="2" borderId="75" xfId="0" applyNumberFormat="1" applyFont="1" applyFill="1" applyBorder="1" applyAlignment="1" applyProtection="1">
      <alignment vertical="center" wrapText="1"/>
    </xf>
    <xf numFmtId="164" fontId="0" fillId="0" borderId="0" xfId="0" applyBorder="1" applyAlignment="1">
      <alignment vertical="center"/>
    </xf>
    <xf numFmtId="164" fontId="0" fillId="0" borderId="0" xfId="0" applyFill="1" applyBorder="1" applyAlignment="1"/>
    <xf numFmtId="164" fontId="163" fillId="0" borderId="0" xfId="0" applyFont="1" applyBorder="1" applyAlignment="1"/>
    <xf numFmtId="166" fontId="73" fillId="11" borderId="83" xfId="0" applyNumberFormat="1" applyFont="1" applyFill="1" applyBorder="1" applyAlignment="1" applyProtection="1">
      <alignment horizontal="right"/>
    </xf>
    <xf numFmtId="166" fontId="73" fillId="11" borderId="45" xfId="0" applyNumberFormat="1" applyFont="1" applyFill="1" applyBorder="1" applyAlignment="1" applyProtection="1">
      <alignment horizontal="right"/>
    </xf>
    <xf numFmtId="164" fontId="161" fillId="9" borderId="89" xfId="0" applyFont="1" applyFill="1" applyBorder="1" applyAlignment="1">
      <alignment horizontal="center" vertical="center"/>
    </xf>
    <xf numFmtId="164" fontId="161" fillId="9" borderId="91" xfId="0" applyFont="1" applyFill="1" applyBorder="1" applyAlignment="1">
      <alignment horizontal="center" vertical="center"/>
    </xf>
    <xf numFmtId="164" fontId="161" fillId="9" borderId="62" xfId="0" applyFont="1" applyFill="1" applyBorder="1" applyAlignment="1">
      <alignment horizontal="left" vertical="center" indent="1"/>
    </xf>
    <xf numFmtId="164" fontId="161" fillId="9" borderId="47" xfId="0" applyFont="1" applyFill="1" applyBorder="1" applyAlignment="1">
      <alignment horizontal="left" vertical="center"/>
    </xf>
    <xf numFmtId="166" fontId="73" fillId="5" borderId="92" xfId="0" applyNumberFormat="1" applyFont="1" applyFill="1" applyBorder="1" applyAlignment="1" applyProtection="1">
      <protection locked="0"/>
    </xf>
    <xf numFmtId="166" fontId="73" fillId="5" borderId="93" xfId="0" applyNumberFormat="1" applyFont="1" applyFill="1" applyBorder="1" applyAlignment="1" applyProtection="1">
      <protection locked="0"/>
    </xf>
    <xf numFmtId="164" fontId="0" fillId="0" borderId="94" xfId="0" applyBorder="1"/>
    <xf numFmtId="164" fontId="0" fillId="0" borderId="95" xfId="0" applyBorder="1"/>
    <xf numFmtId="166" fontId="73" fillId="42" borderId="96" xfId="0" applyNumberFormat="1" applyFont="1" applyFill="1" applyBorder="1" applyAlignment="1" applyProtection="1">
      <protection locked="0"/>
    </xf>
    <xf numFmtId="166" fontId="73" fillId="42" borderId="97" xfId="0" applyNumberFormat="1" applyFont="1" applyFill="1" applyBorder="1" applyAlignment="1" applyProtection="1">
      <protection locked="0"/>
    </xf>
    <xf numFmtId="164" fontId="3" fillId="9" borderId="94" xfId="0" applyFont="1" applyFill="1" applyBorder="1"/>
    <xf numFmtId="164" fontId="3" fillId="9" borderId="95" xfId="0" applyFont="1" applyFill="1" applyBorder="1"/>
    <xf numFmtId="166" fontId="73" fillId="11" borderId="96" xfId="0" applyNumberFormat="1" applyFont="1" applyFill="1" applyBorder="1" applyAlignment="1" applyProtection="1">
      <protection locked="0"/>
    </xf>
    <xf numFmtId="166" fontId="73" fillId="11" borderId="97" xfId="0" applyNumberFormat="1" applyFont="1" applyFill="1" applyBorder="1" applyAlignment="1" applyProtection="1">
      <protection locked="0"/>
    </xf>
    <xf numFmtId="166" fontId="73" fillId="11" borderId="98" xfId="0" applyNumberFormat="1" applyFont="1" applyFill="1" applyBorder="1" applyAlignment="1" applyProtection="1">
      <protection locked="0"/>
    </xf>
    <xf numFmtId="166" fontId="73" fillId="11" borderId="99" xfId="0" applyNumberFormat="1" applyFont="1" applyFill="1" applyBorder="1" applyAlignment="1" applyProtection="1">
      <protection locked="0"/>
    </xf>
    <xf numFmtId="166" fontId="73" fillId="11" borderId="60" xfId="0" applyNumberFormat="1" applyFont="1" applyFill="1" applyBorder="1" applyAlignment="1" applyProtection="1">
      <alignment horizontal="right"/>
    </xf>
    <xf numFmtId="1" fontId="21" fillId="12" borderId="0" xfId="0" applyNumberFormat="1" applyFont="1" applyFill="1" applyBorder="1"/>
    <xf numFmtId="164" fontId="0" fillId="0" borderId="100" xfId="0" applyBorder="1"/>
    <xf numFmtId="166" fontId="73" fillId="5" borderId="13" xfId="0" applyNumberFormat="1" applyFont="1" applyFill="1" applyBorder="1" applyAlignment="1" applyProtection="1">
      <alignment horizontal="right"/>
      <protection locked="0"/>
    </xf>
    <xf numFmtId="164" fontId="157" fillId="9" borderId="0" xfId="0" applyFont="1" applyFill="1" applyBorder="1" applyAlignment="1">
      <alignment horizontal="center" wrapText="1"/>
    </xf>
    <xf numFmtId="164" fontId="157" fillId="9" borderId="42" xfId="0" applyFont="1" applyFill="1" applyBorder="1" applyAlignment="1">
      <alignment horizontal="center" wrapText="1"/>
    </xf>
    <xf numFmtId="166" fontId="73" fillId="11" borderId="2" xfId="0" applyNumberFormat="1" applyFont="1" applyFill="1" applyBorder="1" applyAlignment="1" applyProtection="1">
      <alignment horizontal="right"/>
    </xf>
    <xf numFmtId="166" fontId="73" fillId="9" borderId="45" xfId="0" applyNumberFormat="1" applyFont="1" applyFill="1" applyBorder="1" applyAlignment="1" applyProtection="1">
      <alignment horizontal="right"/>
    </xf>
    <xf numFmtId="164" fontId="161" fillId="9" borderId="101" xfId="0" applyFont="1" applyFill="1" applyBorder="1" applyAlignment="1">
      <alignment horizontal="center" vertical="center"/>
    </xf>
    <xf numFmtId="164" fontId="161" fillId="9" borderId="90" xfId="0" applyFont="1" applyFill="1" applyBorder="1" applyAlignment="1">
      <alignment horizontal="center" vertical="center"/>
    </xf>
    <xf numFmtId="166" fontId="73" fillId="2" borderId="10" xfId="0" applyNumberFormat="1" applyFont="1" applyFill="1" applyBorder="1" applyAlignment="1" applyProtection="1"/>
    <xf numFmtId="0" fontId="144" fillId="0" borderId="43" xfId="0" applyNumberFormat="1" applyFont="1" applyBorder="1" applyAlignment="1" applyProtection="1">
      <alignment horizontal="center"/>
      <protection locked="0"/>
    </xf>
    <xf numFmtId="0" fontId="144" fillId="0" borderId="13" xfId="0" applyNumberFormat="1" applyFont="1" applyBorder="1" applyAlignment="1" applyProtection="1">
      <alignment horizontal="center"/>
      <protection locked="0"/>
    </xf>
    <xf numFmtId="0" fontId="144" fillId="0" borderId="13" xfId="0" applyNumberFormat="1" applyFont="1" applyFill="1" applyBorder="1" applyAlignment="1" applyProtection="1">
      <alignment horizontal="center"/>
      <protection locked="0"/>
    </xf>
    <xf numFmtId="0" fontId="144" fillId="0" borderId="32" xfId="0" applyNumberFormat="1" applyFont="1" applyFill="1" applyBorder="1" applyAlignment="1" applyProtection="1">
      <alignment horizontal="center"/>
      <protection locked="0"/>
    </xf>
    <xf numFmtId="166" fontId="73" fillId="5" borderId="0" xfId="0" applyNumberFormat="1" applyFont="1" applyFill="1" applyBorder="1" applyAlignment="1" applyProtection="1">
      <alignment horizontal="right"/>
    </xf>
    <xf numFmtId="0" fontId="144" fillId="0" borderId="55" xfId="0" applyNumberFormat="1" applyFont="1" applyBorder="1" applyAlignment="1" applyProtection="1">
      <alignment horizontal="center"/>
    </xf>
    <xf numFmtId="0" fontId="144" fillId="0" borderId="58" xfId="0" applyNumberFormat="1" applyFont="1" applyBorder="1" applyAlignment="1" applyProtection="1">
      <alignment horizontal="center"/>
    </xf>
    <xf numFmtId="164" fontId="67" fillId="0" borderId="0" xfId="0" applyFont="1" applyBorder="1" applyAlignment="1" applyProtection="1">
      <alignment horizontal="right" vertical="center"/>
    </xf>
    <xf numFmtId="164" fontId="88" fillId="0" borderId="0" xfId="0" applyFont="1" applyFill="1" applyBorder="1" applyAlignment="1" applyProtection="1">
      <protection locked="0"/>
    </xf>
    <xf numFmtId="0" fontId="111" fillId="36" borderId="31" xfId="1" applyFont="1" applyFill="1" applyAlignment="1" applyProtection="1">
      <alignment horizontal="center" vertical="center"/>
      <protection locked="0"/>
    </xf>
    <xf numFmtId="0" fontId="73" fillId="0" borderId="0" xfId="0" applyNumberFormat="1" applyFont="1" applyFill="1" applyBorder="1" applyAlignment="1" applyProtection="1">
      <alignment horizontal="left" wrapText="1"/>
      <protection locked="0"/>
    </xf>
    <xf numFmtId="0" fontId="111" fillId="36" borderId="31" xfId="1" applyNumberFormat="1" applyFont="1" applyFill="1" applyAlignment="1" applyProtection="1">
      <alignment horizontal="center" vertical="center" wrapText="1"/>
      <protection locked="0"/>
    </xf>
    <xf numFmtId="166" fontId="73" fillId="12" borderId="2" xfId="0" applyNumberFormat="1" applyFont="1" applyFill="1" applyBorder="1" applyAlignment="1" applyProtection="1">
      <alignment horizontal="right"/>
    </xf>
    <xf numFmtId="0" fontId="31" fillId="17" borderId="0" xfId="0" applyNumberFormat="1" applyFont="1" applyFill="1" applyBorder="1" applyAlignment="1" applyProtection="1">
      <alignment horizontal="left"/>
    </xf>
    <xf numFmtId="164" fontId="73" fillId="2" borderId="0" xfId="0" quotePrefix="1" applyNumberFormat="1" applyFont="1" applyFill="1" applyBorder="1" applyAlignment="1" applyProtection="1">
      <alignment horizontal="left" vertical="center" wrapText="1" indent="4"/>
    </xf>
    <xf numFmtId="164" fontId="110" fillId="43" borderId="31" xfId="1" applyNumberFormat="1" applyFill="1" applyAlignment="1" applyProtection="1">
      <alignment horizontal="center" vertical="center"/>
    </xf>
    <xf numFmtId="166" fontId="89" fillId="0" borderId="0" xfId="0" applyNumberFormat="1" applyFont="1" applyFill="1" applyBorder="1" applyAlignment="1" applyProtection="1">
      <protection locked="0"/>
    </xf>
    <xf numFmtId="166" fontId="89" fillId="0" borderId="0" xfId="0" applyNumberFormat="1" applyFont="1" applyFill="1" applyBorder="1" applyAlignment="1" applyProtection="1"/>
    <xf numFmtId="0" fontId="110" fillId="35" borderId="31" xfId="1" applyAlignment="1" applyProtection="1">
      <alignment horizontal="center" vertical="center"/>
    </xf>
    <xf numFmtId="166" fontId="73" fillId="40" borderId="60" xfId="0" applyNumberFormat="1" applyFont="1" applyFill="1" applyBorder="1" applyAlignment="1" applyProtection="1">
      <alignment horizontal="right"/>
      <protection locked="0"/>
    </xf>
    <xf numFmtId="166" fontId="73" fillId="40" borderId="45" xfId="0" applyNumberFormat="1" applyFont="1" applyFill="1" applyBorder="1" applyAlignment="1" applyProtection="1">
      <alignment horizontal="right"/>
      <protection locked="0"/>
    </xf>
    <xf numFmtId="167" fontId="110" fillId="35" borderId="31" xfId="1" applyNumberFormat="1" applyAlignment="1" applyProtection="1">
      <alignment horizontal="left" vertical="center" wrapText="1"/>
    </xf>
    <xf numFmtId="164" fontId="100" fillId="0" borderId="27" xfId="0" applyFont="1" applyBorder="1" applyAlignment="1">
      <alignment horizontal="right"/>
    </xf>
    <xf numFmtId="164" fontId="100" fillId="0" borderId="13" xfId="0" applyFont="1" applyBorder="1" applyAlignment="1">
      <alignment horizontal="right"/>
    </xf>
    <xf numFmtId="164" fontId="160" fillId="0" borderId="0" xfId="0" applyFont="1" applyFill="1" applyBorder="1" applyAlignment="1">
      <alignment horizontal="left" wrapText="1" indent="1"/>
    </xf>
    <xf numFmtId="0" fontId="91" fillId="0" borderId="0" xfId="0" applyNumberFormat="1" applyFont="1" applyBorder="1" applyAlignment="1">
      <alignment horizontal="center" vertical="center"/>
    </xf>
    <xf numFmtId="164" fontId="67" fillId="0" borderId="1" xfId="0" applyFont="1" applyBorder="1" applyAlignment="1">
      <alignment horizontal="right" vertical="center"/>
    </xf>
    <xf numFmtId="164" fontId="67" fillId="0" borderId="27" xfId="0" applyFont="1" applyBorder="1" applyAlignment="1">
      <alignment horizontal="right" vertical="center"/>
    </xf>
    <xf numFmtId="164" fontId="67" fillId="0" borderId="13" xfId="0" applyFont="1" applyBorder="1" applyAlignment="1">
      <alignment horizontal="right" vertical="center"/>
    </xf>
    <xf numFmtId="164" fontId="170" fillId="0" borderId="0" xfId="0" applyFont="1" applyAlignment="1">
      <alignment horizontal="center" vertical="center" wrapText="1"/>
    </xf>
    <xf numFmtId="164" fontId="170" fillId="0" borderId="10" xfId="0" applyFont="1" applyBorder="1" applyAlignment="1">
      <alignment horizontal="center" vertical="center" wrapText="1"/>
    </xf>
    <xf numFmtId="164" fontId="0" fillId="0" borderId="0" xfId="0" applyAlignment="1">
      <alignment horizontal="center"/>
    </xf>
    <xf numFmtId="164" fontId="145" fillId="10" borderId="52" xfId="0" applyFont="1" applyFill="1" applyBorder="1" applyAlignment="1">
      <alignment horizontal="center" vertical="center"/>
    </xf>
    <xf numFmtId="164" fontId="145" fillId="10" borderId="53" xfId="0" applyFont="1" applyFill="1" applyBorder="1" applyAlignment="1">
      <alignment horizontal="center" vertical="center"/>
    </xf>
    <xf numFmtId="0" fontId="144" fillId="0" borderId="1" xfId="0" applyNumberFormat="1" applyFont="1" applyBorder="1" applyAlignment="1">
      <alignment horizontal="center"/>
    </xf>
    <xf numFmtId="0" fontId="144" fillId="0" borderId="27" xfId="0" applyNumberFormat="1" applyFont="1" applyBorder="1" applyAlignment="1">
      <alignment horizontal="center"/>
    </xf>
    <xf numFmtId="164" fontId="155" fillId="0" borderId="0" xfId="0" applyFont="1" applyAlignment="1">
      <alignment horizontal="left" vertical="top" wrapText="1" indent="4"/>
    </xf>
    <xf numFmtId="164" fontId="164" fillId="12" borderId="0" xfId="0" applyFont="1" applyFill="1" applyAlignment="1">
      <alignment horizontal="center" wrapText="1"/>
    </xf>
    <xf numFmtId="164" fontId="148" fillId="9" borderId="0" xfId="0" applyNumberFormat="1" applyFont="1" applyFill="1" applyBorder="1" applyAlignment="1" applyProtection="1">
      <alignment vertical="center" wrapText="1"/>
    </xf>
    <xf numFmtId="0" fontId="153" fillId="7" borderId="0" xfId="0" applyNumberFormat="1" applyFont="1" applyFill="1" applyBorder="1" applyAlignment="1" applyProtection="1">
      <alignment horizontal="left" vertical="center" wrapText="1"/>
    </xf>
    <xf numFmtId="166" fontId="147" fillId="2" borderId="0" xfId="0" applyNumberFormat="1" applyFont="1" applyFill="1" applyBorder="1" applyAlignment="1">
      <alignment horizontal="right"/>
    </xf>
    <xf numFmtId="166" fontId="147" fillId="2" borderId="74" xfId="0" applyNumberFormat="1" applyFont="1" applyFill="1" applyBorder="1" applyAlignment="1">
      <alignment horizontal="right"/>
    </xf>
    <xf numFmtId="164" fontId="58" fillId="2" borderId="0" xfId="0" applyFont="1" applyFill="1" applyAlignment="1" applyProtection="1">
      <alignment vertical="center"/>
    </xf>
    <xf numFmtId="0" fontId="103" fillId="7" borderId="0" xfId="1" applyFont="1" applyFill="1" applyBorder="1" applyAlignment="1" applyProtection="1">
      <alignment horizontal="left" vertical="center" indent="1"/>
    </xf>
    <xf numFmtId="169" fontId="31" fillId="17" borderId="0" xfId="0" applyNumberFormat="1" applyFont="1" applyFill="1" applyBorder="1" applyAlignment="1" applyProtection="1">
      <alignment horizontal="center" wrapText="1"/>
    </xf>
    <xf numFmtId="0" fontId="91" fillId="0" borderId="30" xfId="0" applyNumberFormat="1" applyFont="1" applyBorder="1" applyAlignment="1">
      <alignment horizontal="center" vertical="center"/>
    </xf>
    <xf numFmtId="164" fontId="67" fillId="0" borderId="30" xfId="0" applyFont="1" applyBorder="1" applyAlignment="1">
      <alignment horizontal="right" vertical="center"/>
    </xf>
    <xf numFmtId="164" fontId="67" fillId="0" borderId="56" xfId="0" applyFont="1" applyBorder="1" applyAlignment="1">
      <alignment horizontal="right" vertical="center"/>
    </xf>
    <xf numFmtId="164" fontId="73" fillId="2" borderId="0" xfId="0" applyNumberFormat="1" applyFont="1" applyFill="1" applyBorder="1" applyAlignment="1" applyProtection="1">
      <alignment horizontal="left" vertical="center" wrapText="1" indent="4"/>
    </xf>
    <xf numFmtId="164" fontId="73" fillId="2" borderId="0" xfId="0" quotePrefix="1" applyNumberFormat="1" applyFont="1" applyFill="1" applyBorder="1" applyAlignment="1" applyProtection="1">
      <alignment horizontal="left" vertical="center" wrapText="1" indent="4"/>
    </xf>
    <xf numFmtId="164" fontId="32" fillId="7" borderId="0" xfId="0" applyNumberFormat="1" applyFont="1" applyFill="1" applyBorder="1" applyAlignment="1" applyProtection="1">
      <alignment horizontal="left"/>
    </xf>
    <xf numFmtId="0" fontId="32" fillId="7" borderId="0" xfId="0" applyNumberFormat="1" applyFont="1" applyFill="1" applyBorder="1" applyAlignment="1" applyProtection="1">
      <alignment horizontal="left"/>
    </xf>
    <xf numFmtId="167" fontId="32" fillId="7" borderId="0" xfId="0" applyNumberFormat="1" applyFont="1" applyFill="1" applyBorder="1" applyAlignment="1" applyProtection="1">
      <alignment horizontal="left"/>
    </xf>
    <xf numFmtId="164" fontId="145" fillId="9" borderId="59" xfId="0" applyFont="1" applyFill="1" applyBorder="1" applyAlignment="1">
      <alignment horizontal="center" wrapText="1"/>
    </xf>
    <xf numFmtId="164" fontId="145" fillId="9" borderId="54" xfId="0" applyFont="1" applyFill="1" applyBorder="1" applyAlignment="1">
      <alignment horizontal="center" wrapText="1"/>
    </xf>
    <xf numFmtId="164" fontId="32" fillId="7" borderId="0" xfId="0" applyNumberFormat="1" applyFont="1" applyFill="1" applyBorder="1" applyAlignment="1" applyProtection="1"/>
    <xf numFmtId="1" fontId="32" fillId="7" borderId="0" xfId="0" applyNumberFormat="1" applyFont="1" applyFill="1" applyBorder="1" applyAlignment="1" applyProtection="1">
      <alignment horizontal="left" wrapText="1"/>
    </xf>
    <xf numFmtId="164" fontId="145" fillId="9" borderId="84" xfId="0" applyFont="1" applyFill="1" applyBorder="1" applyAlignment="1">
      <alignment horizontal="center" wrapText="1"/>
    </xf>
    <xf numFmtId="164" fontId="145" fillId="9" borderId="48" xfId="0" applyFont="1" applyFill="1" applyBorder="1" applyAlignment="1">
      <alignment horizontal="center" wrapText="1"/>
    </xf>
    <xf numFmtId="167" fontId="105" fillId="0" borderId="4" xfId="0" applyNumberFormat="1" applyFont="1" applyBorder="1" applyAlignment="1" applyProtection="1">
      <alignment horizontal="right" vertical="center" wrapText="1"/>
    </xf>
    <xf numFmtId="167" fontId="105" fillId="0" borderId="0" xfId="0" applyNumberFormat="1" applyFont="1" applyBorder="1" applyAlignment="1" applyProtection="1">
      <alignment horizontal="right" vertical="center" wrapText="1"/>
    </xf>
    <xf numFmtId="167" fontId="105" fillId="0" borderId="10" xfId="0" applyNumberFormat="1" applyFont="1" applyBorder="1" applyAlignment="1" applyProtection="1">
      <alignment horizontal="right" vertical="center" wrapText="1"/>
    </xf>
    <xf numFmtId="164" fontId="147" fillId="0" borderId="0" xfId="0" applyFont="1" applyBorder="1" applyAlignment="1">
      <alignment horizontal="right" vertical="center"/>
    </xf>
    <xf numFmtId="164" fontId="147" fillId="0" borderId="10" xfId="0" applyFont="1" applyBorder="1" applyAlignment="1">
      <alignment horizontal="right" vertical="center"/>
    </xf>
    <xf numFmtId="0" fontId="147" fillId="2" borderId="0" xfId="0" applyNumberFormat="1" applyFont="1" applyFill="1" applyBorder="1" applyAlignment="1" applyProtection="1">
      <alignment horizontal="right" vertical="center" wrapText="1"/>
    </xf>
    <xf numFmtId="0" fontId="147" fillId="2" borderId="10" xfId="0" applyNumberFormat="1" applyFont="1" applyFill="1" applyBorder="1" applyAlignment="1" applyProtection="1">
      <alignment horizontal="right" vertical="center" wrapText="1"/>
    </xf>
    <xf numFmtId="164" fontId="0" fillId="0" borderId="0" xfId="0"/>
    <xf numFmtId="164" fontId="0" fillId="0" borderId="10" xfId="0" applyBorder="1"/>
    <xf numFmtId="164" fontId="145" fillId="9" borderId="0" xfId="0" applyFont="1" applyFill="1" applyBorder="1" applyAlignment="1">
      <alignment horizontal="center" wrapText="1"/>
    </xf>
    <xf numFmtId="164" fontId="145" fillId="9" borderId="42" xfId="0" applyFont="1" applyFill="1" applyBorder="1" applyAlignment="1">
      <alignment horizontal="center" wrapText="1"/>
    </xf>
    <xf numFmtId="164" fontId="157" fillId="9" borderId="49" xfId="0" applyFont="1" applyFill="1" applyBorder="1" applyAlignment="1">
      <alignment horizontal="center" vertical="center" wrapText="1"/>
    </xf>
    <xf numFmtId="164" fontId="157" fillId="9" borderId="90" xfId="0" applyFont="1" applyFill="1" applyBorder="1" applyAlignment="1">
      <alignment horizontal="center" vertical="center" wrapText="1"/>
    </xf>
    <xf numFmtId="0" fontId="88" fillId="0" borderId="0" xfId="0" applyNumberFormat="1" applyFont="1" applyBorder="1" applyAlignment="1">
      <alignment horizontal="center" vertical="center"/>
    </xf>
    <xf numFmtId="0" fontId="100" fillId="2" borderId="0" xfId="1" applyNumberFormat="1" applyFont="1" applyFill="1" applyBorder="1" applyAlignment="1" applyProtection="1">
      <alignment wrapText="1"/>
    </xf>
    <xf numFmtId="0" fontId="162" fillId="0" borderId="4" xfId="0" applyNumberFormat="1" applyFont="1" applyFill="1" applyBorder="1" applyAlignment="1" applyProtection="1">
      <alignment horizontal="right" vertical="center" wrapText="1"/>
    </xf>
    <xf numFmtId="0" fontId="162" fillId="0" borderId="86" xfId="0" applyNumberFormat="1" applyFont="1" applyFill="1" applyBorder="1" applyAlignment="1" applyProtection="1">
      <alignment horizontal="right" vertical="center" wrapText="1"/>
    </xf>
    <xf numFmtId="164" fontId="145" fillId="0" borderId="59" xfId="0" applyFont="1" applyBorder="1" applyAlignment="1">
      <alignment horizontal="center" wrapText="1"/>
    </xf>
    <xf numFmtId="164" fontId="145" fillId="0" borderId="54" xfId="0" applyFont="1" applyBorder="1" applyAlignment="1">
      <alignment horizontal="center" wrapText="1"/>
    </xf>
    <xf numFmtId="164" fontId="147" fillId="0" borderId="0" xfId="0" applyFont="1"/>
    <xf numFmtId="164" fontId="147" fillId="0" borderId="10" xfId="0" applyFont="1" applyBorder="1"/>
    <xf numFmtId="164" fontId="73" fillId="2" borderId="0" xfId="0" applyFont="1" applyFill="1" applyBorder="1" applyAlignment="1" applyProtection="1">
      <alignment wrapText="1"/>
    </xf>
    <xf numFmtId="164" fontId="25" fillId="2" borderId="0" xfId="0" applyFont="1" applyFill="1" applyAlignment="1">
      <alignment horizontal="left"/>
    </xf>
    <xf numFmtId="164" fontId="81" fillId="7" borderId="24" xfId="0" applyFont="1" applyFill="1" applyBorder="1" applyAlignment="1">
      <alignment horizontal="left" vertical="center"/>
    </xf>
    <xf numFmtId="164" fontId="65" fillId="30" borderId="0" xfId="0" applyFont="1" applyFill="1" applyBorder="1" applyAlignment="1">
      <alignment horizontal="center" vertical="top" wrapText="1"/>
    </xf>
    <xf numFmtId="172" fontId="124" fillId="0" borderId="0" xfId="0" applyNumberFormat="1" applyFont="1" applyBorder="1" applyAlignment="1">
      <alignment horizontal="left"/>
    </xf>
    <xf numFmtId="164" fontId="125" fillId="2" borderId="0" xfId="0" applyFont="1" applyFill="1" applyBorder="1" applyAlignment="1">
      <alignment horizontal="left"/>
    </xf>
    <xf numFmtId="164" fontId="119" fillId="2" borderId="0" xfId="0" applyFont="1" applyFill="1" applyAlignment="1">
      <alignment horizontal="right"/>
    </xf>
    <xf numFmtId="164" fontId="119" fillId="2" borderId="35" xfId="0" applyFont="1" applyFill="1" applyBorder="1" applyAlignment="1">
      <alignment horizontal="right"/>
    </xf>
    <xf numFmtId="164" fontId="106" fillId="2" borderId="0" xfId="0" applyFont="1" applyFill="1" applyBorder="1" applyAlignment="1">
      <alignment horizontal="center"/>
    </xf>
    <xf numFmtId="164" fontId="127" fillId="2" borderId="0" xfId="0" applyFont="1" applyFill="1" applyBorder="1" applyAlignment="1">
      <alignment horizontal="center" vertical="center"/>
    </xf>
    <xf numFmtId="167" fontId="106" fillId="2" borderId="0" xfId="0" applyNumberFormat="1" applyFont="1" applyFill="1" applyBorder="1" applyAlignment="1">
      <alignment horizontal="center" vertical="top"/>
    </xf>
    <xf numFmtId="164" fontId="0" fillId="2" borderId="0" xfId="0" applyFill="1" applyAlignment="1">
      <alignment horizontal="center"/>
    </xf>
    <xf numFmtId="164" fontId="56" fillId="38" borderId="68" xfId="0" applyFont="1" applyFill="1" applyBorder="1" applyAlignment="1">
      <alignment horizontal="center" vertical="center"/>
    </xf>
    <xf numFmtId="164" fontId="56" fillId="38" borderId="69" xfId="0" applyFont="1" applyFill="1" applyBorder="1" applyAlignment="1">
      <alignment horizontal="center" vertical="center"/>
    </xf>
    <xf numFmtId="164" fontId="76" fillId="25" borderId="0" xfId="0" applyFont="1" applyFill="1" applyAlignment="1">
      <alignment horizontal="left" vertical="center" wrapText="1" indent="1"/>
    </xf>
    <xf numFmtId="164" fontId="125" fillId="2" borderId="0" xfId="0" applyFont="1" applyFill="1" applyBorder="1" applyAlignment="1">
      <alignment horizontal="left" wrapText="1"/>
    </xf>
    <xf numFmtId="164" fontId="125" fillId="2" borderId="63" xfId="0" applyFont="1" applyFill="1" applyBorder="1" applyAlignment="1">
      <alignment horizontal="left" wrapText="1"/>
    </xf>
    <xf numFmtId="164" fontId="106" fillId="2" borderId="28" xfId="0" applyFont="1" applyFill="1" applyBorder="1" applyAlignment="1">
      <alignment horizontal="center"/>
    </xf>
    <xf numFmtId="164" fontId="149" fillId="2" borderId="0" xfId="0" applyFont="1" applyFill="1" applyAlignment="1">
      <alignment horizontal="left" vertical="top"/>
    </xf>
    <xf numFmtId="0" fontId="7" fillId="9" borderId="0" xfId="0" applyNumberFormat="1" applyFont="1" applyFill="1" applyAlignment="1">
      <alignment horizontal="left" vertical="top" wrapText="1"/>
    </xf>
    <xf numFmtId="164" fontId="59" fillId="9" borderId="0" xfId="0" applyFont="1" applyFill="1" applyAlignment="1">
      <alignment horizontal="left" vertical="top" wrapText="1" indent="1"/>
    </xf>
    <xf numFmtId="0" fontId="0" fillId="0" borderId="0" xfId="0" applyNumberFormat="1" applyAlignment="1">
      <alignment horizontal="left" vertical="top" wrapText="1" indent="5"/>
    </xf>
    <xf numFmtId="164" fontId="0" fillId="2" borderId="0" xfId="0" applyFill="1" applyAlignment="1">
      <alignment horizontal="right" indent="1"/>
    </xf>
    <xf numFmtId="164" fontId="133" fillId="2" borderId="38" xfId="0" applyFont="1" applyFill="1" applyBorder="1" applyAlignment="1">
      <alignment horizontal="left" indent="1"/>
    </xf>
    <xf numFmtId="164" fontId="133" fillId="2" borderId="38" xfId="0" applyFont="1" applyFill="1" applyBorder="1" applyAlignment="1">
      <alignment horizontal="left" vertical="top" indent="1"/>
    </xf>
    <xf numFmtId="164" fontId="130" fillId="2" borderId="0" xfId="0" applyFont="1" applyFill="1" applyAlignment="1">
      <alignment horizontal="right" wrapText="1"/>
    </xf>
    <xf numFmtId="164" fontId="142" fillId="0" borderId="0" xfId="0" applyFont="1" applyAlignment="1">
      <alignment horizontal="left" wrapText="1"/>
    </xf>
    <xf numFmtId="164" fontId="142" fillId="0" borderId="0" xfId="0" applyFont="1" applyAlignment="1">
      <alignment horizontal="left" vertical="top" wrapText="1"/>
    </xf>
  </cellXfs>
  <cellStyles count="11">
    <cellStyle name="Hyperlink" xfId="1" builtinId="8" customBuiltin="1"/>
    <cellStyle name="Hyperlink 2" xfId="3"/>
    <cellStyle name="Hyperlink 3" xfId="6"/>
    <cellStyle name="Hyperlink 4" xfId="9"/>
    <cellStyle name="Normal" xfId="0" builtinId="0"/>
    <cellStyle name="Normal 2" xfId="4"/>
    <cellStyle name="Normal 3" xfId="5"/>
    <cellStyle name="Normal 4" xfId="8"/>
    <cellStyle name="Normal 5" xfId="10"/>
    <cellStyle name="Style 1" xfId="2"/>
    <cellStyle name="Style 1 2" xfId="7"/>
  </cellStyles>
  <dxfs count="69">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strike val="0"/>
        <color theme="0" tint="-0.24994659260841701"/>
      </font>
    </dxf>
    <dxf>
      <fill>
        <patternFill>
          <bgColor rgb="FFFFFFCC"/>
        </patternFill>
      </fill>
    </dxf>
    <dxf>
      <fill>
        <patternFill>
          <bgColor rgb="FFFFFFCC"/>
        </patternFill>
      </fill>
    </dxf>
    <dxf>
      <fill>
        <patternFill patternType="darkHorizontal">
          <fgColor rgb="FFFF9933"/>
        </patternFill>
      </fill>
    </dxf>
    <dxf>
      <font>
        <b/>
        <i val="0"/>
        <strike val="0"/>
        <color theme="0"/>
      </font>
      <fill>
        <patternFill>
          <bgColor rgb="FFCC0000"/>
        </patternFill>
      </fill>
    </dxf>
    <dxf>
      <font>
        <b/>
        <i val="0"/>
        <strike val="0"/>
        <color theme="0"/>
      </font>
      <fill>
        <patternFill>
          <bgColor rgb="FFCC0000"/>
        </patternFill>
      </fill>
    </dxf>
    <dxf>
      <font>
        <b/>
        <i val="0"/>
        <strike val="0"/>
        <color theme="0"/>
      </font>
      <fill>
        <patternFill>
          <bgColor rgb="FFCC0000"/>
        </patternFill>
      </fill>
    </dxf>
    <dxf>
      <font>
        <b/>
        <i val="0"/>
        <strike val="0"/>
        <color theme="0"/>
      </font>
      <fill>
        <patternFill>
          <bgColor rgb="FFCC0000"/>
        </patternFill>
      </fill>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b/>
        <i val="0"/>
      </font>
      <fill>
        <patternFill patternType="lightDown">
          <fgColor theme="2" tint="-0.499984740745262"/>
          <bgColor theme="0" tint="-4.9989318521683403E-2"/>
        </patternFill>
      </fill>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color rgb="FFC00000"/>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b/>
        <i val="0"/>
        <color rgb="FFC00000"/>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b/>
        <i val="0"/>
      </font>
      <fill>
        <patternFill patternType="lightDown">
          <fgColor theme="2" tint="-0.499984740745262"/>
          <bgColor theme="0" tint="-4.9989318521683403E-2"/>
        </patternFill>
      </fill>
    </dxf>
    <dxf>
      <font>
        <strike val="0"/>
        <color theme="0" tint="-0.24994659260841701"/>
      </font>
    </dxf>
    <dxf>
      <font>
        <b/>
        <i val="0"/>
        <strike val="0"/>
        <color rgb="FFC00000"/>
      </font>
    </dxf>
    <dxf>
      <font>
        <b/>
        <i val="0"/>
        <color rgb="FFC00000"/>
      </font>
    </dxf>
    <dxf>
      <font>
        <b/>
        <i val="0"/>
        <strike val="0"/>
        <color theme="0"/>
      </font>
      <fill>
        <patternFill>
          <bgColor rgb="FFCC0000"/>
        </patternFill>
      </fill>
    </dxf>
    <dxf>
      <font>
        <b/>
        <i val="0"/>
        <strike val="0"/>
        <color theme="0"/>
      </font>
      <fill>
        <patternFill>
          <bgColor rgb="FFCC0000"/>
        </patternFill>
      </fill>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68"/>
    </tableStyle>
    <tableStyle name="Table Style 2" pivot="0" count="1">
      <tableStyleElement type="wholeTable" dxfId="67"/>
    </tableStyle>
    <tableStyle name="TableStyleMedium9 2" pivot="0" count="7">
      <tableStyleElement type="wholeTable" dxfId="66"/>
      <tableStyleElement type="headerRow" dxfId="65"/>
      <tableStyleElement type="totalRow" dxfId="64"/>
      <tableStyleElement type="firstColumn" dxfId="63"/>
      <tableStyleElement type="lastColumn" dxfId="62"/>
      <tableStyleElement type="firstRowStripe" dxfId="61"/>
      <tableStyleElement type="firstColumnStripe" dxfId="60"/>
    </tableStyle>
    <tableStyle name="TableStyleMedium9 3" pivot="0" count="7">
      <tableStyleElement type="wholeTable" dxfId="59"/>
      <tableStyleElement type="headerRow" dxfId="58"/>
      <tableStyleElement type="totalRow" dxfId="57"/>
      <tableStyleElement type="firstColumn" dxfId="56"/>
      <tableStyleElement type="lastColumn" dxfId="55"/>
      <tableStyleElement type="firstRowStripe" dxfId="54"/>
      <tableStyleElement type="firstColumnStripe" dxfId="53"/>
    </tableStyle>
    <tableStyle name="TimeTable" pivot="0" count="1">
      <tableStyleElement type="wholeTable" dxfId="52"/>
    </tableStyle>
  </tableStyles>
  <colors>
    <mruColors>
      <color rgb="FF09FF78"/>
      <color rgb="FF3BABFF"/>
      <color rgb="FF008272"/>
      <color rgb="FFCC6600"/>
      <color rgb="FF993300"/>
      <color rgb="FFFF9933"/>
      <color rgb="FFF3D6AF"/>
      <color rgb="FFFFFFCC"/>
      <color rgb="FF253C43"/>
      <color rgb="FF66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3812516</xdr:colOff>
      <xdr:row>1</xdr:row>
      <xdr:rowOff>61470</xdr:rowOff>
    </xdr:from>
    <xdr:to>
      <xdr:col>3</xdr:col>
      <xdr:colOff>6424</xdr:colOff>
      <xdr:row>2</xdr:row>
      <xdr:rowOff>113839</xdr:rowOff>
    </xdr:to>
    <xdr:sp macro="" textlink="">
      <xdr:nvSpPr>
        <xdr:cNvPr id="4" name="TextBox 3"/>
        <xdr:cNvSpPr txBox="1"/>
      </xdr:nvSpPr>
      <xdr:spPr>
        <a:xfrm>
          <a:off x="3926816" y="347220"/>
          <a:ext cx="1191358" cy="223819"/>
        </a:xfrm>
        <a:prstGeom prst="rect">
          <a:avLst/>
        </a:prstGeom>
        <a:solidFill>
          <a:srgbClr val="C00000"/>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lang="en-US" sz="800">
              <a:solidFill>
                <a:schemeClr val="bg1"/>
              </a:solidFill>
              <a:latin typeface="+mj-lt"/>
              <a:ea typeface="Verdana" pitchFamily="34" charset="0"/>
              <a:cs typeface="Verdana" pitchFamily="34" charset="0"/>
            </a:rPr>
            <a:t>DEQ Closed</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123826</xdr:colOff>
      <xdr:row>1</xdr:row>
      <xdr:rowOff>19050</xdr:rowOff>
    </xdr:from>
    <xdr:to>
      <xdr:col>1</xdr:col>
      <xdr:colOff>190501</xdr:colOff>
      <xdr:row>1</xdr:row>
      <xdr:rowOff>1619250</xdr:rowOff>
    </xdr:to>
    <xdr:pic>
      <xdr:nvPicPr>
        <xdr:cNvPr id="2" name="Picture 1" descr="panrg.tif"/>
        <xdr:cNvPicPr/>
      </xdr:nvPicPr>
      <xdr:blipFill>
        <a:blip xmlns:r="http://schemas.openxmlformats.org/officeDocument/2006/relationships" r:embed="rId1" cstate="print"/>
        <a:srcRect/>
        <a:stretch>
          <a:fillRect/>
        </a:stretch>
      </xdr:blipFill>
      <xdr:spPr bwMode="auto">
        <a:xfrm>
          <a:off x="123826" y="200025"/>
          <a:ext cx="704850" cy="1600200"/>
        </a:xfrm>
        <a:prstGeom prst="rect">
          <a:avLst/>
        </a:prstGeom>
        <a:noFill/>
        <a:ln w="9525">
          <a:noFill/>
          <a:miter lim="800000"/>
          <a:headEnd/>
          <a:tailEnd/>
        </a:ln>
      </xdr:spPr>
    </xdr:pic>
    <xdr:clientData/>
  </xdr:twoCellAnchor>
  <xdr:twoCellAnchor editAs="oneCell">
    <xdr:from>
      <xdr:col>3</xdr:col>
      <xdr:colOff>1343025</xdr:colOff>
      <xdr:row>26</xdr:row>
      <xdr:rowOff>380999</xdr:rowOff>
    </xdr:from>
    <xdr:to>
      <xdr:col>4</xdr:col>
      <xdr:colOff>95249</xdr:colOff>
      <xdr:row>26</xdr:row>
      <xdr:rowOff>542923</xdr:rowOff>
    </xdr:to>
    <xdr:pic>
      <xdr:nvPicPr>
        <xdr:cNvPr id="1026"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schemeClr val="accent1">
              <a:shade val="45000"/>
              <a:satMod val="135000"/>
            </a:schemeClr>
            <a:prstClr val="white"/>
          </a:duotone>
        </a:blip>
        <a:srcRect/>
        <a:stretch>
          <a:fillRect/>
        </a:stretch>
      </xdr:blipFill>
      <xdr:spPr bwMode="auto">
        <a:xfrm flipH="1" flipV="1">
          <a:off x="4867275" y="10382249"/>
          <a:ext cx="161924" cy="161924"/>
        </a:xfrm>
        <a:prstGeom prst="rect">
          <a:avLst/>
        </a:prstGeom>
        <a:noFill/>
      </xdr:spPr>
    </xdr:pic>
    <xdr:clientData/>
  </xdr:twoCellAnchor>
  <xdr:twoCellAnchor editAs="oneCell">
    <xdr:from>
      <xdr:col>3</xdr:col>
      <xdr:colOff>1304925</xdr:colOff>
      <xdr:row>30</xdr:row>
      <xdr:rowOff>390525</xdr:rowOff>
    </xdr:from>
    <xdr:to>
      <xdr:col>4</xdr:col>
      <xdr:colOff>57149</xdr:colOff>
      <xdr:row>30</xdr:row>
      <xdr:rowOff>552449</xdr:rowOff>
    </xdr:to>
    <xdr:pic>
      <xdr:nvPicPr>
        <xdr:cNvPr id="8"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29175" y="15325725"/>
          <a:ext cx="161924" cy="161924"/>
        </a:xfrm>
        <a:prstGeom prst="rect">
          <a:avLst/>
        </a:prstGeom>
        <a:noFill/>
      </xdr:spPr>
    </xdr:pic>
    <xdr:clientData/>
  </xdr:twoCellAnchor>
  <xdr:twoCellAnchor editAs="oneCell">
    <xdr:from>
      <xdr:col>3</xdr:col>
      <xdr:colOff>1304925</xdr:colOff>
      <xdr:row>31</xdr:row>
      <xdr:rowOff>0</xdr:rowOff>
    </xdr:from>
    <xdr:to>
      <xdr:col>4</xdr:col>
      <xdr:colOff>57149</xdr:colOff>
      <xdr:row>31</xdr:row>
      <xdr:rowOff>1</xdr:rowOff>
    </xdr:to>
    <xdr:pic>
      <xdr:nvPicPr>
        <xdr:cNvPr id="5"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29175" y="15411450"/>
          <a:ext cx="161924" cy="161924"/>
        </a:xfrm>
        <a:prstGeom prst="rect">
          <a:avLst/>
        </a:prstGeom>
        <a:noFill/>
      </xdr:spPr>
    </xdr:pic>
    <xdr:clientData/>
  </xdr:twoCellAnchor>
  <xdr:twoCellAnchor editAs="oneCell">
    <xdr:from>
      <xdr:col>3</xdr:col>
      <xdr:colOff>1323975</xdr:colOff>
      <xdr:row>31</xdr:row>
      <xdr:rowOff>390525</xdr:rowOff>
    </xdr:from>
    <xdr:to>
      <xdr:col>4</xdr:col>
      <xdr:colOff>76199</xdr:colOff>
      <xdr:row>31</xdr:row>
      <xdr:rowOff>552449</xdr:rowOff>
    </xdr:to>
    <xdr:pic>
      <xdr:nvPicPr>
        <xdr:cNvPr id="6"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48225" y="17125950"/>
          <a:ext cx="161924" cy="161924"/>
        </a:xfrm>
        <a:prstGeom prst="rect">
          <a:avLst/>
        </a:prstGeom>
        <a:noFill/>
      </xdr:spPr>
    </xdr:pic>
    <xdr:clientData/>
  </xdr:twoCellAnchor>
  <xdr:twoCellAnchor editAs="oneCell">
    <xdr:from>
      <xdr:col>3</xdr:col>
      <xdr:colOff>1343025</xdr:colOff>
      <xdr:row>44</xdr:row>
      <xdr:rowOff>342900</xdr:rowOff>
    </xdr:from>
    <xdr:to>
      <xdr:col>4</xdr:col>
      <xdr:colOff>95249</xdr:colOff>
      <xdr:row>44</xdr:row>
      <xdr:rowOff>504824</xdr:rowOff>
    </xdr:to>
    <xdr:pic>
      <xdr:nvPicPr>
        <xdr:cNvPr id="7"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76800" y="22031325"/>
          <a:ext cx="161924" cy="161924"/>
        </a:xfrm>
        <a:prstGeom prst="rect">
          <a:avLst/>
        </a:prstGeom>
        <a:noFill/>
      </xdr:spPr>
    </xdr:pic>
    <xdr:clientData/>
  </xdr:twoCellAnchor>
  <xdr:twoCellAnchor editAs="oneCell">
    <xdr:from>
      <xdr:col>3</xdr:col>
      <xdr:colOff>1333500</xdr:colOff>
      <xdr:row>51</xdr:row>
      <xdr:rowOff>552450</xdr:rowOff>
    </xdr:from>
    <xdr:to>
      <xdr:col>4</xdr:col>
      <xdr:colOff>85724</xdr:colOff>
      <xdr:row>51</xdr:row>
      <xdr:rowOff>714374</xdr:rowOff>
    </xdr:to>
    <xdr:pic>
      <xdr:nvPicPr>
        <xdr:cNvPr id="10"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67275" y="26069925"/>
          <a:ext cx="161924" cy="161924"/>
        </a:xfrm>
        <a:prstGeom prst="rect">
          <a:avLst/>
        </a:prstGeom>
        <a:noFill/>
      </xdr:spPr>
    </xdr:pic>
    <xdr:clientData/>
  </xdr:twoCellAnchor>
  <xdr:twoCellAnchor editAs="oneCell">
    <xdr:from>
      <xdr:col>3</xdr:col>
      <xdr:colOff>1314450</xdr:colOff>
      <xdr:row>76</xdr:row>
      <xdr:rowOff>409575</xdr:rowOff>
    </xdr:from>
    <xdr:to>
      <xdr:col>4</xdr:col>
      <xdr:colOff>66674</xdr:colOff>
      <xdr:row>76</xdr:row>
      <xdr:rowOff>571499</xdr:rowOff>
    </xdr:to>
    <xdr:pic>
      <xdr:nvPicPr>
        <xdr:cNvPr id="11"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48225" y="35185350"/>
          <a:ext cx="161924" cy="161924"/>
        </a:xfrm>
        <a:prstGeom prst="rect">
          <a:avLst/>
        </a:prstGeom>
        <a:noFill/>
      </xdr:spPr>
    </xdr:pic>
    <xdr:clientData/>
  </xdr:twoCellAnchor>
  <xdr:twoCellAnchor editAs="oneCell">
    <xdr:from>
      <xdr:col>3</xdr:col>
      <xdr:colOff>1333500</xdr:colOff>
      <xdr:row>56</xdr:row>
      <xdr:rowOff>552450</xdr:rowOff>
    </xdr:from>
    <xdr:to>
      <xdr:col>4</xdr:col>
      <xdr:colOff>85724</xdr:colOff>
      <xdr:row>56</xdr:row>
      <xdr:rowOff>714374</xdr:rowOff>
    </xdr:to>
    <xdr:pic>
      <xdr:nvPicPr>
        <xdr:cNvPr id="12"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67275" y="26069925"/>
          <a:ext cx="161924" cy="161924"/>
        </a:xfrm>
        <a:prstGeom prst="rect">
          <a:avLst/>
        </a:prstGeom>
        <a:noFill/>
      </xdr:spPr>
    </xdr:pic>
    <xdr:clientData/>
  </xdr:twoCellAnchor>
</xdr:wsDr>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deq05/intranet/communication/WebRequests.htm" TargetMode="External"/><Relationship Id="rId18" Type="http://schemas.openxmlformats.org/officeDocument/2006/relationships/hyperlink" Target="http://cms.oregon.gov/DEQ/EQC/pages/index.aspx" TargetMode="External"/><Relationship Id="rId26" Type="http://schemas.openxmlformats.org/officeDocument/2006/relationships/hyperlink" Target="file:///\\deq000\templates\General\Agenda%20Template.dotx" TargetMode="External"/><Relationship Id="rId39" Type="http://schemas.openxmlformats.org/officeDocument/2006/relationships/hyperlink" Target="file:///\\deq000\templates\General\Minutes%20Template.dotx" TargetMode="External"/><Relationship Id="rId21" Type="http://schemas.openxmlformats.org/officeDocument/2006/relationships/hyperlink" Target="mailto:RulePublications@deq.state.or.us" TargetMode="External"/><Relationship Id="rId34" Type="http://schemas.openxmlformats.org/officeDocument/2006/relationships/hyperlink" Target="http://deq05/intranet/communication/WebRequests.htm" TargetMode="External"/><Relationship Id="rId42" Type="http://schemas.openxmlformats.org/officeDocument/2006/relationships/hyperlink" Target="mailto:JoKRanch@hotmail.com" TargetMode="External"/><Relationship Id="rId47" Type="http://schemas.openxmlformats.org/officeDocument/2006/relationships/hyperlink" Target="mailto:JoKRanch@hotmail.com" TargetMode="External"/><Relationship Id="rId50" Type="http://schemas.openxmlformats.org/officeDocument/2006/relationships/hyperlink" Target="mailto:cjohnson@eou.edu" TargetMode="External"/><Relationship Id="rId55" Type="http://schemas.openxmlformats.org/officeDocument/2006/relationships/hyperlink" Target="file:///\\deq000\templates\General\Minutes%20Template.dotx" TargetMode="External"/><Relationship Id="rId63" Type="http://schemas.openxmlformats.org/officeDocument/2006/relationships/hyperlink" Target="mailto:JoKRanch@hotmail.com" TargetMode="External"/><Relationship Id="rId68" Type="http://schemas.openxmlformats.org/officeDocument/2006/relationships/hyperlink" Target="file:///\\DEQHQ1\..\CleanFuelsPhase2\default.aspx" TargetMode="External"/><Relationship Id="rId7" Type="http://schemas.openxmlformats.org/officeDocument/2006/relationships/hyperlink" Target="http://deq05/intranet/communication/docs/DEQAgencyTemplate1.potx" TargetMode="External"/><Relationship Id="rId71" Type="http://schemas.openxmlformats.org/officeDocument/2006/relationships/drawing" Target="../drawings/drawing1.xml"/><Relationship Id="rId2" Type="http://schemas.openxmlformats.org/officeDocument/2006/relationships/hyperlink" Target="http://deq05/intranet/communication/index.htm" TargetMode="External"/><Relationship Id="rId16" Type="http://schemas.openxmlformats.org/officeDocument/2006/relationships/hyperlink" Target="file:///\\DEQHQ1\Rule_Resources\i\AUTO.REPLY.CommentBox.docx" TargetMode="External"/><Relationship Id="rId29" Type="http://schemas.openxmlformats.org/officeDocument/2006/relationships/hyperlink" Target="http://deq05/intranet/contentmanagement/login.asp" TargetMode="External"/><Relationship Id="rId11" Type="http://schemas.openxmlformats.org/officeDocument/2006/relationships/hyperlink" Target="http://www.oregon.gov/deq/RulesandRegulations/Pages/2013/RulemakingActivities.aspx" TargetMode="External"/><Relationship Id="rId24" Type="http://schemas.openxmlformats.org/officeDocument/2006/relationships/hyperlink" Target="file:///\\deq000\templates\General\Agenda%20Template.dotx" TargetMode="External"/><Relationship Id="rId32" Type="http://schemas.openxmlformats.org/officeDocument/2006/relationships/hyperlink" Target="http://deq05/intranet/communication/docs/DEQAgencyTemplate1.potx" TargetMode="External"/><Relationship Id="rId37" Type="http://schemas.openxmlformats.org/officeDocument/2006/relationships/hyperlink" Target="file:///\\deq000\templates\General\Minutes%20Template.dotx" TargetMode="External"/><Relationship Id="rId40" Type="http://schemas.openxmlformats.org/officeDocument/2006/relationships/hyperlink" Target="http://arcweb.sos.state.or.us/pages/rules/oars_300/oar_340/340_tofc.html" TargetMode="External"/><Relationship Id="rId45" Type="http://schemas.openxmlformats.org/officeDocument/2006/relationships/hyperlink" Target="mailto:cjohnson@eou.edu" TargetMode="External"/><Relationship Id="rId53" Type="http://schemas.openxmlformats.org/officeDocument/2006/relationships/hyperlink" Target="http://deq05/intranet/communication/WebRequests.htm" TargetMode="External"/><Relationship Id="rId58" Type="http://schemas.openxmlformats.org/officeDocument/2006/relationships/hyperlink" Target="http://deq05/intranet/contentmanagement/login.asp" TargetMode="External"/><Relationship Id="rId66" Type="http://schemas.openxmlformats.org/officeDocument/2006/relationships/hyperlink" Target="mailto:cjohnson@eou.edu" TargetMode="External"/><Relationship Id="rId5" Type="http://schemas.openxmlformats.org/officeDocument/2006/relationships/hyperlink" Target="http://deq05/intranet/contentmanagement/login.asp" TargetMode="External"/><Relationship Id="rId15" Type="http://schemas.openxmlformats.org/officeDocument/2006/relationships/hyperlink" Target="http://deq05/intranet/contentmanagement/login.asp" TargetMode="External"/><Relationship Id="rId23" Type="http://schemas.openxmlformats.org/officeDocument/2006/relationships/hyperlink" Target="file:///\\deqhq1\Rule_Development\Currrent%20Plan" TargetMode="External"/><Relationship Id="rId28" Type="http://schemas.openxmlformats.org/officeDocument/2006/relationships/hyperlink" Target="http://deq05/intranet/contentmanagement/login.asp" TargetMode="External"/><Relationship Id="rId36" Type="http://schemas.openxmlformats.org/officeDocument/2006/relationships/hyperlink" Target="http://deq05/intranet/communication/WebRequests.htm" TargetMode="External"/><Relationship Id="rId49" Type="http://schemas.openxmlformats.org/officeDocument/2006/relationships/hyperlink" Target="mailto:MorganRider@gmail.com" TargetMode="External"/><Relationship Id="rId57" Type="http://schemas.openxmlformats.org/officeDocument/2006/relationships/hyperlink" Target="http://deq05/intranet/communication/docs/DEQAgencyTemplate1.potx" TargetMode="External"/><Relationship Id="rId61" Type="http://schemas.openxmlformats.org/officeDocument/2006/relationships/hyperlink" Target="http://arcweb.sos.state.or.us/pages/rules/oars_300/oar_340/340_018.html" TargetMode="External"/><Relationship Id="rId10" Type="http://schemas.openxmlformats.org/officeDocument/2006/relationships/hyperlink" Target="http://www.lc.state.or.us/arrs.htm" TargetMode="External"/><Relationship Id="rId19" Type="http://schemas.openxmlformats.org/officeDocument/2006/relationships/hyperlink" Target="file:///\\DEQHQ1\Rule_Resources\0.IndividualRulemaking\1-Planning\Microsoft\Windows\Temporary%20Internet%20Files\AppData\Local\Microsoft\Windows\groups\eqc\docs\EQCDeadlines.docx" TargetMode="External"/><Relationship Id="rId31" Type="http://schemas.openxmlformats.org/officeDocument/2006/relationships/hyperlink" Target="http://deq05/intranet/communication/docs/DEQAgencyTemplate1.potx" TargetMode="External"/><Relationship Id="rId44" Type="http://schemas.openxmlformats.org/officeDocument/2006/relationships/hyperlink" Target="mailto:MorganRider@gmail.com" TargetMode="External"/><Relationship Id="rId52" Type="http://schemas.openxmlformats.org/officeDocument/2006/relationships/hyperlink" Target="mailto:Comment-AQPermit@deq.state.or.us" TargetMode="External"/><Relationship Id="rId60" Type="http://schemas.openxmlformats.org/officeDocument/2006/relationships/hyperlink" Target="http://arcweb.sos.state.or.us/pages/rules/oars_300/oar_340/340_018.html" TargetMode="External"/><Relationship Id="rId65" Type="http://schemas.openxmlformats.org/officeDocument/2006/relationships/hyperlink" Target="mailto:MorganRider@gmail.com" TargetMode="External"/><Relationship Id="rId73" Type="http://schemas.openxmlformats.org/officeDocument/2006/relationships/comments" Target="../comments1.xml"/><Relationship Id="rId4" Type="http://schemas.openxmlformats.org/officeDocument/2006/relationships/hyperlink" Target="http://www.doj.state.or.us/pdf/public_records_and_meetings_manual.pdf" TargetMode="External"/><Relationship Id="rId9" Type="http://schemas.openxmlformats.org/officeDocument/2006/relationships/hyperlink" Target="http://arcweb.sos.state.or.us/pages/rules/resources/fileonline.html" TargetMode="External"/><Relationship Id="rId14" Type="http://schemas.openxmlformats.org/officeDocument/2006/relationships/hyperlink" Target="http://deq05/intranet/communication/WebRequests.htm" TargetMode="External"/><Relationship Id="rId22" Type="http://schemas.openxmlformats.org/officeDocument/2006/relationships/hyperlink" Target="https://www.oregonlegislature.gov/bills_laws/lawsstatutes/2011ors192.html" TargetMode="External"/><Relationship Id="rId27" Type="http://schemas.openxmlformats.org/officeDocument/2006/relationships/hyperlink" Target="file:///\\deq000\templates\General\Agenda%20Template.dotx" TargetMode="External"/><Relationship Id="rId30" Type="http://schemas.openxmlformats.org/officeDocument/2006/relationships/hyperlink" Target="http://deq05/intranet/contentmanagement/login.asp" TargetMode="External"/><Relationship Id="rId35" Type="http://schemas.openxmlformats.org/officeDocument/2006/relationships/hyperlink" Target="http://deq05/intranet/communication/WebRequests.htm" TargetMode="External"/><Relationship Id="rId43" Type="http://schemas.openxmlformats.org/officeDocument/2006/relationships/hyperlink" Target="mailto:EdArmstrong2@gmail.com" TargetMode="External"/><Relationship Id="rId48" Type="http://schemas.openxmlformats.org/officeDocument/2006/relationships/hyperlink" Target="mailto:EdArmstrong2@gmail.com" TargetMode="External"/><Relationship Id="rId56" Type="http://schemas.openxmlformats.org/officeDocument/2006/relationships/hyperlink" Target="http://deq05/intranet/communication/WebRequests.htm" TargetMode="External"/><Relationship Id="rId64" Type="http://schemas.openxmlformats.org/officeDocument/2006/relationships/hyperlink" Target="mailto:EdArmstrong2@gmail.com" TargetMode="External"/><Relationship Id="rId69" Type="http://schemas.openxmlformats.org/officeDocument/2006/relationships/hyperlink" Target="file:///\\deqhq1\Rule_Development\Currrent%20Plan\AQ-RM-GrantsPassLMP-Brian%20Finneran\1-Planning" TargetMode="External"/><Relationship Id="rId8" Type="http://schemas.openxmlformats.org/officeDocument/2006/relationships/hyperlink" Target="http://arcweb.sos.state.or.us/pages/rules/oars_300/oar_340/340_tofc.html" TargetMode="External"/><Relationship Id="rId51" Type="http://schemas.openxmlformats.org/officeDocument/2006/relationships/hyperlink" Target="mailto:Comment-CodeName@deq.state,or,us" TargetMode="External"/><Relationship Id="rId72" Type="http://schemas.openxmlformats.org/officeDocument/2006/relationships/vmlDrawing" Target="../drawings/vmlDrawing1.vml"/><Relationship Id="rId3" Type="http://schemas.openxmlformats.org/officeDocument/2006/relationships/hyperlink" Target="http://deq05/intranet/communication/publicinvolvement/signs.htm" TargetMode="External"/><Relationship Id="rId12" Type="http://schemas.openxmlformats.org/officeDocument/2006/relationships/hyperlink" Target="http://deq05/intranet/communication/publicinvolvement/signs.htm" TargetMode="External"/><Relationship Id="rId17" Type="http://schemas.openxmlformats.org/officeDocument/2006/relationships/hyperlink" Target="http://deq05/intranet/communication/publicinvolvement/index.htm" TargetMode="External"/><Relationship Id="rId25" Type="http://schemas.openxmlformats.org/officeDocument/2006/relationships/hyperlink" Target="file:///\\deq000\templates\General\Agenda%20Template.dotx" TargetMode="External"/><Relationship Id="rId33" Type="http://schemas.openxmlformats.org/officeDocument/2006/relationships/hyperlink" Target="http://deq05/intranet/communication/docs/DEQAgencyTemplate1.potx" TargetMode="External"/><Relationship Id="rId38" Type="http://schemas.openxmlformats.org/officeDocument/2006/relationships/hyperlink" Target="file:///\\deq000\templates\General\Minutes%20Template.dotx" TargetMode="External"/><Relationship Id="rId46" Type="http://schemas.openxmlformats.org/officeDocument/2006/relationships/hyperlink" Target="http://deq05/intranet/communication/publicinvolvement/index.htm" TargetMode="External"/><Relationship Id="rId59" Type="http://schemas.openxmlformats.org/officeDocument/2006/relationships/hyperlink" Target="file:///\\deq000\templates\General\Agenda%20Template.dotx" TargetMode="External"/><Relationship Id="rId67" Type="http://schemas.openxmlformats.org/officeDocument/2006/relationships/hyperlink" Target="mailto:MEden@neea.org" TargetMode="External"/><Relationship Id="rId20" Type="http://schemas.openxmlformats.org/officeDocument/2006/relationships/hyperlink" Target="file:///\\DEQHQ1\Rule_Resources\i\AD.LEGAL.docx" TargetMode="External"/><Relationship Id="rId41" Type="http://schemas.openxmlformats.org/officeDocument/2006/relationships/hyperlink" Target="http://arcweb.sos.state.or.us/pages/rules/oars_300/oar_340/340_tofc.html" TargetMode="External"/><Relationship Id="rId54" Type="http://schemas.openxmlformats.org/officeDocument/2006/relationships/hyperlink" Target="mailto:MEden@neea.org" TargetMode="External"/><Relationship Id="rId62" Type="http://schemas.openxmlformats.org/officeDocument/2006/relationships/hyperlink" Target="mailto:MEden@neea.org" TargetMode="External"/><Relationship Id="rId70" Type="http://schemas.openxmlformats.org/officeDocument/2006/relationships/printerSettings" Target="../printerSettings/printerSettings1.bin"/><Relationship Id="rId1" Type="http://schemas.openxmlformats.org/officeDocument/2006/relationships/hyperlink" Target="file:///\\deq000\templates\General\Minutes%20Template.dotx" TargetMode="External"/><Relationship Id="rId6" Type="http://schemas.openxmlformats.org/officeDocument/2006/relationships/hyperlink" Target="http://www.oregon.gov/transparency/Pages/PublicMeetingNotices.aspx"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file:///\\DEQHQ1\ACURTIS\default.asp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leg.state.or.us/ors/187.html"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Sheet1">
    <tabColor theme="5" tint="0.59999389629810485"/>
  </sheetPr>
  <dimension ref="A1:AY869"/>
  <sheetViews>
    <sheetView showGridLines="0" tabSelected="1" zoomScale="120" zoomScaleNormal="120" workbookViewId="0">
      <selection activeCell="C10" sqref="C10"/>
    </sheetView>
  </sheetViews>
  <sheetFormatPr defaultColWidth="9" defaultRowHeight="14.25" outlineLevelRow="3" outlineLevelCol="2"/>
  <cols>
    <col min="1" max="1" width="1.5" customWidth="1"/>
    <col min="2" max="2" width="63.125" customWidth="1"/>
    <col min="3" max="3" width="2.375" style="39" customWidth="1"/>
    <col min="4" max="4" width="2.375" style="725" customWidth="1"/>
    <col min="5" max="5" width="2.375" style="725" hidden="1" customWidth="1"/>
    <col min="6" max="6" width="3" style="38" customWidth="1"/>
    <col min="7" max="8" width="9.125" style="39" customWidth="1"/>
    <col min="9" max="9" width="5.125" style="39" customWidth="1" outlineLevel="1"/>
    <col min="10" max="21" width="2.375" hidden="1" customWidth="1" outlineLevel="2"/>
    <col min="22" max="23" width="2.375" style="23" hidden="1" customWidth="1" outlineLevel="2"/>
    <col min="24" max="24" width="2.375" hidden="1" customWidth="1" outlineLevel="2"/>
    <col min="25" max="27" width="2.375" style="23" hidden="1" customWidth="1" outlineLevel="2"/>
    <col min="28" max="28" width="2.375" hidden="1" customWidth="1" outlineLevel="2"/>
    <col min="29" max="29" width="3.375" hidden="1" customWidth="1" outlineLevel="2"/>
    <col min="30" max="31" width="3.375" style="23" hidden="1" customWidth="1" outlineLevel="2"/>
    <col min="32" max="32" width="3.125" style="364" customWidth="1" outlineLevel="1" collapsed="1"/>
    <col min="33" max="33" width="7.375" customWidth="1" outlineLevel="1"/>
    <col min="34" max="34" width="7.625" style="23" customWidth="1" outlineLevel="1"/>
    <col min="35" max="35" width="8.625" style="37" customWidth="1" outlineLevel="1"/>
    <col min="36" max="36" width="5.75" style="23" customWidth="1" outlineLevel="1"/>
    <col min="37" max="37" width="50.25" customWidth="1" outlineLevel="1"/>
    <col min="38" max="38" width="4.5" customWidth="1" outlineLevel="1"/>
    <col min="39" max="39" width="18.25" style="23" customWidth="1"/>
  </cols>
  <sheetData>
    <row r="1" spans="1:51" ht="20.25" customHeight="1">
      <c r="A1" s="145" t="s">
        <v>0</v>
      </c>
      <c r="B1" s="105" t="s">
        <v>28</v>
      </c>
      <c r="C1" s="141"/>
      <c r="D1" s="690" t="s">
        <v>0</v>
      </c>
      <c r="E1" s="690"/>
      <c r="F1" s="820" t="s">
        <v>0</v>
      </c>
      <c r="G1" s="1006" t="s">
        <v>0</v>
      </c>
      <c r="H1" s="1006"/>
      <c r="I1" s="745"/>
      <c r="AF1" s="361" t="s">
        <v>21</v>
      </c>
      <c r="AG1" s="59"/>
      <c r="AH1" s="76"/>
      <c r="AI1" s="816"/>
      <c r="AJ1" s="1004"/>
      <c r="AK1" s="1004"/>
      <c r="AL1" s="1004"/>
      <c r="AM1" s="1004"/>
      <c r="AN1" s="1004"/>
      <c r="AO1" s="1004"/>
    </row>
    <row r="2" spans="1:51" s="23" customFormat="1" ht="14.1" customHeight="1">
      <c r="A2" s="145"/>
      <c r="B2" s="797" t="str">
        <f>S.General.CodeName</f>
        <v>GPLMP</v>
      </c>
      <c r="C2" s="86" t="s">
        <v>0</v>
      </c>
      <c r="D2" s="171"/>
      <c r="E2" s="171"/>
      <c r="F2" s="382" t="s">
        <v>0</v>
      </c>
      <c r="G2" s="375" t="s">
        <v>283</v>
      </c>
      <c r="H2" s="375" t="s">
        <v>172</v>
      </c>
      <c r="I2" s="745"/>
      <c r="J2"/>
      <c r="K2"/>
      <c r="L2"/>
      <c r="M2"/>
      <c r="N2"/>
      <c r="O2"/>
      <c r="P2"/>
      <c r="Q2"/>
      <c r="R2"/>
      <c r="S2"/>
      <c r="T2"/>
      <c r="U2"/>
      <c r="X2"/>
      <c r="AB2"/>
      <c r="AC2"/>
      <c r="AF2" s="361" t="s">
        <v>59</v>
      </c>
      <c r="AG2" s="76"/>
      <c r="AH2" s="76"/>
      <c r="AI2" s="59"/>
      <c r="AJ2" s="68"/>
      <c r="AK2" s="58"/>
      <c r="AL2" s="76"/>
    </row>
    <row r="3" spans="1:51" s="23" customFormat="1" ht="14.1" customHeight="1">
      <c r="A3" s="145"/>
      <c r="B3" s="798" t="s">
        <v>0</v>
      </c>
      <c r="C3" s="1001" t="s">
        <v>0</v>
      </c>
      <c r="D3" s="1001"/>
      <c r="E3" s="1001"/>
      <c r="F3" s="1001"/>
      <c r="G3" s="799">
        <f ca="1">AG3</f>
        <v>41773</v>
      </c>
      <c r="H3" s="800">
        <f>AH3</f>
        <v>42080</v>
      </c>
      <c r="I3" s="745"/>
      <c r="J3"/>
      <c r="K3"/>
      <c r="L3"/>
      <c r="M3"/>
      <c r="N3"/>
      <c r="O3"/>
      <c r="P3"/>
      <c r="Q3"/>
      <c r="R3"/>
      <c r="S3"/>
      <c r="T3"/>
      <c r="U3"/>
      <c r="X3"/>
      <c r="AB3"/>
      <c r="AC3"/>
      <c r="AF3" s="361" t="s">
        <v>59</v>
      </c>
      <c r="AG3" s="60">
        <f ca="1">TODAY()</f>
        <v>41773</v>
      </c>
      <c r="AH3" s="60">
        <f>S.EndOfRulemaking</f>
        <v>42080</v>
      </c>
      <c r="AI3" s="479" t="s">
        <v>0</v>
      </c>
      <c r="AJ3" s="380"/>
      <c r="AK3" s="348" t="str">
        <f>"Last row = "&amp;ROW(S.General.LastCellSchedule)</f>
        <v>Last row = 866</v>
      </c>
      <c r="AL3" s="76"/>
      <c r="AS3" s="993"/>
      <c r="AT3" s="993"/>
      <c r="AU3" s="993"/>
      <c r="AV3" s="993"/>
      <c r="AW3" s="993"/>
      <c r="AX3" s="993"/>
      <c r="AY3" s="993"/>
    </row>
    <row r="4" spans="1:51" ht="6" customHeight="1" thickBot="1">
      <c r="A4" s="163"/>
      <c r="B4" s="106"/>
      <c r="C4" s="98"/>
      <c r="D4" s="691"/>
      <c r="E4" s="691"/>
      <c r="F4" s="99"/>
      <c r="G4" s="98"/>
      <c r="H4" s="98"/>
      <c r="I4" s="745"/>
      <c r="AF4" s="361" t="s">
        <v>16</v>
      </c>
      <c r="AG4" s="58"/>
      <c r="AH4" s="58"/>
      <c r="AI4" s="58"/>
      <c r="AJ4" s="160"/>
      <c r="AK4" s="58"/>
      <c r="AL4" s="76"/>
      <c r="AM4"/>
    </row>
    <row r="5" spans="1:51" s="23" customFormat="1" ht="39.75" hidden="1" customHeight="1" thickBot="1">
      <c r="A5" s="163"/>
      <c r="B5" s="998" t="s">
        <v>647</v>
      </c>
      <c r="C5" s="998"/>
      <c r="D5" s="998"/>
      <c r="E5" s="998"/>
      <c r="F5" s="998"/>
      <c r="G5" s="840"/>
      <c r="H5" s="840"/>
      <c r="I5" s="919"/>
      <c r="J5"/>
      <c r="K5"/>
      <c r="L5"/>
      <c r="M5"/>
      <c r="N5"/>
      <c r="O5"/>
      <c r="P5"/>
      <c r="Q5"/>
      <c r="R5"/>
      <c r="S5"/>
      <c r="T5"/>
      <c r="U5"/>
      <c r="X5"/>
      <c r="AB5"/>
      <c r="AC5"/>
      <c r="AF5" s="361">
        <v>0</v>
      </c>
      <c r="AG5" s="58"/>
      <c r="AH5" s="808" t="s">
        <v>649</v>
      </c>
      <c r="AI5" s="58" t="s">
        <v>0</v>
      </c>
      <c r="AJ5" s="160"/>
      <c r="AK5" s="497" t="s">
        <v>0</v>
      </c>
      <c r="AL5" s="76"/>
    </row>
    <row r="6" spans="1:51" s="23" customFormat="1" ht="14.1" customHeight="1" thickTop="1" thickBot="1">
      <c r="A6" s="163"/>
      <c r="B6" s="330" t="s">
        <v>648</v>
      </c>
      <c r="C6" s="481" t="s">
        <v>16</v>
      </c>
      <c r="F6" s="900"/>
      <c r="G6" s="333">
        <v>41792</v>
      </c>
      <c r="I6" s="920"/>
      <c r="AF6" s="362">
        <f>IF(C6="N",0,1)</f>
        <v>1</v>
      </c>
      <c r="AG6" s="58"/>
      <c r="AH6" s="809">
        <f>IF(C6="N",S.Overview.BANNER.Start,G6)</f>
        <v>41792</v>
      </c>
      <c r="AI6" s="34"/>
      <c r="AJ6" s="344"/>
      <c r="AK6" s="58"/>
      <c r="AL6" s="76"/>
    </row>
    <row r="7" spans="1:51" s="23" customFormat="1" ht="6.75" customHeight="1" thickBot="1">
      <c r="A7" s="163"/>
      <c r="B7" s="328"/>
      <c r="C7" s="327"/>
      <c r="D7" s="524"/>
      <c r="E7" s="524"/>
      <c r="F7" s="901"/>
      <c r="G7" s="279"/>
      <c r="H7" s="279" t="s">
        <v>0</v>
      </c>
      <c r="I7" s="921"/>
      <c r="AF7" s="361">
        <v>0</v>
      </c>
      <c r="AG7" s="76"/>
      <c r="AH7" s="59"/>
      <c r="AI7" s="59"/>
      <c r="AJ7" s="344"/>
      <c r="AK7" s="34"/>
      <c r="AL7" s="76"/>
    </row>
    <row r="8" spans="1:51" s="39" customFormat="1" ht="13.5" customHeight="1" thickBot="1">
      <c r="A8" s="163"/>
      <c r="B8" s="371" t="str">
        <f>AK8</f>
        <v xml:space="preserve">PERMANENT Rulemaking </v>
      </c>
      <c r="C8" s="801" t="s">
        <v>358</v>
      </c>
      <c r="F8" s="902" t="s">
        <v>0</v>
      </c>
      <c r="I8" s="922">
        <f>IF(S.General.RuleType="P",60,30)</f>
        <v>60</v>
      </c>
      <c r="AF8" s="362">
        <v>1</v>
      </c>
      <c r="AG8" s="803"/>
      <c r="AH8" s="803"/>
      <c r="AI8" s="34"/>
      <c r="AJ8" s="804"/>
      <c r="AK8" s="805" t="str">
        <f>IF(S.General.RuleType="P","PERMANENT Rulemaking ","TEMPORARY Rulemaking")</f>
        <v xml:space="preserve">PERMANENT Rulemaking </v>
      </c>
      <c r="AL8" s="802"/>
    </row>
    <row r="9" spans="1:51" s="23" customFormat="1" ht="6.75" customHeight="1" thickBot="1">
      <c r="A9" s="163"/>
      <c r="B9" s="328"/>
      <c r="C9" s="327"/>
      <c r="D9" s="524"/>
      <c r="E9" s="524"/>
      <c r="F9" s="901"/>
      <c r="G9" s="279"/>
      <c r="H9" s="279"/>
      <c r="I9" s="921"/>
      <c r="J9"/>
      <c r="K9"/>
      <c r="L9"/>
      <c r="M9"/>
      <c r="N9"/>
      <c r="O9"/>
      <c r="P9"/>
      <c r="Q9"/>
      <c r="R9"/>
      <c r="S9"/>
      <c r="T9"/>
      <c r="U9"/>
      <c r="X9"/>
      <c r="AB9"/>
      <c r="AC9"/>
      <c r="AF9" s="361">
        <v>0</v>
      </c>
      <c r="AG9" s="76"/>
      <c r="AH9" s="59"/>
      <c r="AI9" s="59"/>
      <c r="AJ9" s="344"/>
      <c r="AK9" s="34"/>
      <c r="AL9" s="76"/>
    </row>
    <row r="10" spans="1:51" s="23" customFormat="1" ht="14.1" customHeight="1" thickBot="1">
      <c r="A10" s="163"/>
      <c r="B10" s="267" t="s">
        <v>306</v>
      </c>
      <c r="C10" s="480">
        <v>2</v>
      </c>
      <c r="F10" s="903" t="s">
        <v>0</v>
      </c>
      <c r="G10"/>
      <c r="H10"/>
      <c r="I10" s="923">
        <f>IF(S.General.Complexity=1,0,IF(S.General.Complexity=2,30,60))</f>
        <v>30</v>
      </c>
      <c r="J10"/>
      <c r="K10"/>
      <c r="L10"/>
      <c r="M10"/>
      <c r="N10"/>
      <c r="O10"/>
      <c r="P10"/>
      <c r="Q10"/>
      <c r="R10"/>
      <c r="S10"/>
      <c r="T10"/>
      <c r="U10"/>
      <c r="X10"/>
      <c r="AB10"/>
      <c r="AC10"/>
      <c r="AF10" s="362">
        <v>1</v>
      </c>
      <c r="AG10" s="34"/>
      <c r="AH10" s="34"/>
      <c r="AI10" s="34"/>
      <c r="AJ10" s="344"/>
      <c r="AK10" s="58"/>
      <c r="AL10" s="76"/>
    </row>
    <row r="11" spans="1:51" s="23" customFormat="1" ht="6.75" hidden="1" customHeight="1">
      <c r="A11" s="163"/>
      <c r="B11" s="328"/>
      <c r="C11" s="327"/>
      <c r="D11" s="524"/>
      <c r="E11" s="524"/>
      <c r="F11" s="901"/>
      <c r="G11" s="807"/>
      <c r="H11" s="279"/>
      <c r="I11" s="921"/>
      <c r="J11"/>
      <c r="K11"/>
      <c r="L11"/>
      <c r="M11"/>
      <c r="N11"/>
      <c r="O11"/>
      <c r="P11"/>
      <c r="Q11"/>
      <c r="R11"/>
      <c r="S11"/>
      <c r="T11"/>
      <c r="U11"/>
      <c r="X11"/>
      <c r="AB11"/>
      <c r="AC11"/>
      <c r="AF11" s="361">
        <v>0</v>
      </c>
      <c r="AG11" s="76"/>
      <c r="AH11" s="59"/>
      <c r="AI11" s="59"/>
      <c r="AJ11" s="344"/>
      <c r="AK11" s="34"/>
      <c r="AL11" s="76"/>
    </row>
    <row r="12" spans="1:51" s="23" customFormat="1" ht="14.1" hidden="1" customHeight="1" thickBot="1">
      <c r="A12" s="145"/>
      <c r="B12" s="847" t="str">
        <f>AK12</f>
        <v>Advisory Committee - not involved</v>
      </c>
      <c r="C12" s="481" t="s">
        <v>206</v>
      </c>
      <c r="D12" s="509" t="str">
        <f>HYPERLINK("\\deqhq1\Rule_Resources\i\2-AdvisoryCommittee.pdf","i")</f>
        <v>i</v>
      </c>
      <c r="E12" s="75"/>
      <c r="F12" s="903" t="s">
        <v>0</v>
      </c>
      <c r="G12" s="915">
        <v>41761</v>
      </c>
      <c r="H12" s="916">
        <f>AH12 AH12</f>
        <v>0</v>
      </c>
      <c r="I12" s="923">
        <f>IF(S.AC.CommitteeInvolved="N",0,21)</f>
        <v>0</v>
      </c>
      <c r="J12"/>
      <c r="K12"/>
      <c r="L12"/>
      <c r="M12"/>
      <c r="N12"/>
      <c r="O12"/>
      <c r="P12"/>
      <c r="Q12"/>
      <c r="R12"/>
      <c r="S12"/>
      <c r="T12"/>
      <c r="U12"/>
      <c r="X12"/>
      <c r="AB12"/>
      <c r="AC12"/>
      <c r="AF12" s="362">
        <f>IF(S.AC.CommitteeInvolved="N",0,1)</f>
        <v>0</v>
      </c>
      <c r="AG12" s="60">
        <f>IF(S.AC.CommitteeInvolved="N",,S.DIRECTOR.Approves.ForDEQRulemakingPlan)</f>
        <v>0</v>
      </c>
      <c r="AH12" s="60">
        <f>IF(S.AC.CommitteeInvolved="N",,S.EQC.SubmitStaffRpt)</f>
        <v>0</v>
      </c>
      <c r="AI12" s="48" t="s">
        <v>0</v>
      </c>
      <c r="AJ12" s="160"/>
      <c r="AK12" s="65" t="str">
        <f>IF(S.AC.CommitteeInvolved="Y","Advisory Committee","Advisory Committee - not involved")</f>
        <v>Advisory Committee - not involved</v>
      </c>
      <c r="AL12" s="76"/>
    </row>
    <row r="13" spans="1:51" s="23" customFormat="1" ht="6" hidden="1" customHeight="1" thickBot="1">
      <c r="A13" s="145"/>
      <c r="B13" s="848"/>
      <c r="C13" s="850"/>
      <c r="D13" s="851"/>
      <c r="E13" s="851"/>
      <c r="F13" s="904"/>
      <c r="G13" s="332"/>
      <c r="H13" s="332"/>
      <c r="I13" s="924"/>
      <c r="J13"/>
      <c r="K13"/>
      <c r="L13"/>
      <c r="M13"/>
      <c r="N13"/>
      <c r="O13"/>
      <c r="P13"/>
      <c r="Q13"/>
      <c r="R13"/>
      <c r="S13"/>
      <c r="T13"/>
      <c r="U13"/>
      <c r="X13"/>
      <c r="AB13"/>
      <c r="AC13"/>
      <c r="AF13" s="361">
        <v>0</v>
      </c>
      <c r="AG13" s="64"/>
      <c r="AH13" s="59"/>
      <c r="AI13" s="108"/>
      <c r="AJ13" s="162"/>
      <c r="AK13" s="65"/>
      <c r="AL13" s="76"/>
    </row>
    <row r="14" spans="1:51" ht="13.5" hidden="1" customHeight="1" thickBot="1">
      <c r="A14" s="145"/>
      <c r="B14" s="330" t="str">
        <f>AK14</f>
        <v>Fees - not involved</v>
      </c>
      <c r="C14" s="481" t="s">
        <v>206</v>
      </c>
      <c r="D14" s="852"/>
      <c r="E14" s="852"/>
      <c r="F14" s="903">
        <f>IF(S.Fee.Involved="N",0,14)</f>
        <v>0</v>
      </c>
      <c r="G14" s="291">
        <f>AG14</f>
        <v>0</v>
      </c>
      <c r="H14" s="309">
        <f>AH14</f>
        <v>0</v>
      </c>
      <c r="I14" s="923">
        <f>IF(S.Fee.Involved="N",0,14)</f>
        <v>0</v>
      </c>
      <c r="AF14" s="362">
        <f>IF(S.Fee.Involved="N",0,1)</f>
        <v>0</v>
      </c>
      <c r="AG14" s="60">
        <f>IF(S.Fee.Involved="N",,S.DIRECTOR.Approves.ForDEQRulemakingPlan)</f>
        <v>0</v>
      </c>
      <c r="AH14" s="60">
        <f>IF(S.Fee.Involved="N",,WORKDAY(S.EQC.Meeting+4,1,S.DDL_DEQClosed))</f>
        <v>0</v>
      </c>
      <c r="AI14" s="64"/>
      <c r="AJ14" s="344"/>
      <c r="AK14" s="63" t="str">
        <f>IF(AND(S.Fee.Involved="Y",S.General.RuleType="T"),"Fees Involved - no action required for TEMPORARY rules",IF(S.Fee.Involved="Y","Fee Approval","Fees - not involved"))</f>
        <v>Fees - not involved</v>
      </c>
      <c r="AL14" s="76"/>
      <c r="AM14"/>
    </row>
    <row r="15" spans="1:51" s="23" customFormat="1" ht="14.1" hidden="1" customHeight="1" thickBot="1">
      <c r="A15" s="145"/>
      <c r="B15" s="204" t="str">
        <f>AK15</f>
        <v>-blank-</v>
      </c>
      <c r="C15" s="481" t="s">
        <v>206</v>
      </c>
      <c r="D15" s="694" t="str">
        <f>HYPERLINK("\\deqhq1\Rule_Resources\i\3-FeeApproval.pdf","i")</f>
        <v>i</v>
      </c>
      <c r="E15" s="694"/>
      <c r="F15" s="903">
        <f>IF(S.Fee.Involved="N",0,IF(S.Fee.DASApprovalRequired="N",0,21))</f>
        <v>0</v>
      </c>
      <c r="G15" s="360"/>
      <c r="H15" s="360"/>
      <c r="I15" s="923">
        <f>IF(S.Fee.Involved="N",0,IF(S.Fee.DASApprovalRequired="N",0,21))</f>
        <v>0</v>
      </c>
      <c r="J15"/>
      <c r="K15"/>
      <c r="L15"/>
      <c r="M15"/>
      <c r="N15"/>
      <c r="O15"/>
      <c r="P15"/>
      <c r="Q15"/>
      <c r="R15"/>
      <c r="S15"/>
      <c r="T15"/>
      <c r="U15"/>
      <c r="X15"/>
      <c r="AB15"/>
      <c r="AC15"/>
      <c r="AF15" s="361">
        <f>IF(S.Fee.Involved="Y",1,0)</f>
        <v>0</v>
      </c>
      <c r="AG15" s="64"/>
      <c r="AH15" s="64" t="s">
        <v>0</v>
      </c>
      <c r="AI15" s="64"/>
      <c r="AJ15" s="344"/>
      <c r="AK15" s="63" t="str">
        <f>IF(S.Fee.Involved="N","-blank-",IF(AND(C15="Y",S.Fee.Involved="Y"),"DAS - Fee approval required","DAS - Fee approval NOT required"))</f>
        <v>-blank-</v>
      </c>
      <c r="AL15" s="76"/>
    </row>
    <row r="16" spans="1:51" s="23" customFormat="1" ht="14.1" hidden="1" customHeight="1">
      <c r="A16" s="145"/>
      <c r="B16" s="204" t="str">
        <f>AK16</f>
        <v>-blank-</v>
      </c>
      <c r="C16" s="266"/>
      <c r="D16" s="696"/>
      <c r="E16" s="696"/>
      <c r="F16" s="903">
        <f>IF(F20=45,0,30)</f>
        <v>0</v>
      </c>
      <c r="G16" s="369" t="s">
        <v>0</v>
      </c>
      <c r="H16" s="811">
        <f>AH16</f>
        <v>0</v>
      </c>
      <c r="I16" s="923">
        <f>IF(I20=45,0,30)</f>
        <v>0</v>
      </c>
      <c r="J16"/>
      <c r="K16"/>
      <c r="L16"/>
      <c r="M16"/>
      <c r="N16"/>
      <c r="O16"/>
      <c r="P16"/>
      <c r="Q16"/>
      <c r="R16"/>
      <c r="S16"/>
      <c r="T16"/>
      <c r="U16"/>
      <c r="X16"/>
      <c r="AB16"/>
      <c r="AC16"/>
      <c r="AF16" s="361">
        <f>IF(AND(S.Fee.Involved="Y",S.Notice.Involved="Y"),1,0)</f>
        <v>0</v>
      </c>
      <c r="AG16" s="48"/>
      <c r="AH16" s="60">
        <f>IF(S.Fee.Involved="N",,IF(S.Notice.Involved="N",,IF(S.Fee.DASApprovalRequired="Y",WORKDAY(S.Notice.OpenComment-29,-1,S.DDL_DEQClosed),S.Notice.SubmitToSOS)))</f>
        <v>0</v>
      </c>
      <c r="AI16" s="999"/>
      <c r="AJ16" s="346"/>
      <c r="AK16" s="63" t="str">
        <f>IF(S.Fee.Involved="N","-blank-",IF(S.Fee.DASApprovalRequired="Y","DAS - submit Part 1, about 30 days BEFORE SOS submittal","DAS - email notification BEFORE Oregon Bulletin publication"))</f>
        <v>-blank-</v>
      </c>
      <c r="AL16" s="76"/>
      <c r="AN16" s="131"/>
      <c r="AO16" s="131"/>
    </row>
    <row r="17" spans="1:41" s="23" customFormat="1" ht="6" customHeight="1" thickBot="1">
      <c r="A17" s="145"/>
      <c r="B17" s="848"/>
      <c r="C17" s="850"/>
      <c r="D17" s="851"/>
      <c r="E17" s="851"/>
      <c r="F17" s="904"/>
      <c r="G17" s="332"/>
      <c r="H17" s="332"/>
      <c r="I17" s="924"/>
      <c r="J17"/>
      <c r="K17"/>
      <c r="L17"/>
      <c r="M17"/>
      <c r="N17"/>
      <c r="O17"/>
      <c r="P17"/>
      <c r="Q17"/>
      <c r="R17"/>
      <c r="S17"/>
      <c r="T17"/>
      <c r="U17"/>
      <c r="X17"/>
      <c r="AB17"/>
      <c r="AC17"/>
      <c r="AF17" s="361">
        <v>0</v>
      </c>
      <c r="AG17" s="64"/>
      <c r="AH17" s="59"/>
      <c r="AI17" s="999"/>
      <c r="AJ17" s="344"/>
      <c r="AK17" s="65"/>
      <c r="AL17" s="76"/>
    </row>
    <row r="18" spans="1:41" s="23" customFormat="1" ht="13.5" customHeight="1" thickBot="1">
      <c r="A18" s="163"/>
      <c r="B18" s="330" t="str">
        <f>AK18</f>
        <v>State Implementation Plan (AQ rules)</v>
      </c>
      <c r="C18" s="481" t="s">
        <v>16</v>
      </c>
      <c r="D18" s="853"/>
      <c r="E18" s="853"/>
      <c r="F18" s="903">
        <f>IF(S.SIP.Involved="N",0,IF(S.General.Complexity=1,0,112))</f>
        <v>112</v>
      </c>
      <c r="G18" s="842" t="s">
        <v>0</v>
      </c>
      <c r="H18" s="75"/>
      <c r="I18" s="923">
        <f>IF(S.SIP.Involved="N",0,IF(S.General.Complexity=1,0,112))</f>
        <v>112</v>
      </c>
      <c r="J18"/>
      <c r="K18"/>
      <c r="L18"/>
      <c r="M18"/>
      <c r="N18"/>
      <c r="O18"/>
      <c r="P18"/>
      <c r="Q18"/>
      <c r="R18"/>
      <c r="S18"/>
      <c r="T18"/>
      <c r="U18"/>
      <c r="X18"/>
      <c r="AB18"/>
      <c r="AC18"/>
      <c r="AF18" s="362">
        <f>IF(S.SIP.Involved="N",0,1)</f>
        <v>1</v>
      </c>
      <c r="AG18" s="48"/>
      <c r="AH18" s="48"/>
      <c r="AI18" s="999"/>
      <c r="AJ18" s="344"/>
      <c r="AK18" s="63" t="str">
        <f>IF(AND(S.SIP.Involved="Y",S.Notice.Involved="N"),"ERROR: EPA requires SIP rules have public notice",IF(AND(S.SIP.Involved="Y",S.Hearing.1stInvolve="N"),"ERROR: EPA requires SIP rules have public hearings.",IF(S.SIP.Involved="Y","State Implementation Plan (AQ rules)","State Implementation Plan for AQ rules - not involved")))</f>
        <v>State Implementation Plan (AQ rules)</v>
      </c>
      <c r="AL18" s="76"/>
    </row>
    <row r="19" spans="1:41" s="23" customFormat="1" ht="14.1" customHeight="1">
      <c r="A19" s="145"/>
      <c r="B19" s="204" t="str">
        <f>AK19</f>
        <v xml:space="preserve">EPA - submit SIP Development Plan 6 months before comment period opens </v>
      </c>
      <c r="C19" s="75"/>
      <c r="D19" s="854" t="s">
        <v>0</v>
      </c>
      <c r="E19" s="854"/>
      <c r="F19" s="904"/>
      <c r="G19" s="855" t="s">
        <v>0</v>
      </c>
      <c r="H19" s="811">
        <f>AH19</f>
        <v>41688</v>
      </c>
      <c r="I19" s="924"/>
      <c r="J19"/>
      <c r="K19"/>
      <c r="L19"/>
      <c r="M19"/>
      <c r="N19"/>
      <c r="O19"/>
      <c r="P19"/>
      <c r="Q19"/>
      <c r="R19"/>
      <c r="S19"/>
      <c r="T19"/>
      <c r="U19"/>
      <c r="X19"/>
      <c r="AB19"/>
      <c r="AC19"/>
      <c r="AF19" s="362">
        <f>IF(AND(S.General.Complexity&gt;1,S.SIP.Involved="Y"),1,0)</f>
        <v>1</v>
      </c>
      <c r="AG19" s="48"/>
      <c r="AH19" s="60">
        <f>IF(S.SIP.Involved="N",,IF(S.General.Complexity=1,,IF(S.Notice.Involved="N","ERROR",WORKDAY(DATE(YEAR(S.Notice.OpenComment),MONTH(S.Notice.OpenComment)-6,DAY(S.Notice.OpenComment+1)),-1,S.DDL_DEQClosed))))</f>
        <v>41688</v>
      </c>
      <c r="AI19" s="59"/>
      <c r="AJ19" s="344"/>
      <c r="AK19" s="63" t="str">
        <f>IF(S.SIP.Involved="N","-blank-",IF(ISERROR(H19)=TRUE,"ERROR - Must enter 'Y' to involve public notice and hearing below","EPA - submit SIP Development Plan 6 months before comment period opens "))</f>
        <v xml:space="preserve">EPA - submit SIP Development Plan 6 months before comment period opens </v>
      </c>
      <c r="AL19" s="76"/>
    </row>
    <row r="20" spans="1:41" s="23" customFormat="1" ht="14.1" customHeight="1">
      <c r="A20" s="163"/>
      <c r="B20" s="204" t="str">
        <f>AK20</f>
        <v>EPA - submit at least 45 days before submittig notice to SOS</v>
      </c>
      <c r="D20" s="693"/>
      <c r="E20" s="693"/>
      <c r="F20" s="903">
        <f>IF(S.SIP.Involved="N",,IF(S.General.Complexity=1,0,45))</f>
        <v>45</v>
      </c>
      <c r="G20" s="843" t="s">
        <v>0</v>
      </c>
      <c r="H20" s="265">
        <f>AH20</f>
        <v>41803</v>
      </c>
      <c r="I20" s="923">
        <f>IF(S.SIP.Involved="N",,IF(S.General.Complexity=1,0,45))</f>
        <v>45</v>
      </c>
      <c r="AF20" s="362">
        <f>IF(S.SIP.Involved="Y",1,0)</f>
        <v>1</v>
      </c>
      <c r="AG20" s="48"/>
      <c r="AH20" s="917">
        <f>IF(S.SIP.Involved="N",,IF(S.Notice.Involved="N","ERROR",WORKDAY(S.Notice.SubmitToSOS-60,-1,S.DDL_DEQClosed)))</f>
        <v>41803</v>
      </c>
      <c r="AI20" s="869" t="s">
        <v>0</v>
      </c>
      <c r="AJ20" s="344"/>
      <c r="AK20" s="63" t="str">
        <f>IF(S.SIP.Involved="N","-blank-",IF(ISERROR(H20)=TRUE,"ERROR - Must enter 'Y' to involve public notice and hearing below","EPA - submit at least 45 days before submittig notice to SOS"))</f>
        <v>EPA - submit at least 45 days before submittig notice to SOS</v>
      </c>
      <c r="AL20" s="76"/>
    </row>
    <row r="21" spans="1:41" s="23" customFormat="1" ht="6" customHeight="1" thickBot="1">
      <c r="A21" s="145"/>
      <c r="B21" s="329"/>
      <c r="C21" s="329"/>
      <c r="D21" s="851"/>
      <c r="E21" s="851"/>
      <c r="F21" s="904"/>
      <c r="G21" s="332"/>
      <c r="H21" s="856"/>
      <c r="I21" s="924"/>
      <c r="J21"/>
      <c r="K21"/>
      <c r="L21"/>
      <c r="M21"/>
      <c r="N21"/>
      <c r="O21"/>
      <c r="P21"/>
      <c r="Q21"/>
      <c r="R21"/>
      <c r="S21"/>
      <c r="T21"/>
      <c r="U21"/>
      <c r="X21"/>
      <c r="AB21"/>
      <c r="AC21"/>
      <c r="AF21" s="361">
        <v>0</v>
      </c>
      <c r="AG21" s="76"/>
      <c r="AH21" s="76"/>
      <c r="AI21" s="108" t="s">
        <v>230</v>
      </c>
      <c r="AJ21" s="344"/>
      <c r="AK21" s="77"/>
      <c r="AL21" s="76"/>
    </row>
    <row r="22" spans="1:41" s="23" customFormat="1" ht="15" customHeight="1" thickBot="1">
      <c r="A22" s="145"/>
      <c r="B22" s="371" t="str">
        <f t="shared" ref="B22:B32" si="0">AK22</f>
        <v>Public Notice</v>
      </c>
      <c r="C22" s="481" t="s">
        <v>16</v>
      </c>
      <c r="D22" s="853"/>
      <c r="E22" s="853"/>
      <c r="F22" s="903" t="s">
        <v>769</v>
      </c>
      <c r="G22" s="978">
        <f>AG22</f>
        <v>41792</v>
      </c>
      <c r="H22" s="979">
        <f>AH22</f>
        <v>41904</v>
      </c>
      <c r="I22" s="923" t="s">
        <v>0</v>
      </c>
      <c r="J22"/>
      <c r="K22"/>
      <c r="L22"/>
      <c r="M22"/>
      <c r="N22"/>
      <c r="O22"/>
      <c r="P22"/>
      <c r="Q22"/>
      <c r="R22"/>
      <c r="S22"/>
      <c r="T22"/>
      <c r="U22"/>
      <c r="X22"/>
      <c r="AB22"/>
      <c r="AC22"/>
      <c r="AF22" s="361">
        <f>IF(S.Notice.Involved="N",0,1)</f>
        <v>1</v>
      </c>
      <c r="AG22" s="60">
        <f>IF(S.Notice.Involved="N",,S.DIRECTOR.Approves.ForDEQRulemakingPlan)</f>
        <v>41792</v>
      </c>
      <c r="AH22" s="60">
        <f>IF(S.Notice.Involved="N",,S.Notice.CloseComment)</f>
        <v>41904</v>
      </c>
      <c r="AI22" s="59" t="s">
        <v>770</v>
      </c>
      <c r="AJ22" s="344"/>
      <c r="AK22" s="63" t="str">
        <f>IF(S.General.RuleType="T","Public Notice - not required for TEMPORARY rules - APA",IF(AND(S.Hearing.1stInvolve="Y",S.Notice.Involved="N"),"ERROR: APA requies all hearings be noticed                            change to 'Y' &gt;",IF(AND(S.Notice.Involved="N",S.Hearing.1stInvolve="N"),"Public Notice - not involved, best practice to notice permanent rules",IF(AND(S.Notice.Involved="N",S.Hearing.1stInvolve="Y"),"ERROR: must notice all public hearings",IF(AND(S.Notice.Involved="Y",S.Hearing.1stInvolve="Y"),"Public Notice",IF(AND(S.Notice.Involved="Y",S.Hearing.1stInvolve="N"),"Public Notice WITHOUT hearing"))))))</f>
        <v>Public Notice</v>
      </c>
      <c r="AL22" s="76"/>
      <c r="AN22" s="131"/>
      <c r="AO22" s="131"/>
    </row>
    <row r="23" spans="1:41" s="23" customFormat="1" ht="14.1" customHeight="1">
      <c r="A23" s="145" t="s">
        <v>0</v>
      </c>
      <c r="B23" s="204" t="str">
        <f t="shared" si="0"/>
        <v>Due to DavidC - approval to submit Notice Packet to Rule Publication</v>
      </c>
      <c r="F23" s="903">
        <v>5</v>
      </c>
      <c r="G23" s="291">
        <f>AG23</f>
        <v>41803</v>
      </c>
      <c r="H23" s="291">
        <f>AH23</f>
        <v>41810</v>
      </c>
      <c r="I23" s="923">
        <f>IF(S.Notice.Involved="N",0,10)</f>
        <v>10</v>
      </c>
      <c r="AF23" s="361">
        <f>IF(S.Notice.Involved="Y",1,0)</f>
        <v>1</v>
      </c>
      <c r="AG23" s="60">
        <f>IF(S.Notice.Involved="N",,WORKDAY(H23-F23+1,-1,S.DDL_DEQClosed))</f>
        <v>41803</v>
      </c>
      <c r="AH23" s="60">
        <f>IF(S.Notice.Involved="N",,WORKDAY(G24-9,-1,S.DDL_DEQClosed))</f>
        <v>41810</v>
      </c>
      <c r="AI23" s="952">
        <v>7</v>
      </c>
      <c r="AJ23" s="345"/>
      <c r="AK23" s="63" t="str">
        <f>IF(S.Notice.Involved="Y","Due to "&amp;S.Staff.Program.Mgr.FirstName&amp;" - approval to submit Notice Packet to Rule Publication","-blank-")</f>
        <v>Due to DavidC - approval to submit Notice Packet to Rule Publication</v>
      </c>
      <c r="AL23" s="76"/>
    </row>
    <row r="24" spans="1:41" s="23" customFormat="1" ht="14.1" customHeight="1">
      <c r="A24" s="145" t="s">
        <v>0</v>
      </c>
      <c r="B24" s="204" t="str">
        <f t="shared" si="0"/>
        <v>Due to Rule Publication (AndreaG) - final edits and validations</v>
      </c>
      <c r="F24" s="903">
        <v>10</v>
      </c>
      <c r="G24" s="914">
        <f>AG24</f>
        <v>41821</v>
      </c>
      <c r="H24" s="309">
        <f t="shared" ref="H24" si="1">AH24</f>
        <v>41831</v>
      </c>
      <c r="I24" s="923">
        <f>IF(S.Notice.Involved="N",0,IF(S.General.Complexity=1,7,IF(S.General.Complexity=2,14,21)))</f>
        <v>14</v>
      </c>
      <c r="AF24" s="361">
        <f>IF(S.Notice.Involved="Y",1,0)</f>
        <v>1</v>
      </c>
      <c r="AG24" s="60">
        <f>IF(S.Notice.Involved="N",,WORKDAY(H24-F24+1,-1,S.DDL_DEQClosed))</f>
        <v>41821</v>
      </c>
      <c r="AH24" s="60">
        <f>IF(S.Notice.Involved="N",,WORKDAY(S.Notice.Submit.ToADA-13,-1,S.DDL_DEQClosed))</f>
        <v>41831</v>
      </c>
      <c r="AI24" s="479">
        <v>14</v>
      </c>
      <c r="AJ24" s="345"/>
      <c r="AK24" s="63" t="str">
        <f>IF(S.Notice.Involved="Y","Due to Rule Publication ("&amp;S.Staff.RG.Lead.FirstName&amp;") - final edits and validations","-blank-")</f>
        <v>Due to Rule Publication (AndreaG) - final edits and validations</v>
      </c>
      <c r="AL24" s="76"/>
    </row>
    <row r="25" spans="1:41" s="23" customFormat="1" ht="14.1" customHeight="1">
      <c r="A25" s="145" t="s">
        <v>0</v>
      </c>
      <c r="B25" s="913" t="str">
        <f>AK25</f>
        <v>Due to Uri for input and approval to publish Notice Packet</v>
      </c>
      <c r="F25" s="903">
        <v>5</v>
      </c>
      <c r="G25" s="914">
        <f>AG25</f>
        <v>41845</v>
      </c>
      <c r="H25" s="309">
        <f>AH25</f>
        <v>41852</v>
      </c>
      <c r="I25" s="923">
        <v>7</v>
      </c>
      <c r="J25"/>
      <c r="K25"/>
      <c r="L25"/>
      <c r="M25"/>
      <c r="N25"/>
      <c r="O25"/>
      <c r="P25"/>
      <c r="Q25"/>
      <c r="R25"/>
      <c r="S25"/>
      <c r="T25"/>
      <c r="U25"/>
      <c r="X25"/>
      <c r="AB25"/>
      <c r="AC25"/>
      <c r="AF25" s="361">
        <f>IF(S.Notice.Involved="Y",1,0)</f>
        <v>1</v>
      </c>
      <c r="AG25" s="60">
        <f>IF(S.Notice.Involved="N",,WORKDAY(H25-F25+1,-1,S.DDL_DEQClosed))</f>
        <v>41845</v>
      </c>
      <c r="AH25" s="60">
        <f>IF(S.Notice.Involved="N",,WORKDAY(S.Notice.SubmitToSOS-13,-1,S.DDL_DEQClosed))</f>
        <v>41852</v>
      </c>
      <c r="AI25" s="479">
        <v>5</v>
      </c>
      <c r="AJ25" s="345"/>
      <c r="AK25" s="63" t="str">
        <f>IF(S.Notice.Involved="Y","Due to "&amp;S.Staff.Assistant.DA.ShortName&amp;" for input and approval to publish Notice Packet","-blank-")</f>
        <v>Due to Uri for input and approval to publish Notice Packet</v>
      </c>
      <c r="AL25" s="76"/>
    </row>
    <row r="26" spans="1:41" s="23" customFormat="1" ht="14.1" customHeight="1" thickBot="1">
      <c r="A26" s="145" t="s">
        <v>0</v>
      </c>
      <c r="B26" s="204" t="str">
        <f t="shared" si="0"/>
        <v>SOS - submit on workday no later than 15th of month BEFORE Bulletin</v>
      </c>
      <c r="C26" s="204"/>
      <c r="D26" s="695"/>
      <c r="E26" s="695"/>
      <c r="G26" s="843"/>
      <c r="H26" s="841">
        <f>AH26</f>
        <v>41866</v>
      </c>
      <c r="I26" s="745"/>
      <c r="AF26" s="361">
        <f>IF(S.Notice.Involved="Y",1,0)</f>
        <v>1</v>
      </c>
      <c r="AG26" s="48"/>
      <c r="AH26" s="60">
        <f>IF(S.Notice.Involved="N",,VLOOKUP(S.Notice.InOregonBulletin,VL_Bulletin,2,FALSE))</f>
        <v>41866</v>
      </c>
      <c r="AI26" s="869" t="s">
        <v>0</v>
      </c>
      <c r="AJ26" s="345"/>
      <c r="AK26" s="63" t="str">
        <f>IF(S.Notice.Involved="Y","SOS - submit on workday no later than 15th of month BEFORE Bulletin","-blank")</f>
        <v>SOS - submit on workday no later than 15th of month BEFORE Bulletin</v>
      </c>
      <c r="AL26" s="76"/>
    </row>
    <row r="27" spans="1:41" s="23" customFormat="1" ht="14.1" customHeight="1" thickBot="1">
      <c r="A27" s="145" t="s">
        <v>0</v>
      </c>
      <c r="B27" s="204" t="str">
        <f t="shared" si="0"/>
        <v xml:space="preserve">SOS - Oregon Bulletin always publishes on the 1st of month </v>
      </c>
      <c r="C27" s="1002" t="s">
        <v>687</v>
      </c>
      <c r="D27" s="1002"/>
      <c r="E27" s="1002"/>
      <c r="F27" s="1002"/>
      <c r="G27" s="1003"/>
      <c r="H27" s="839">
        <v>41883</v>
      </c>
      <c r="I27" s="745"/>
      <c r="J27"/>
      <c r="K27"/>
      <c r="L27"/>
      <c r="M27"/>
      <c r="N27"/>
      <c r="O27"/>
      <c r="P27"/>
      <c r="Q27"/>
      <c r="R27"/>
      <c r="S27"/>
      <c r="T27"/>
      <c r="U27"/>
      <c r="X27"/>
      <c r="AB27"/>
      <c r="AC27"/>
      <c r="AF27" s="361">
        <f>IF(S.Notice.Involved="Y",1,0)</f>
        <v>1</v>
      </c>
      <c r="AG27" s="48"/>
      <c r="AH27" s="60">
        <f>IF(S.Notice.Involved="N",,IF(OR(S.General.Complexity&gt;1,S.SIP.Involved="Y"),VLOOKUP(S.EQC.Meeting-90,S.DDL_Bulletin,TRUE,VLOOKUP(S.EQC.Meeting-60,S.DDL_Bulletin,TRUE))))</f>
        <v>41883</v>
      </c>
      <c r="AI27" s="869" t="s">
        <v>0</v>
      </c>
      <c r="AJ27" s="346"/>
      <c r="AK27" s="63" t="str">
        <f>IF(S.Notice.Involved="Y","SOS - Oregon Bulletin always publishes on the 1st of month ","-blank-")</f>
        <v xml:space="preserve">SOS - Oregon Bulletin always publishes on the 1st of month </v>
      </c>
      <c r="AL27" s="76"/>
    </row>
    <row r="28" spans="1:41" s="23" customFormat="1" ht="6" customHeight="1" thickBot="1">
      <c r="A28" s="145"/>
      <c r="B28" s="329"/>
      <c r="C28" s="329"/>
      <c r="D28" s="329"/>
      <c r="E28" s="329"/>
      <c r="F28" s="329"/>
      <c r="G28" s="329"/>
      <c r="H28" s="329"/>
      <c r="I28" s="745"/>
      <c r="AE28" s="40"/>
      <c r="AF28" s="361">
        <v>1</v>
      </c>
      <c r="AG28" s="48"/>
      <c r="AH28" s="60"/>
      <c r="AI28" s="59"/>
      <c r="AJ28" s="162"/>
      <c r="AK28" s="78"/>
      <c r="AL28" s="76"/>
    </row>
    <row r="29" spans="1:41" s="23" customFormat="1" ht="13.5" customHeight="1" thickBot="1">
      <c r="A29" s="145"/>
      <c r="B29" s="330" t="str">
        <f t="shared" si="0"/>
        <v>Public Comment and Testimony</v>
      </c>
      <c r="C29" s="481" t="s">
        <v>16</v>
      </c>
      <c r="D29" s="857"/>
      <c r="E29" s="857"/>
      <c r="F29" s="903" t="s">
        <v>0</v>
      </c>
      <c r="G29" s="978">
        <f>AG29</f>
        <v>41866</v>
      </c>
      <c r="H29" s="978">
        <f>AH29</f>
        <v>41955</v>
      </c>
      <c r="I29" s="925">
        <f>IF(S.Notice.Involved="N",,IF(S.Hearing.1stInvolve="N",,IF(S.General.Complexity=1,0,IF(S.General.Complexity=2,7,14))))</f>
        <v>7</v>
      </c>
      <c r="J29"/>
      <c r="K29"/>
      <c r="L29"/>
      <c r="M29"/>
      <c r="N29"/>
      <c r="O29"/>
      <c r="P29"/>
      <c r="Q29"/>
      <c r="R29"/>
      <c r="S29"/>
      <c r="T29"/>
      <c r="U29"/>
      <c r="X29"/>
      <c r="AB29"/>
      <c r="AC29"/>
      <c r="AF29" s="361">
        <f>IF(S.Hearing.1stInvolve="N",0,1)</f>
        <v>1</v>
      </c>
      <c r="AG29" s="60">
        <f>IF(S.Hearing.1stInvolve="N",,S.Notice.SubmitToSOS)</f>
        <v>41866</v>
      </c>
      <c r="AH29" s="60">
        <f>IF(S.Notice.Involved="N",, S.EQC.SubmitStaffRpt)</f>
        <v>41955</v>
      </c>
      <c r="AI29" s="48"/>
      <c r="AJ29" s="345"/>
      <c r="AK29" s="63" t="str">
        <f>IF(S.Notice.Involved="N","Public Comment and Testimony - not involved","Public Comment and Testimony")</f>
        <v>Public Comment and Testimony</v>
      </c>
      <c r="AL29" s="76"/>
      <c r="AM29" s="158" t="s">
        <v>0</v>
      </c>
    </row>
    <row r="30" spans="1:41" s="23" customFormat="1" ht="14.1" customHeight="1">
      <c r="A30" s="145"/>
      <c r="B30" s="204" t="str">
        <f t="shared" si="0"/>
        <v xml:space="preserve">Open public comment </v>
      </c>
      <c r="C30" s="335"/>
      <c r="D30" s="858"/>
      <c r="E30" s="858"/>
      <c r="F30" s="905"/>
      <c r="G30" s="369" t="s">
        <v>0</v>
      </c>
      <c r="H30" s="291">
        <f>AH30</f>
        <v>41869</v>
      </c>
      <c r="I30" s="926"/>
      <c r="J30"/>
      <c r="K30"/>
      <c r="L30"/>
      <c r="M30"/>
      <c r="N30"/>
      <c r="O30"/>
      <c r="P30"/>
      <c r="Q30"/>
      <c r="R30"/>
      <c r="S30"/>
      <c r="T30"/>
      <c r="U30"/>
      <c r="X30"/>
      <c r="AB30"/>
      <c r="AC30"/>
      <c r="AF30" s="361">
        <f>IF(S.Hearing.1stInvolve="N",0,1)</f>
        <v>1</v>
      </c>
      <c r="AG30" s="48"/>
      <c r="AH30" s="60">
        <f>IF(S.Hearing.1stInvolve="N",,WORKDAY(S.Notice.SubmitToSOS,1,S.DDL_DEQClosed))</f>
        <v>41869</v>
      </c>
      <c r="AI30" s="48"/>
      <c r="AJ30" s="162"/>
      <c r="AK30" s="78" t="str">
        <f>IF(S.Notice.Involved="N","-blank-","Open public comment ")</f>
        <v xml:space="preserve">Open public comment </v>
      </c>
      <c r="AL30" s="76"/>
    </row>
    <row r="31" spans="1:41" ht="13.5" customHeight="1">
      <c r="A31" s="145"/>
      <c r="B31" s="342" t="str">
        <f t="shared" si="0"/>
        <v>Hold 1st hearing at least 30 days AFTER open comment - EPA SIP requirement</v>
      </c>
      <c r="D31" s="852"/>
      <c r="E31" s="852"/>
      <c r="F31" s="906"/>
      <c r="G31" s="369" t="s">
        <v>0</v>
      </c>
      <c r="H31" s="291">
        <f>AH31</f>
        <v>41899</v>
      </c>
      <c r="I31" s="926"/>
      <c r="AF31" s="361">
        <f>IF(S.Notice.Involved="N",0,IF(S.Hearing.1stInvolve="Y",1,0))</f>
        <v>1</v>
      </c>
      <c r="AG31" s="48"/>
      <c r="AH31" s="60">
        <f>IF(S.Notice.Involved="N",,IF(S.Hearing.1stInvolve="N",,IF(S.SIP.Involved="N",WORKDAY(S.Notice.InOregonBulletin+13,1,S.DDL_DEQClosed),MAX(WORKDAY(S.Notice.OpenComment+29,1,S.DDL_DEQClosed),WORKDAY(S.Notice.InOregonBulletin+13,1,S.DDL_DEQClosed)))))</f>
        <v>41899</v>
      </c>
      <c r="AI31" s="59" t="s">
        <v>0</v>
      </c>
      <c r="AJ31" s="162"/>
      <c r="AK31" s="63" t="str">
        <f>IF(AND(S.Notice.Involved="N",S.Hearing.1stInvolve="N"),"-blank-",IF(S.SIP.Involved="Y","Hold 1st hearing at least 30 days AFTER open comment - EPA SIP requirement",IF(AND(S.Notice.Involved="Y",S.Hearing.1stInvolve="N"),"No public hearing involved",IF(AND(S.Notice.Involved="N",S.Hearing.1stInvolve="Y"),"ERROR: All hearings must be noticed","Hold 1st hearing no earlier than 15th of month AFTER Bulletin - APA requirement"))))</f>
        <v>Hold 1st hearing at least 30 days AFTER open comment - EPA SIP requirement</v>
      </c>
      <c r="AL31" s="76"/>
      <c r="AM31"/>
    </row>
    <row r="32" spans="1:41" ht="14.1" customHeight="1">
      <c r="A32" s="145"/>
      <c r="B32" s="204" t="str">
        <f t="shared" si="0"/>
        <v>Close public comment - DEQ best practice, 3 days after last hearing</v>
      </c>
      <c r="C32" s="304"/>
      <c r="D32" s="859"/>
      <c r="E32" s="859"/>
      <c r="F32" s="906"/>
      <c r="G32" s="369" t="s">
        <v>0</v>
      </c>
      <c r="H32" s="291">
        <f>AH32</f>
        <v>41904</v>
      </c>
      <c r="I32" s="926"/>
      <c r="AF32" s="361">
        <f>IF(S.Hearing.1stInvolve="N",0,1)</f>
        <v>1</v>
      </c>
      <c r="AG32" s="48"/>
      <c r="AH32" s="60">
        <f>IF(AF32=0,,IF(S.Notice.Involved="N",S.DIRECTOR.Approves.ForDEQRulemakingPlan,WORKDAY(S.Notice.LastHearingDate+2,1,S.DDL_DEQClosed)))</f>
        <v>41904</v>
      </c>
      <c r="AI32" s="59"/>
      <c r="AJ32" s="161"/>
      <c r="AK32" s="78" t="str">
        <f>IF(S.Notice.Involved="N","-blank-","Close public comment - DEQ best practice, 3 days after last hearing")</f>
        <v>Close public comment - DEQ best practice, 3 days after last hearing</v>
      </c>
      <c r="AL32" s="76"/>
      <c r="AM32"/>
    </row>
    <row r="33" spans="1:39" s="23" customFormat="1" ht="6" customHeight="1">
      <c r="A33" s="145"/>
      <c r="B33" s="329"/>
      <c r="C33" s="329"/>
      <c r="D33" s="329"/>
      <c r="E33" s="329"/>
      <c r="F33" s="907"/>
      <c r="G33" s="329"/>
      <c r="H33" s="329"/>
      <c r="I33" s="927"/>
      <c r="AE33" s="40"/>
      <c r="AF33" s="361">
        <v>1</v>
      </c>
      <c r="AG33" s="48"/>
      <c r="AH33" s="60"/>
      <c r="AI33" s="59"/>
      <c r="AJ33" s="162"/>
      <c r="AK33" s="78"/>
      <c r="AL33" s="76"/>
    </row>
    <row r="34" spans="1:39" s="23" customFormat="1" ht="13.5" customHeight="1">
      <c r="A34" s="145"/>
      <c r="B34" s="330" t="s">
        <v>171</v>
      </c>
      <c r="C34" s="304"/>
      <c r="D34" s="845"/>
      <c r="E34" s="845"/>
      <c r="F34" s="905"/>
      <c r="G34" s="978">
        <f>AG34</f>
        <v>41866</v>
      </c>
      <c r="H34" s="978">
        <f>AH34</f>
        <v>41955</v>
      </c>
      <c r="I34" s="926"/>
      <c r="J34"/>
      <c r="K34"/>
      <c r="L34"/>
      <c r="M34"/>
      <c r="N34"/>
      <c r="O34"/>
      <c r="P34"/>
      <c r="Q34"/>
      <c r="R34"/>
      <c r="S34"/>
      <c r="T34"/>
      <c r="U34"/>
      <c r="X34"/>
      <c r="AB34"/>
      <c r="AC34"/>
      <c r="AF34" s="361">
        <v>1</v>
      </c>
      <c r="AG34" s="60">
        <f>S.Notice.SubmitToSOS</f>
        <v>41866</v>
      </c>
      <c r="AH34" s="60">
        <f>S.EQC.SubmitStaffRpt</f>
        <v>41955</v>
      </c>
      <c r="AI34" s="59"/>
      <c r="AJ34" s="161"/>
      <c r="AK34" s="870" t="s">
        <v>694</v>
      </c>
      <c r="AL34" s="76"/>
    </row>
    <row r="35" spans="1:39" s="23" customFormat="1" ht="6" customHeight="1">
      <c r="A35" s="145"/>
      <c r="B35" s="204"/>
      <c r="C35" s="335"/>
      <c r="D35" s="697"/>
      <c r="E35" s="697"/>
      <c r="F35" s="906"/>
      <c r="G35" s="369"/>
      <c r="H35" s="961"/>
      <c r="I35" s="926"/>
      <c r="AE35" s="40"/>
      <c r="AF35" s="361">
        <v>1</v>
      </c>
      <c r="AG35" s="48"/>
      <c r="AH35" s="48"/>
      <c r="AI35" s="59"/>
      <c r="AJ35" s="162"/>
      <c r="AK35" s="78"/>
      <c r="AL35" s="76"/>
    </row>
    <row r="36" spans="1:39" s="23" customFormat="1" ht="14.1" customHeight="1" thickBot="1">
      <c r="A36" s="163"/>
      <c r="B36" s="372" t="str">
        <f>AK36</f>
        <v>Involvement before Rulemaking Action Item</v>
      </c>
      <c r="C36" s="370"/>
      <c r="D36" s="699"/>
      <c r="E36" s="699"/>
      <c r="F36" s="908"/>
      <c r="G36" s="861" t="s">
        <v>69</v>
      </c>
      <c r="H36" s="862" t="s">
        <v>68</v>
      </c>
      <c r="I36" s="928"/>
      <c r="J36"/>
      <c r="K36"/>
      <c r="L36"/>
      <c r="M36"/>
      <c r="N36"/>
      <c r="O36"/>
      <c r="P36"/>
      <c r="Q36"/>
      <c r="R36"/>
      <c r="S36"/>
      <c r="T36"/>
      <c r="U36"/>
      <c r="X36"/>
      <c r="AB36"/>
      <c r="AC36"/>
      <c r="AF36" s="362">
        <v>1</v>
      </c>
      <c r="AG36" s="48"/>
      <c r="AH36" s="48"/>
      <c r="AI36" s="59"/>
      <c r="AJ36" s="162"/>
      <c r="AK36" s="67" t="str">
        <f>IF(OR(S.EQC.DirReport="Y",S.EQC.InfoItem="Y",S.EQC.FacHearing="Y"),"Involvement before Rulemaking Action Item","No EQC involvement before Action Item meeting")</f>
        <v>Involvement before Rulemaking Action Item</v>
      </c>
      <c r="AL36" s="76"/>
      <c r="AM36" s="40"/>
    </row>
    <row r="37" spans="1:39" s="23" customFormat="1" ht="14.1" customHeight="1">
      <c r="A37" s="163"/>
      <c r="B37" s="359" t="str">
        <f>AK37</f>
        <v>Director's Report - some material comes from monthly status report</v>
      </c>
      <c r="C37" s="482" t="s">
        <v>16</v>
      </c>
      <c r="D37" s="694" t="str">
        <f>HYPERLINK("http://deqsps/groups/eqc/docs/EQCDeadlines.docx","i")</f>
        <v>i</v>
      </c>
      <c r="E37" s="694"/>
      <c r="F37" s="908"/>
      <c r="G37" s="863">
        <v>41821</v>
      </c>
      <c r="H37" s="863">
        <v>41821</v>
      </c>
      <c r="I37" s="928"/>
      <c r="J37"/>
      <c r="K37"/>
      <c r="L37"/>
      <c r="M37"/>
      <c r="N37"/>
      <c r="O37"/>
      <c r="P37"/>
      <c r="Q37"/>
      <c r="R37"/>
      <c r="S37"/>
      <c r="T37"/>
      <c r="U37"/>
      <c r="X37"/>
      <c r="AB37"/>
      <c r="AC37"/>
      <c r="AF37" s="362">
        <f>IF(S.EQC.DirReport="Y",1,0)</f>
        <v>1</v>
      </c>
      <c r="AG37" s="60">
        <f>IF(S.EQC.DirReport="Y",S.DIRECTOR.Approves.ForDEQRulemakingPlan,)</f>
        <v>41792</v>
      </c>
      <c r="AH37" s="60">
        <f>IF(S.EQC.DirReport="Y",S.DIRECTOR.Approves.ForDEQRulemakingPlan,)</f>
        <v>41792</v>
      </c>
      <c r="AI37" s="157" t="str">
        <f>IF(OR(G37&gt;=S.EQC.Meeting,H37&gt;=S.EQC.Meeting),"Must be less than H13","")</f>
        <v/>
      </c>
      <c r="AJ37" s="162"/>
      <c r="AK37" s="67" t="str">
        <f>IF(S.EQC.DirReport="N","No Director's report requested","Director's Report - some material comes from monthly status report")</f>
        <v>Director's Report - some material comes from monthly status report</v>
      </c>
      <c r="AL37" s="76"/>
    </row>
    <row r="38" spans="1:39" s="23" customFormat="1" ht="14.1" hidden="1" customHeight="1" thickBot="1">
      <c r="A38" s="163"/>
      <c r="B38" s="359" t="str">
        <f>AK38</f>
        <v>No information item requested</v>
      </c>
      <c r="C38" s="481" t="s">
        <v>206</v>
      </c>
      <c r="D38" s="694" t="str">
        <f>HYPERLINK("http://deqsps/groups/eqc/docs/EQCDeadlines.docx","i")</f>
        <v>i</v>
      </c>
      <c r="E38" s="694"/>
      <c r="F38" s="903" t="s">
        <v>0</v>
      </c>
      <c r="G38" s="864">
        <f>AG38</f>
        <v>0</v>
      </c>
      <c r="H38" s="865">
        <f>AH38</f>
        <v>0</v>
      </c>
      <c r="I38" s="925">
        <f>IF(S.EQC.InfoItem="Y",21,0)</f>
        <v>0</v>
      </c>
      <c r="J38"/>
      <c r="K38"/>
      <c r="L38"/>
      <c r="M38"/>
      <c r="N38"/>
      <c r="O38"/>
      <c r="P38"/>
      <c r="Q38"/>
      <c r="R38"/>
      <c r="S38"/>
      <c r="T38"/>
      <c r="U38"/>
      <c r="X38"/>
      <c r="AB38"/>
      <c r="AC38"/>
      <c r="AF38" s="362">
        <f>IF(S.EQC.InfoItem="Y",1,0)</f>
        <v>0</v>
      </c>
      <c r="AG38" s="60">
        <f>IF(S.EQC.InfoItem="Y",VLOOKUP(S.EQC.Meeting,VL_EQCActivities,6,FALSE),)</f>
        <v>0</v>
      </c>
      <c r="AH38" s="60">
        <f>IF(S.EQC.InfoItem="Y",G38,)</f>
        <v>0</v>
      </c>
      <c r="AI38" s="157" t="str">
        <f>IF(OR(G38&gt;=S.EQC.Meeting,H38&gt;=S.EQC.Meeting),"Must be less than H13","")</f>
        <v/>
      </c>
      <c r="AJ38" s="162"/>
      <c r="AK38" s="67" t="str">
        <f>IF(S.EQC.InfoItem="N","No information item requested","Information Item - a presentation to update the EQC")</f>
        <v>No information item requested</v>
      </c>
      <c r="AL38" s="76"/>
    </row>
    <row r="39" spans="1:39" s="23" customFormat="1" ht="14.1" hidden="1" customHeight="1" thickBot="1">
      <c r="A39" s="163"/>
      <c r="B39" s="359" t="str">
        <f>AK39</f>
        <v>No facilitated hearing requested</v>
      </c>
      <c r="C39" s="483" t="s">
        <v>206</v>
      </c>
      <c r="D39" s="700"/>
      <c r="E39" s="700"/>
      <c r="F39" s="908"/>
      <c r="G39" s="866">
        <f>AG39</f>
        <v>0</v>
      </c>
      <c r="H39" s="867">
        <v>41934</v>
      </c>
      <c r="I39" s="928"/>
      <c r="J39"/>
      <c r="K39"/>
      <c r="L39"/>
      <c r="M39"/>
      <c r="N39"/>
      <c r="O39"/>
      <c r="P39"/>
      <c r="Q39"/>
      <c r="R39"/>
      <c r="S39"/>
      <c r="T39"/>
      <c r="U39"/>
      <c r="X39"/>
      <c r="AB39"/>
      <c r="AC39"/>
      <c r="AF39" s="362">
        <f>IF(AND(S.Hearing.1stInvolve,S.EQC.FacHearing="Y"),1,0)</f>
        <v>0</v>
      </c>
      <c r="AG39" s="60">
        <f>IF(S.EQC.FacHearing="Y",VLOOKUP(S.EQC.Meeting,VL_EQCActivities,6,FALSE),)</f>
        <v>0</v>
      </c>
      <c r="AH39" s="60">
        <f>IF(S.EQC.FacHearing="Y",G39,)</f>
        <v>0</v>
      </c>
      <c r="AI39" s="157" t="str">
        <f>IF(OR(G39&gt;=S.EQC.Meeting,H39&gt;=S.EQC.Meeting),"Must be less than H13","")</f>
        <v/>
      </c>
      <c r="AJ39" s="162"/>
      <c r="AK39" s="67" t="str">
        <f>IF(S.EQC.FacHearing="N","No facilitated hearing requested",IF(AND(S.EQC.FacHearing="Y",S.Hearing.1stInvolve="N"),"ERROR: No hearings selected above","Facilitated Hearing"))</f>
        <v>No facilitated hearing requested</v>
      </c>
      <c r="AL39" s="76"/>
    </row>
    <row r="40" spans="1:39" s="23" customFormat="1" ht="6" hidden="1" customHeight="1">
      <c r="A40" s="145"/>
      <c r="B40" s="330" t="s">
        <v>0</v>
      </c>
      <c r="C40" s="335"/>
      <c r="D40" s="698"/>
      <c r="E40" s="698"/>
      <c r="F40" s="908"/>
      <c r="G40" s="336"/>
      <c r="H40" s="337"/>
      <c r="I40" s="928"/>
      <c r="J40"/>
      <c r="K40"/>
      <c r="L40"/>
      <c r="M40"/>
      <c r="N40"/>
      <c r="O40"/>
      <c r="P40"/>
      <c r="Q40"/>
      <c r="R40"/>
      <c r="S40"/>
      <c r="T40"/>
      <c r="U40"/>
      <c r="X40"/>
      <c r="AB40"/>
      <c r="AC40"/>
      <c r="AF40" s="361">
        <v>1</v>
      </c>
      <c r="AG40" s="64"/>
      <c r="AH40" s="64"/>
      <c r="AI40" s="59"/>
      <c r="AJ40" s="161"/>
      <c r="AK40" s="79"/>
      <c r="AL40" s="76"/>
    </row>
    <row r="41" spans="1:39" s="23" customFormat="1" ht="14.1" customHeight="1" thickBot="1">
      <c r="A41" s="145"/>
      <c r="B41" s="533" t="str">
        <f>AK41</f>
        <v>Rule Publication - submit PERMANENT staff report</v>
      </c>
      <c r="C41" s="338"/>
      <c r="D41" s="701"/>
      <c r="E41" s="701"/>
      <c r="F41" s="903" t="s">
        <v>0</v>
      </c>
      <c r="G41" s="369" t="s">
        <v>0</v>
      </c>
      <c r="H41" s="838">
        <f>AH41</f>
        <v>41955</v>
      </c>
      <c r="I41" s="925">
        <f>S.EQC.Meeting-S.EQC.SubmitStaffRpt</f>
        <v>35</v>
      </c>
      <c r="J41"/>
      <c r="K41"/>
      <c r="L41"/>
      <c r="M41"/>
      <c r="N41"/>
      <c r="O41"/>
      <c r="P41"/>
      <c r="Q41"/>
      <c r="R41"/>
      <c r="S41"/>
      <c r="T41"/>
      <c r="U41"/>
      <c r="X41"/>
      <c r="AB41"/>
      <c r="AC41"/>
      <c r="AF41" s="361">
        <v>1</v>
      </c>
      <c r="AG41" s="48"/>
      <c r="AH41" s="60">
        <f>VLOOKUP(S.EQC.Meeting,VL_EQCActivities,2,FALSE)</f>
        <v>41955</v>
      </c>
      <c r="AI41" s="59" t="s">
        <v>0</v>
      </c>
      <c r="AJ41" s="162"/>
      <c r="AK41" s="67" t="str">
        <f>IF(S.General.RuleType="P","Rule Publication - submit PERMANENT staff report","Rule publication - submit TEMPORARY staff report")</f>
        <v>Rule Publication - submit PERMANENT staff report</v>
      </c>
      <c r="AL41" s="76"/>
    </row>
    <row r="42" spans="1:39" s="173" customFormat="1" ht="14.1" customHeight="1" thickBot="1">
      <c r="A42" s="181"/>
      <c r="B42" s="533" t="str">
        <f>AK42</f>
        <v>EQC meeting - PERMANENT Rulemaking Action Item</v>
      </c>
      <c r="C42" s="1002" t="s">
        <v>687</v>
      </c>
      <c r="D42" s="1002"/>
      <c r="E42" s="1002"/>
      <c r="F42" s="1002"/>
      <c r="G42" s="1003"/>
      <c r="H42" s="846">
        <v>41990</v>
      </c>
      <c r="I42" s="745"/>
      <c r="J42"/>
      <c r="K42"/>
      <c r="L42"/>
      <c r="M42"/>
      <c r="N42"/>
      <c r="O42"/>
      <c r="P42"/>
      <c r="Q42"/>
      <c r="R42"/>
      <c r="S42"/>
      <c r="T42"/>
      <c r="U42"/>
      <c r="V42" s="23"/>
      <c r="W42" s="23"/>
      <c r="X42"/>
      <c r="Y42" s="23"/>
      <c r="Z42" s="23"/>
      <c r="AA42" s="23"/>
      <c r="AB42"/>
      <c r="AC42"/>
      <c r="AD42" s="23"/>
      <c r="AE42" s="23"/>
      <c r="AF42" s="361">
        <v>1</v>
      </c>
      <c r="AG42" s="48"/>
      <c r="AH42" s="60">
        <f>VLOOKUP(WORKDAY(S.Notice.CloseComment+59,1,S.DDL_DEQClosed),VL_EQCActivities,5,TRUE)</f>
        <v>41990</v>
      </c>
      <c r="AI42" s="496" t="s">
        <v>0</v>
      </c>
      <c r="AJ42" s="347"/>
      <c r="AK42" s="67" t="str">
        <f>IF(S.General.RuleType="P","EQC meeting - PERMANENT Rulemaking Action Item","EQC meeting - TEMPORARY Rulemaking Action Item")</f>
        <v>EQC meeting - PERMANENT Rulemaking Action Item</v>
      </c>
      <c r="AL42" s="76"/>
    </row>
    <row r="43" spans="1:39" s="23" customFormat="1" ht="14.1" hidden="1" customHeight="1" thickBot="1">
      <c r="A43" s="145"/>
      <c r="C43" s="335"/>
      <c r="D43"/>
      <c r="E43" s="844"/>
      <c r="G43" s="986" t="s">
        <v>0</v>
      </c>
      <c r="H43" s="986"/>
      <c r="I43" s="929">
        <v>-55</v>
      </c>
      <c r="J43"/>
      <c r="K43"/>
      <c r="L43"/>
      <c r="M43"/>
      <c r="N43"/>
      <c r="O43"/>
      <c r="P43"/>
      <c r="Q43"/>
      <c r="R43"/>
      <c r="S43"/>
      <c r="T43"/>
      <c r="U43"/>
      <c r="X43"/>
      <c r="AB43"/>
      <c r="AC43"/>
      <c r="AF43" s="361">
        <v>1</v>
      </c>
      <c r="AG43" s="1000" t="s">
        <v>760</v>
      </c>
      <c r="AH43" s="1000"/>
      <c r="AI43" s="1000"/>
      <c r="AJ43" s="1000"/>
      <c r="AK43" s="1000"/>
      <c r="AL43" s="76"/>
    </row>
    <row r="44" spans="1:39" s="23" customFormat="1" ht="14.1" hidden="1" customHeight="1" thickTop="1">
      <c r="A44" s="145"/>
      <c r="C44" s="335"/>
      <c r="D44"/>
      <c r="G44" s="986"/>
      <c r="H44" s="986"/>
      <c r="I44" s="925">
        <f>SUM(I8:I42)</f>
        <v>320</v>
      </c>
      <c r="J44"/>
      <c r="K44"/>
      <c r="L44"/>
      <c r="M44"/>
      <c r="N44"/>
      <c r="O44"/>
      <c r="P44"/>
      <c r="Q44"/>
      <c r="R44"/>
      <c r="S44"/>
      <c r="T44"/>
      <c r="U44"/>
      <c r="X44"/>
      <c r="AB44"/>
      <c r="AC44"/>
      <c r="AF44" s="361">
        <v>1</v>
      </c>
      <c r="AG44" s="1000" t="s">
        <v>761</v>
      </c>
      <c r="AH44" s="1000"/>
      <c r="AI44" s="1000"/>
      <c r="AJ44" s="1000"/>
      <c r="AK44" s="1000"/>
      <c r="AL44" s="76"/>
    </row>
    <row r="45" spans="1:39" s="23" customFormat="1" ht="6" customHeight="1">
      <c r="A45" s="145"/>
      <c r="B45" s="329"/>
      <c r="C45" s="329"/>
      <c r="D45" s="329"/>
      <c r="E45" s="329"/>
      <c r="F45" s="329"/>
      <c r="G45" s="329"/>
      <c r="H45" s="329"/>
      <c r="I45" s="745"/>
      <c r="AE45" s="40"/>
      <c r="AF45" s="361">
        <v>1</v>
      </c>
      <c r="AG45" s="48"/>
      <c r="AH45" s="60"/>
      <c r="AI45" s="59"/>
      <c r="AJ45" s="162"/>
      <c r="AK45" s="79"/>
      <c r="AL45" s="76"/>
    </row>
    <row r="46" spans="1:39" s="23" customFormat="1" ht="15" customHeight="1">
      <c r="A46" s="145"/>
      <c r="B46" s="330" t="s">
        <v>179</v>
      </c>
      <c r="C46" s="304"/>
      <c r="D46" s="845"/>
      <c r="E46" s="845"/>
      <c r="F46" s="337" t="s">
        <v>0</v>
      </c>
      <c r="G46" s="978">
        <f>AG46</f>
        <v>41990</v>
      </c>
      <c r="H46" s="978">
        <f>AH46</f>
        <v>42080</v>
      </c>
      <c r="I46" s="745"/>
      <c r="J46"/>
      <c r="K46"/>
      <c r="L46"/>
      <c r="M46"/>
      <c r="N46"/>
      <c r="O46"/>
      <c r="P46"/>
      <c r="Q46"/>
      <c r="R46"/>
      <c r="S46"/>
      <c r="T46"/>
      <c r="U46"/>
      <c r="X46"/>
      <c r="AB46"/>
      <c r="AC46"/>
      <c r="AF46" s="361">
        <v>1</v>
      </c>
      <c r="AG46" s="60">
        <f>S.EQC.Meeting</f>
        <v>41990</v>
      </c>
      <c r="AH46" s="60">
        <f>WORKDAY(S.PostEQC.BANNER.Begin+89,1,S.DDL_DEQClosed)</f>
        <v>42080</v>
      </c>
      <c r="AI46" s="48"/>
      <c r="AJ46" s="345"/>
      <c r="AK46" s="573" t="s">
        <v>0</v>
      </c>
      <c r="AL46" s="76"/>
    </row>
    <row r="47" spans="1:39" s="23" customFormat="1" ht="15" customHeight="1" thickBot="1">
      <c r="A47" s="145"/>
      <c r="B47" s="204" t="s">
        <v>58</v>
      </c>
      <c r="C47" s="266"/>
      <c r="D47" s="702"/>
      <c r="E47" s="702"/>
      <c r="F47" s="260"/>
      <c r="G47" s="369" t="s">
        <v>0</v>
      </c>
      <c r="H47" s="291">
        <f>AH47</f>
        <v>41992</v>
      </c>
      <c r="I47" s="745"/>
      <c r="J47"/>
      <c r="K47"/>
      <c r="L47"/>
      <c r="M47"/>
      <c r="N47"/>
      <c r="O47"/>
      <c r="P47"/>
      <c r="Q47"/>
      <c r="R47"/>
      <c r="S47"/>
      <c r="T47"/>
      <c r="U47"/>
      <c r="X47"/>
      <c r="AB47"/>
      <c r="AC47"/>
      <c r="AF47" s="361">
        <v>1</v>
      </c>
      <c r="AG47" s="48"/>
      <c r="AH47" s="60">
        <f>WORKDAY(S.EQC.Meeting+1,1,S.DDL_DEQClosed)</f>
        <v>41992</v>
      </c>
      <c r="AI47" s="48"/>
      <c r="AJ47" s="345"/>
      <c r="AK47" s="574" t="s">
        <v>0</v>
      </c>
      <c r="AL47" s="76"/>
    </row>
    <row r="48" spans="1:39" s="23" customFormat="1" ht="15" hidden="1" customHeight="1" thickBot="1">
      <c r="A48" s="145" t="s">
        <v>0</v>
      </c>
      <c r="B48" s="204" t="str">
        <f>AK48</f>
        <v>DAS - fees not involved</v>
      </c>
      <c r="C48" s="266"/>
      <c r="D48" s="702"/>
      <c r="E48" s="702"/>
      <c r="F48" s="260"/>
      <c r="G48" s="369" t="s">
        <v>0</v>
      </c>
      <c r="H48" s="291">
        <f>AH48</f>
        <v>41995</v>
      </c>
      <c r="I48" s="745"/>
      <c r="J48"/>
      <c r="K48"/>
      <c r="L48"/>
      <c r="M48"/>
      <c r="N48"/>
      <c r="O48"/>
      <c r="P48"/>
      <c r="Q48"/>
      <c r="R48"/>
      <c r="S48"/>
      <c r="T48"/>
      <c r="U48"/>
      <c r="X48"/>
      <c r="AB48"/>
      <c r="AC48"/>
      <c r="AF48" s="361">
        <f>IF(S.Fee.Involved="Y",1,0)</f>
        <v>0</v>
      </c>
      <c r="AG48" s="76" t="s">
        <v>0</v>
      </c>
      <c r="AH48" s="60">
        <f>WORKDAY(S.EQC.Meeting+5,0,S.DDL_DEQClosed)</f>
        <v>41995</v>
      </c>
      <c r="AI48" s="48"/>
      <c r="AJ48" s="345"/>
      <c r="AK48" s="63" t="str">
        <f>IF(S.Fee.Involved="N","DAS - fees not involved",IF(S.Fee.DASApprovalRequired="Y","DAS - submit Part 2 within ten days after EQC rulemaking action","DAS - email notification within 10 days after EQC rulemaking action"))</f>
        <v>DAS - fees not involved</v>
      </c>
      <c r="AL48" s="76"/>
    </row>
    <row r="49" spans="1:39" ht="15" customHeight="1" thickBot="1">
      <c r="A49" s="145"/>
      <c r="B49" s="849" t="s">
        <v>288</v>
      </c>
      <c r="C49" s="481" t="s">
        <v>16</v>
      </c>
      <c r="D49" s="335"/>
      <c r="E49" s="335"/>
      <c r="F49" s="260"/>
      <c r="G49" s="369" t="s">
        <v>0</v>
      </c>
      <c r="H49" s="291">
        <f>AH49</f>
        <v>41992</v>
      </c>
      <c r="I49" s="745"/>
      <c r="AF49" s="361">
        <v>1</v>
      </c>
      <c r="AG49" s="76" t="s">
        <v>0</v>
      </c>
      <c r="AH49" s="60">
        <f>S.PostEQC.FileRuleWithSOS</f>
        <v>41992</v>
      </c>
      <c r="AI49" s="48"/>
      <c r="AJ49" s="42"/>
      <c r="AK49" s="34" t="s">
        <v>0</v>
      </c>
      <c r="AL49" s="76"/>
      <c r="AM49"/>
    </row>
    <row r="50" spans="1:39" s="23" customFormat="1" ht="15" hidden="1" customHeight="1">
      <c r="A50" s="145"/>
      <c r="B50" s="204" t="str">
        <f>AK50</f>
        <v>EPA - goal to submit SIP within 60 days of adoption</v>
      </c>
      <c r="C50" s="339"/>
      <c r="D50" s="703"/>
      <c r="E50" s="703"/>
      <c r="F50" s="260"/>
      <c r="G50" s="334" t="s">
        <v>0</v>
      </c>
      <c r="H50" s="291">
        <f>AH50</f>
        <v>42052</v>
      </c>
      <c r="I50" s="745"/>
      <c r="J50"/>
      <c r="K50"/>
      <c r="L50"/>
      <c r="M50"/>
      <c r="N50"/>
      <c r="O50"/>
      <c r="P50"/>
      <c r="Q50"/>
      <c r="R50"/>
      <c r="S50"/>
      <c r="T50"/>
      <c r="U50"/>
      <c r="X50"/>
      <c r="AB50"/>
      <c r="AC50"/>
      <c r="AF50" s="362">
        <f>IF(S.SIP.Involved="Y",1,0)</f>
        <v>1</v>
      </c>
      <c r="AG50" s="48"/>
      <c r="AH50" s="60">
        <f>IF(S.SIP.Involved="N",,WORKDAY(S.EQC.Meeting+59,1,S.DDL_DEQClosed))</f>
        <v>42052</v>
      </c>
      <c r="AI50" s="48"/>
      <c r="AJ50" s="345"/>
      <c r="AK50" s="63" t="str">
        <f>IF(S.SIP.Involved="Y","EPA - goal to submit SIP within 60 days of adoption","EPA - SIP not involved")</f>
        <v>EPA - goal to submit SIP within 60 days of adoption</v>
      </c>
      <c r="AL50" s="76"/>
    </row>
    <row r="51" spans="1:39" ht="6.75" customHeight="1">
      <c r="A51" s="145"/>
      <c r="B51" s="314"/>
      <c r="C51" s="300"/>
      <c r="D51" s="704"/>
      <c r="E51" s="704"/>
      <c r="F51" s="315"/>
      <c r="G51" s="340"/>
      <c r="H51" s="300"/>
      <c r="I51" s="745"/>
      <c r="AF51" s="361" t="s">
        <v>0</v>
      </c>
      <c r="AG51" s="58"/>
      <c r="AH51" s="58"/>
      <c r="AI51" s="48"/>
      <c r="AJ51" s="42"/>
      <c r="AK51" s="34"/>
      <c r="AL51" s="76"/>
      <c r="AM51"/>
    </row>
    <row r="52" spans="1:39" s="23" customFormat="1" ht="20.25" customHeight="1">
      <c r="A52" s="145"/>
      <c r="B52" s="104" t="s">
        <v>186</v>
      </c>
      <c r="C52" s="84"/>
      <c r="D52" s="169" t="s">
        <v>60</v>
      </c>
      <c r="E52" s="169"/>
      <c r="F52" s="821"/>
      <c r="G52" s="85" t="s">
        <v>0</v>
      </c>
      <c r="H52" s="85" t="s">
        <v>0</v>
      </c>
      <c r="I52" s="745"/>
      <c r="J52"/>
      <c r="K52"/>
      <c r="L52"/>
      <c r="M52"/>
      <c r="N52"/>
      <c r="O52"/>
      <c r="P52"/>
      <c r="Q52"/>
      <c r="R52"/>
      <c r="S52"/>
      <c r="T52"/>
      <c r="U52"/>
      <c r="X52"/>
      <c r="AB52"/>
      <c r="AC52"/>
      <c r="AF52" s="361" t="s">
        <v>0</v>
      </c>
      <c r="AG52" s="76"/>
      <c r="AH52" s="76"/>
      <c r="AI52" s="59"/>
      <c r="AJ52" s="68"/>
      <c r="AK52" s="58" t="s">
        <v>0</v>
      </c>
      <c r="AL52" s="76"/>
    </row>
    <row r="53" spans="1:39" s="376" customFormat="1" ht="14.1" customHeight="1" outlineLevel="1">
      <c r="A53" s="373"/>
      <c r="B53" s="455" t="str">
        <f>S.General.CodeName</f>
        <v>GPLMP</v>
      </c>
      <c r="C53" s="374" t="s">
        <v>0</v>
      </c>
      <c r="D53" s="374"/>
      <c r="E53" s="374"/>
      <c r="F53" s="382" t="s">
        <v>0</v>
      </c>
      <c r="G53" s="375" t="s">
        <v>57</v>
      </c>
      <c r="H53" s="375" t="s">
        <v>172</v>
      </c>
      <c r="I53" s="745"/>
      <c r="J53"/>
      <c r="K53"/>
      <c r="L53"/>
      <c r="M53"/>
      <c r="N53"/>
      <c r="O53"/>
      <c r="P53"/>
      <c r="Q53"/>
      <c r="R53"/>
      <c r="S53"/>
      <c r="T53"/>
      <c r="U53"/>
      <c r="V53" s="23"/>
      <c r="W53" s="23"/>
      <c r="X53"/>
      <c r="Y53" s="23"/>
      <c r="Z53" s="23"/>
      <c r="AA53" s="23"/>
      <c r="AB53"/>
      <c r="AC53"/>
      <c r="AD53" s="23"/>
      <c r="AE53" s="23"/>
      <c r="AF53" s="378" t="s">
        <v>59</v>
      </c>
      <c r="AG53" s="377"/>
      <c r="AH53" s="377"/>
      <c r="AI53" s="379"/>
      <c r="AJ53" s="380"/>
      <c r="AK53" s="381"/>
      <c r="AL53" s="377"/>
    </row>
    <row r="54" spans="1:39" ht="14.1" customHeight="1" outlineLevel="1">
      <c r="A54" s="145"/>
      <c r="B54" s="383"/>
      <c r="C54" s="385"/>
      <c r="D54" s="114"/>
      <c r="E54" s="114"/>
      <c r="F54" s="386"/>
      <c r="G54" s="201">
        <f>S.DIRECTOR.Approves.ForDEQRulemakingPlan</f>
        <v>41792</v>
      </c>
      <c r="H54" s="201">
        <f>AH54</f>
        <v>41834</v>
      </c>
      <c r="I54" s="745"/>
      <c r="AF54" s="361" t="s">
        <v>59</v>
      </c>
      <c r="AG54" s="60">
        <f>S.DIRECTOR.Approves.ForDEQRulemakingPlan</f>
        <v>41792</v>
      </c>
      <c r="AH54" s="60">
        <f>IF(S.General.RuleType="P",WORKDAY(S.Notice.BANNER.Begin+39,1),S.EQC.BANNER.Begin)</f>
        <v>41834</v>
      </c>
      <c r="AI54" s="60">
        <f>MAX(H120:H214)</f>
        <v>41792</v>
      </c>
      <c r="AJ54" s="68"/>
      <c r="AK54" s="58"/>
      <c r="AL54" s="76"/>
      <c r="AM54"/>
    </row>
    <row r="55" spans="1:39" ht="6" customHeight="1" outlineLevel="1">
      <c r="A55" s="145"/>
      <c r="B55" s="106"/>
      <c r="C55" s="98"/>
      <c r="D55" s="691"/>
      <c r="E55" s="691"/>
      <c r="F55" s="99"/>
      <c r="G55" s="98"/>
      <c r="H55" s="98"/>
      <c r="I55" s="745"/>
      <c r="AF55" s="362" t="s">
        <v>16</v>
      </c>
      <c r="AG55" s="47"/>
      <c r="AH55" s="47"/>
      <c r="AI55" s="69"/>
      <c r="AJ55" s="69"/>
      <c r="AK55" s="35"/>
      <c r="AL55" s="76"/>
      <c r="AM55"/>
    </row>
    <row r="56" spans="1:39" s="23" customFormat="1" ht="12.75" customHeight="1" outlineLevel="1">
      <c r="A56" s="145"/>
      <c r="B56" s="538" t="s">
        <v>782</v>
      </c>
      <c r="C56" s="510" t="str">
        <f>HYPERLINK("\\deqhq1\Rule_Resources\i\0-VersionHistory.pdf","i")</f>
        <v>i</v>
      </c>
      <c r="D56" s="692"/>
      <c r="E56" s="692"/>
      <c r="F56"/>
      <c r="G56" s="82"/>
      <c r="H56" s="82"/>
      <c r="I56" s="745"/>
      <c r="J56"/>
      <c r="K56"/>
      <c r="L56"/>
      <c r="M56"/>
      <c r="N56"/>
      <c r="O56"/>
      <c r="P56"/>
      <c r="Q56"/>
      <c r="R56"/>
      <c r="S56"/>
      <c r="T56"/>
      <c r="U56"/>
      <c r="X56"/>
      <c r="AB56"/>
      <c r="AC56"/>
      <c r="AF56" s="362" t="s">
        <v>20</v>
      </c>
      <c r="AG56" s="47"/>
      <c r="AH56" s="47"/>
      <c r="AI56" s="69"/>
      <c r="AJ56" s="69"/>
      <c r="AK56" s="35"/>
      <c r="AL56" s="76"/>
    </row>
    <row r="57" spans="1:39" s="23" customFormat="1" ht="20.25" customHeight="1" outlineLevel="1">
      <c r="A57" s="145"/>
      <c r="B57" s="341" t="s">
        <v>535</v>
      </c>
      <c r="D57" s="183"/>
      <c r="E57" s="183"/>
      <c r="F57"/>
      <c r="G57" s="350"/>
      <c r="H57" s="350"/>
      <c r="I57" s="745"/>
      <c r="J57"/>
      <c r="K57"/>
      <c r="L57"/>
      <c r="M57"/>
      <c r="N57"/>
      <c r="O57"/>
      <c r="P57"/>
      <c r="Q57"/>
      <c r="R57"/>
      <c r="S57"/>
      <c r="T57"/>
      <c r="U57"/>
      <c r="X57"/>
      <c r="AB57"/>
      <c r="AC57"/>
      <c r="AF57" s="361">
        <v>1</v>
      </c>
      <c r="AG57" s="47"/>
      <c r="AH57" s="47"/>
      <c r="AI57" s="59" t="s">
        <v>0</v>
      </c>
      <c r="AJ57" s="43"/>
      <c r="AK57" s="58"/>
      <c r="AL57" s="76"/>
    </row>
    <row r="58" spans="1:39" s="23" customFormat="1" ht="14.1" customHeight="1" outlineLevel="2">
      <c r="A58" s="145"/>
      <c r="B58" s="912" t="str">
        <f t="shared" ref="B58:B98" si="2">AK58</f>
        <v>Subject expert, core team member - Brian</v>
      </c>
      <c r="C58" s="97" t="s">
        <v>0</v>
      </c>
      <c r="D58" s="183"/>
      <c r="E58" s="183"/>
      <c r="F58"/>
      <c r="G58" s="350"/>
      <c r="H58" s="350"/>
      <c r="I58" s="745"/>
      <c r="J58"/>
      <c r="K58"/>
      <c r="L58"/>
      <c r="M58"/>
      <c r="N58"/>
      <c r="O58"/>
      <c r="P58"/>
      <c r="Q58"/>
      <c r="R58"/>
      <c r="S58"/>
      <c r="T58"/>
      <c r="U58"/>
      <c r="X58"/>
      <c r="AB58"/>
      <c r="AC58"/>
      <c r="AF58" s="361">
        <v>1</v>
      </c>
      <c r="AG58" s="47"/>
      <c r="AH58" s="47"/>
      <c r="AI58" s="59"/>
      <c r="AJ58" s="43"/>
      <c r="AK58" s="63" t="str">
        <f>"Subject expert, core team member - "&amp;S.Staff.Subject.Expert.FirstName</f>
        <v>Subject expert, core team member - Brian</v>
      </c>
      <c r="AL58" s="76"/>
    </row>
    <row r="59" spans="1:39" s="23" customFormat="1" ht="14.1" customHeight="1" outlineLevel="2">
      <c r="A59" s="145"/>
      <c r="B59" s="342" t="s">
        <v>738</v>
      </c>
      <c r="C59" s="97"/>
      <c r="D59" s="183"/>
      <c r="E59" s="183"/>
      <c r="G59" s="350"/>
      <c r="H59" s="350"/>
      <c r="I59" s="745"/>
      <c r="AF59" s="361">
        <v>1</v>
      </c>
      <c r="AG59" s="47"/>
      <c r="AH59" s="47"/>
      <c r="AI59" s="59"/>
      <c r="AJ59" s="43"/>
      <c r="AK59" s="35"/>
      <c r="AL59" s="76"/>
    </row>
    <row r="60" spans="1:39" s="23" customFormat="1" ht="14.1" customHeight="1" outlineLevel="2">
      <c r="A60" s="145"/>
      <c r="B60" s="342" t="s">
        <v>749</v>
      </c>
      <c r="C60" s="97"/>
      <c r="D60" s="183"/>
      <c r="E60" s="183"/>
      <c r="G60" s="350"/>
      <c r="H60" s="350"/>
      <c r="I60" s="745"/>
      <c r="AF60" s="361">
        <v>1</v>
      </c>
      <c r="AG60" s="47"/>
      <c r="AH60" s="47"/>
      <c r="AI60" s="59"/>
      <c r="AJ60" s="43"/>
      <c r="AK60" s="35"/>
      <c r="AL60" s="76"/>
    </row>
    <row r="61" spans="1:39" s="23" customFormat="1" ht="14.1" customHeight="1" outlineLevel="2">
      <c r="A61" s="145"/>
      <c r="B61" s="477" t="s">
        <v>747</v>
      </c>
      <c r="C61" s="97"/>
      <c r="D61" s="183"/>
      <c r="E61" s="183"/>
      <c r="G61" s="350"/>
      <c r="H61" s="350"/>
      <c r="I61" s="745"/>
      <c r="AF61" s="361">
        <v>1</v>
      </c>
      <c r="AG61" s="47"/>
      <c r="AH61" s="47"/>
      <c r="AI61" s="59"/>
      <c r="AJ61" s="43"/>
      <c r="AK61" s="35"/>
      <c r="AL61" s="76"/>
    </row>
    <row r="62" spans="1:39" s="23" customFormat="1" ht="14.1" customHeight="1" outlineLevel="2">
      <c r="A62" s="145"/>
      <c r="B62" s="477" t="s">
        <v>748</v>
      </c>
      <c r="C62" s="97"/>
      <c r="D62" s="183"/>
      <c r="E62" s="183"/>
      <c r="G62" s="350"/>
      <c r="H62" s="350"/>
      <c r="I62" s="745"/>
      <c r="AF62" s="361">
        <v>1</v>
      </c>
      <c r="AG62" s="47"/>
      <c r="AH62" s="47"/>
      <c r="AI62" s="59"/>
      <c r="AJ62" s="43"/>
      <c r="AK62" s="35"/>
      <c r="AL62" s="76"/>
    </row>
    <row r="63" spans="1:39" s="23" customFormat="1" ht="14.1" customHeight="1" outlineLevel="2">
      <c r="A63" s="145"/>
      <c r="B63" s="477" t="s">
        <v>746</v>
      </c>
      <c r="C63" s="97"/>
      <c r="D63" s="183"/>
      <c r="E63" s="183"/>
      <c r="G63" s="350"/>
      <c r="H63" s="350"/>
      <c r="I63" s="745"/>
      <c r="AF63" s="361">
        <v>1</v>
      </c>
      <c r="AG63" s="47"/>
      <c r="AH63" s="47"/>
      <c r="AI63" s="59"/>
      <c r="AJ63" s="43"/>
      <c r="AK63" s="35"/>
      <c r="AL63" s="76"/>
    </row>
    <row r="64" spans="1:39" s="23" customFormat="1" ht="26.25" customHeight="1" outlineLevel="2">
      <c r="A64" s="145"/>
      <c r="B64" s="477" t="s">
        <v>750</v>
      </c>
      <c r="C64" s="97"/>
      <c r="D64" s="183"/>
      <c r="E64" s="183"/>
      <c r="G64" s="350"/>
      <c r="H64" s="350"/>
      <c r="I64" s="745"/>
      <c r="AF64" s="361">
        <v>1</v>
      </c>
      <c r="AG64" s="47"/>
      <c r="AH64" s="47"/>
      <c r="AI64" s="59"/>
      <c r="AJ64" s="43"/>
      <c r="AK64" s="35"/>
      <c r="AL64" s="76"/>
    </row>
    <row r="65" spans="1:38" s="23" customFormat="1" ht="14.1" customHeight="1" outlineLevel="2">
      <c r="A65" s="145"/>
      <c r="B65" s="342" t="s">
        <v>743</v>
      </c>
      <c r="C65" s="97"/>
      <c r="D65" s="183"/>
      <c r="E65" s="183"/>
      <c r="G65" s="350"/>
      <c r="H65" s="350"/>
      <c r="I65" s="745"/>
      <c r="AF65" s="361">
        <v>1</v>
      </c>
      <c r="AG65" s="47"/>
      <c r="AH65" s="47"/>
      <c r="AI65" s="59"/>
      <c r="AJ65" s="43"/>
      <c r="AK65" s="35"/>
      <c r="AL65" s="76"/>
    </row>
    <row r="66" spans="1:38" s="23" customFormat="1" ht="14.1" customHeight="1" outlineLevel="2">
      <c r="A66" s="145"/>
      <c r="B66" s="477" t="s">
        <v>744</v>
      </c>
      <c r="C66" s="97"/>
      <c r="D66" s="183"/>
      <c r="E66" s="183"/>
      <c r="G66" s="350"/>
      <c r="H66" s="350"/>
      <c r="I66" s="745"/>
      <c r="AF66" s="361">
        <v>1</v>
      </c>
      <c r="AG66" s="47"/>
      <c r="AH66" s="47"/>
      <c r="AI66" s="59"/>
      <c r="AJ66" s="43"/>
      <c r="AK66" s="35"/>
      <c r="AL66" s="76"/>
    </row>
    <row r="67" spans="1:38" s="23" customFormat="1" ht="14.1" customHeight="1" outlineLevel="2">
      <c r="A67" s="145"/>
      <c r="B67" s="477" t="s">
        <v>745</v>
      </c>
      <c r="C67" s="97"/>
      <c r="D67" s="183"/>
      <c r="E67" s="183"/>
      <c r="G67" s="350"/>
      <c r="H67" s="350"/>
      <c r="I67" s="745"/>
      <c r="AF67" s="361">
        <v>1</v>
      </c>
      <c r="AG67" s="47"/>
      <c r="AH67" s="47"/>
      <c r="AI67" s="59"/>
      <c r="AJ67" s="43"/>
      <c r="AK67" s="35"/>
      <c r="AL67" s="76"/>
    </row>
    <row r="68" spans="1:38" s="23" customFormat="1" ht="14.1" customHeight="1" outlineLevel="2">
      <c r="A68" s="145"/>
      <c r="B68" s="342" t="s">
        <v>751</v>
      </c>
      <c r="C68" s="97"/>
      <c r="D68" s="183"/>
      <c r="E68" s="183"/>
      <c r="G68" s="350"/>
      <c r="H68" s="350"/>
      <c r="I68" s="745"/>
      <c r="AF68" s="361">
        <v>1</v>
      </c>
      <c r="AG68" s="47"/>
      <c r="AH68" s="47"/>
      <c r="AI68" s="59"/>
      <c r="AJ68" s="43"/>
      <c r="AK68" s="35"/>
      <c r="AL68" s="76"/>
    </row>
    <row r="69" spans="1:38" s="23" customFormat="1" ht="14.1" customHeight="1" outlineLevel="2">
      <c r="A69" s="145"/>
      <c r="B69" s="477" t="s">
        <v>752</v>
      </c>
      <c r="F69" s="901"/>
      <c r="G69" s="796"/>
      <c r="I69" s="39"/>
      <c r="AF69" s="361">
        <f>IF(S.Notice.Involved="Y",1,0)</f>
        <v>1</v>
      </c>
      <c r="AG69" s="48"/>
      <c r="AH69" s="47"/>
      <c r="AI69" s="59"/>
      <c r="AJ69" s="345"/>
      <c r="AK69" s="35"/>
      <c r="AL69" s="76"/>
    </row>
    <row r="70" spans="1:38" s="23" customFormat="1" ht="14.1" customHeight="1" outlineLevel="2">
      <c r="A70" s="145"/>
      <c r="B70" s="359" t="str">
        <f>AK70</f>
        <v>- Uri &amp; DavidL as needed</v>
      </c>
      <c r="F70" s="901"/>
      <c r="G70" s="796"/>
      <c r="I70" s="39"/>
      <c r="AF70" s="361">
        <f>IF(S.Notice.Involved="Y",1,0)</f>
        <v>1</v>
      </c>
      <c r="AG70" s="48"/>
      <c r="AH70" s="47"/>
      <c r="AI70" s="59"/>
      <c r="AJ70" s="345"/>
      <c r="AK70" s="63" t="str">
        <f>"- "&amp;S.Staff.Assistant.DA.ShortName&amp;" &amp; "&amp;S.Staff.DA.ForProgram.FirstName&amp;" as needed"</f>
        <v>- Uri &amp; DavidL as needed</v>
      </c>
      <c r="AL70" s="76"/>
    </row>
    <row r="71" spans="1:38" s="23" customFormat="1" ht="14.1" customHeight="1" outlineLevel="2">
      <c r="A71" s="145"/>
      <c r="B71" s="912" t="str">
        <f t="shared" si="2"/>
        <v>Sponsoring manager, core team member - DavidC</v>
      </c>
      <c r="C71" s="97" t="s">
        <v>0</v>
      </c>
      <c r="D71" s="183"/>
      <c r="E71" s="183"/>
      <c r="F71"/>
      <c r="G71" s="350"/>
      <c r="H71" s="350"/>
      <c r="I71" s="745"/>
      <c r="AF71" s="361">
        <v>1</v>
      </c>
      <c r="AG71" s="47"/>
      <c r="AH71" s="47"/>
      <c r="AI71" s="59"/>
      <c r="AJ71" s="43"/>
      <c r="AK71" s="63" t="str">
        <f>"Sponsoring manager, core team member - "&amp;S.Staff.Program.Mgr.FirstName</f>
        <v>Sponsoring manager, core team member - DavidC</v>
      </c>
      <c r="AL71" s="76"/>
    </row>
    <row r="72" spans="1:38" s="23" customFormat="1" ht="14.1" customHeight="1" outlineLevel="2">
      <c r="A72" s="145"/>
      <c r="B72" s="342" t="s">
        <v>739</v>
      </c>
      <c r="C72" s="97"/>
      <c r="D72" s="183"/>
      <c r="E72" s="183"/>
      <c r="G72" s="350"/>
      <c r="H72" s="350"/>
      <c r="I72" s="745"/>
      <c r="AF72" s="361">
        <v>1</v>
      </c>
      <c r="AG72" s="47"/>
      <c r="AH72" s="47"/>
      <c r="AI72" s="59"/>
      <c r="AJ72" s="43"/>
      <c r="AK72" s="63"/>
      <c r="AL72" s="76"/>
    </row>
    <row r="73" spans="1:38" s="23" customFormat="1" ht="14.1" customHeight="1" outlineLevel="2">
      <c r="A73" s="145"/>
      <c r="B73" s="342" t="s">
        <v>749</v>
      </c>
      <c r="C73" s="97"/>
      <c r="D73" s="183"/>
      <c r="E73" s="183"/>
      <c r="G73" s="350"/>
      <c r="H73" s="350"/>
      <c r="I73" s="745"/>
      <c r="AF73" s="361">
        <v>1</v>
      </c>
      <c r="AG73" s="47"/>
      <c r="AH73" s="47"/>
      <c r="AI73" s="59"/>
      <c r="AJ73" s="43"/>
      <c r="AK73" s="35"/>
      <c r="AL73" s="76"/>
    </row>
    <row r="74" spans="1:38" s="23" customFormat="1" ht="14.1" customHeight="1" outlineLevel="2">
      <c r="A74" s="145"/>
      <c r="B74" s="477" t="s">
        <v>754</v>
      </c>
      <c r="C74" s="97"/>
      <c r="D74" s="183"/>
      <c r="E74" s="183"/>
      <c r="G74" s="350"/>
      <c r="H74" s="350"/>
      <c r="I74" s="745"/>
      <c r="AF74" s="361">
        <v>1</v>
      </c>
      <c r="AG74" s="47"/>
      <c r="AH74" s="47"/>
      <c r="AI74" s="59"/>
      <c r="AJ74" s="43"/>
      <c r="AK74" s="35"/>
      <c r="AL74" s="76"/>
    </row>
    <row r="75" spans="1:38" s="23" customFormat="1" ht="14.1" customHeight="1" outlineLevel="2">
      <c r="A75" s="145"/>
      <c r="B75" s="339" t="s">
        <v>755</v>
      </c>
      <c r="C75" s="97"/>
      <c r="D75" s="183"/>
      <c r="E75" s="183"/>
      <c r="G75" s="350"/>
      <c r="H75" s="350"/>
      <c r="I75" s="745"/>
      <c r="AF75" s="361">
        <v>1</v>
      </c>
      <c r="AG75" s="47"/>
      <c r="AH75" s="47"/>
      <c r="AI75" s="59"/>
      <c r="AJ75" s="43"/>
      <c r="AK75" s="35"/>
      <c r="AL75" s="76"/>
    </row>
    <row r="76" spans="1:38" s="23" customFormat="1" ht="14.1" customHeight="1" outlineLevel="2">
      <c r="A76" s="145"/>
      <c r="B76" s="339" t="s">
        <v>756</v>
      </c>
      <c r="C76" s="97"/>
      <c r="D76" s="183"/>
      <c r="E76" s="183"/>
      <c r="G76" s="350"/>
      <c r="H76" s="350"/>
      <c r="I76" s="745"/>
      <c r="AF76" s="361">
        <v>1</v>
      </c>
      <c r="AG76" s="47"/>
      <c r="AH76" s="47"/>
      <c r="AI76" s="59"/>
      <c r="AJ76" s="43"/>
      <c r="AK76" s="35"/>
      <c r="AL76" s="76"/>
    </row>
    <row r="77" spans="1:38" s="23" customFormat="1" ht="14.1" customHeight="1" outlineLevel="2">
      <c r="A77" s="145"/>
      <c r="B77" s="339" t="s">
        <v>780</v>
      </c>
      <c r="C77" s="97"/>
      <c r="D77" s="183"/>
      <c r="E77" s="183"/>
      <c r="G77" s="350"/>
      <c r="H77" s="350"/>
      <c r="I77" s="745"/>
      <c r="AF77" s="361">
        <v>1</v>
      </c>
      <c r="AG77" s="47"/>
      <c r="AH77" s="47"/>
      <c r="AI77" s="59"/>
      <c r="AJ77" s="43"/>
      <c r="AK77" s="35"/>
      <c r="AL77" s="76"/>
    </row>
    <row r="78" spans="1:38" s="23" customFormat="1" ht="14.1" customHeight="1" outlineLevel="2">
      <c r="A78" s="145"/>
      <c r="B78" s="342" t="s">
        <v>743</v>
      </c>
      <c r="C78" s="97"/>
      <c r="D78" s="183"/>
      <c r="E78" s="183"/>
      <c r="G78" s="350"/>
      <c r="H78" s="350"/>
      <c r="I78" s="745"/>
      <c r="AF78" s="361">
        <v>1</v>
      </c>
      <c r="AG78" s="47"/>
      <c r="AH78" s="47"/>
      <c r="AI78" s="59"/>
      <c r="AJ78" s="43"/>
      <c r="AK78" s="35"/>
      <c r="AL78" s="76"/>
    </row>
    <row r="79" spans="1:38" s="23" customFormat="1" ht="14.1" customHeight="1" outlineLevel="2">
      <c r="A79" s="145"/>
      <c r="B79" s="359" t="str">
        <f>AK79</f>
        <v>- extra review cycles for Uri as needed</v>
      </c>
      <c r="F79" s="901"/>
      <c r="G79" s="796"/>
      <c r="I79" s="39"/>
      <c r="AF79" s="361">
        <f>IF(S.Notice.Involved="Y",1,0)</f>
        <v>1</v>
      </c>
      <c r="AG79" s="48"/>
      <c r="AH79" s="47"/>
      <c r="AI79" s="59"/>
      <c r="AJ79" s="345"/>
      <c r="AK79" s="63" t="str">
        <f>"- extra review cycles for "&amp;S.Staff.Assistant.DA.ShortName&amp;" as needed"</f>
        <v>- extra review cycles for Uri as needed</v>
      </c>
      <c r="AL79" s="76"/>
    </row>
    <row r="80" spans="1:38" s="23" customFormat="1" ht="14.1" customHeight="1" outlineLevel="2">
      <c r="A80" s="145"/>
      <c r="B80" s="342" t="s">
        <v>751</v>
      </c>
      <c r="C80" s="97"/>
      <c r="D80" s="183"/>
      <c r="E80" s="183"/>
      <c r="G80" s="350"/>
      <c r="H80" s="350"/>
      <c r="I80" s="745"/>
      <c r="AF80" s="361">
        <v>1</v>
      </c>
      <c r="AG80" s="47"/>
      <c r="AH80" s="47"/>
      <c r="AI80" s="59"/>
      <c r="AJ80" s="43"/>
      <c r="AK80" s="35"/>
      <c r="AL80" s="76"/>
    </row>
    <row r="81" spans="1:38" s="23" customFormat="1" ht="14.1" customHeight="1" outlineLevel="2">
      <c r="A81" s="145"/>
      <c r="B81" s="477" t="s">
        <v>752</v>
      </c>
      <c r="F81" s="901"/>
      <c r="G81" s="796"/>
      <c r="I81" s="39"/>
      <c r="AF81" s="361">
        <f>IF(S.Notice.Involved="Y",1,0)</f>
        <v>1</v>
      </c>
      <c r="AG81" s="48"/>
      <c r="AH81" s="47"/>
      <c r="AI81" s="59"/>
      <c r="AJ81" s="345"/>
      <c r="AK81" s="63" t="str">
        <f>"* briefs core team, "&amp;S.Staff.Assistant.DA.ShortName&amp;" &amp; "&amp;S.Staff.DA.ForProgram.FirstName&amp;" as needed"</f>
        <v>* briefs core team, Uri &amp; DavidL as needed</v>
      </c>
      <c r="AL81" s="76"/>
    </row>
    <row r="82" spans="1:38" s="23" customFormat="1" ht="14.1" customHeight="1" outlineLevel="2">
      <c r="A82" s="145"/>
      <c r="B82" s="359" t="str">
        <f>AK82</f>
        <v>- Uri &amp; DavidL as needed</v>
      </c>
      <c r="F82" s="901"/>
      <c r="G82" s="796"/>
      <c r="I82" s="39"/>
      <c r="AF82" s="361">
        <f>IF(S.Notice.Involved="Y",1,0)</f>
        <v>1</v>
      </c>
      <c r="AG82" s="48"/>
      <c r="AH82" s="47"/>
      <c r="AI82" s="59"/>
      <c r="AJ82" s="345"/>
      <c r="AK82" s="63" t="str">
        <f>"- "&amp;S.Staff.Assistant.DA.ShortName&amp;" &amp; "&amp;S.Staff.DA.ForProgram.FirstName&amp;" as needed"</f>
        <v>- Uri &amp; DavidL as needed</v>
      </c>
      <c r="AL82" s="76"/>
    </row>
    <row r="83" spans="1:38" s="23" customFormat="1" ht="14.1" customHeight="1" outlineLevel="2">
      <c r="A83" s="145"/>
      <c r="B83" s="912" t="str">
        <f t="shared" si="2"/>
        <v>Rules group lead, core team member - AndreaG</v>
      </c>
      <c r="C83" s="97" t="s">
        <v>0</v>
      </c>
      <c r="D83" s="183"/>
      <c r="E83" s="183"/>
      <c r="F83"/>
      <c r="G83" s="350"/>
      <c r="H83" s="350"/>
      <c r="I83" s="745"/>
      <c r="J83"/>
      <c r="K83"/>
      <c r="L83"/>
      <c r="M83"/>
      <c r="N83"/>
      <c r="O83"/>
      <c r="P83"/>
      <c r="Q83"/>
      <c r="R83"/>
      <c r="S83"/>
      <c r="T83"/>
      <c r="U83"/>
      <c r="X83"/>
      <c r="AB83"/>
      <c r="AC83"/>
      <c r="AF83" s="361">
        <v>1</v>
      </c>
      <c r="AG83" s="47"/>
      <c r="AH83" s="47"/>
      <c r="AI83" s="59"/>
      <c r="AJ83" s="43"/>
      <c r="AK83" s="63" t="str">
        <f>"Rules group lead, core team member - "&amp;S.Staff.RG.Lead.FirstName</f>
        <v>Rules group lead, core team member - AndreaG</v>
      </c>
      <c r="AL83" s="76"/>
    </row>
    <row r="84" spans="1:38" s="23" customFormat="1" ht="14.1" customHeight="1" outlineLevel="2">
      <c r="A84" s="145"/>
      <c r="B84" s="342" t="s">
        <v>740</v>
      </c>
      <c r="C84" s="97"/>
      <c r="D84" s="183"/>
      <c r="E84" s="183"/>
      <c r="G84" s="350"/>
      <c r="H84" s="350"/>
      <c r="I84" s="745"/>
      <c r="AF84" s="361">
        <v>1</v>
      </c>
      <c r="AG84" s="47"/>
      <c r="AH84" s="47"/>
      <c r="AI84" s="59"/>
      <c r="AJ84" s="43"/>
      <c r="AK84" s="63"/>
      <c r="AL84" s="76"/>
    </row>
    <row r="85" spans="1:38" s="23" customFormat="1" ht="14.1" customHeight="1" outlineLevel="2">
      <c r="A85" s="145"/>
      <c r="B85" s="342" t="s">
        <v>749</v>
      </c>
      <c r="C85" s="97"/>
      <c r="D85" s="183"/>
      <c r="E85" s="183"/>
      <c r="G85" s="350"/>
      <c r="H85" s="350"/>
      <c r="I85" s="745"/>
      <c r="AF85" s="361">
        <v>1</v>
      </c>
      <c r="AG85" s="47"/>
      <c r="AH85" s="47"/>
      <c r="AI85" s="59"/>
      <c r="AJ85" s="43"/>
      <c r="AK85" s="35"/>
      <c r="AL85" s="76"/>
    </row>
    <row r="86" spans="1:38" s="23" customFormat="1" ht="14.1" customHeight="1" outlineLevel="2">
      <c r="A86" s="145"/>
      <c r="B86" s="477" t="s">
        <v>758</v>
      </c>
      <c r="C86" s="97"/>
      <c r="D86" s="183"/>
      <c r="E86" s="183"/>
      <c r="G86" s="350"/>
      <c r="H86" s="350"/>
      <c r="I86" s="745"/>
      <c r="AF86" s="361">
        <v>1</v>
      </c>
      <c r="AG86" s="47"/>
      <c r="AH86" s="47"/>
      <c r="AI86" s="59"/>
      <c r="AJ86" s="43"/>
      <c r="AK86" s="63"/>
      <c r="AL86" s="76"/>
    </row>
    <row r="87" spans="1:38" s="23" customFormat="1" ht="14.1" customHeight="1" outlineLevel="2">
      <c r="A87" s="145"/>
      <c r="B87" s="477" t="s">
        <v>757</v>
      </c>
      <c r="F87" s="901"/>
      <c r="G87" s="796"/>
      <c r="H87" s="332"/>
      <c r="I87" s="39"/>
      <c r="AF87" s="361">
        <f>IF(S.Notice.Involved="Y",1,0)</f>
        <v>1</v>
      </c>
      <c r="AG87" s="48"/>
      <c r="AH87" s="47"/>
      <c r="AI87" s="59"/>
      <c r="AJ87" s="345"/>
      <c r="AK87" s="63" t="str">
        <f>"* keeps "&amp;S.Staff.Assistant.DA.ShortName&amp; " informed about risks, progress &amp; potential delays"</f>
        <v>* keeps Uri informed about risks, progress &amp; potential delays</v>
      </c>
      <c r="AL87" s="76"/>
    </row>
    <row r="88" spans="1:38" s="23" customFormat="1" ht="14.1" customHeight="1" outlineLevel="2">
      <c r="A88" s="145"/>
      <c r="B88" s="342" t="s">
        <v>741</v>
      </c>
      <c r="C88" s="97"/>
      <c r="D88" s="183"/>
      <c r="E88" s="183"/>
      <c r="G88" s="350"/>
      <c r="H88" s="350"/>
      <c r="I88" s="745"/>
      <c r="AF88" s="361">
        <v>1</v>
      </c>
      <c r="AG88" s="47"/>
      <c r="AH88" s="47"/>
      <c r="AI88" s="59"/>
      <c r="AJ88" s="43"/>
      <c r="AK88" s="63"/>
      <c r="AL88" s="76"/>
    </row>
    <row r="89" spans="1:38" s="23" customFormat="1" ht="14.1" customHeight="1" outlineLevel="2">
      <c r="A89" s="145"/>
      <c r="B89" s="976" t="s">
        <v>781</v>
      </c>
      <c r="C89" s="97"/>
      <c r="D89" s="183"/>
      <c r="E89" s="183"/>
      <c r="G89" s="350"/>
      <c r="H89" s="350"/>
      <c r="I89" s="745"/>
      <c r="AF89" s="361">
        <v>1</v>
      </c>
      <c r="AG89" s="47"/>
      <c r="AH89" s="47"/>
      <c r="AI89" s="59"/>
      <c r="AJ89" s="43"/>
      <c r="AK89" s="63"/>
      <c r="AL89" s="76"/>
    </row>
    <row r="90" spans="1:38" s="23" customFormat="1" ht="25.5" customHeight="1" outlineLevel="2">
      <c r="A90" s="145"/>
      <c r="B90" s="477" t="s">
        <v>735</v>
      </c>
      <c r="C90" s="97"/>
      <c r="D90" s="183"/>
      <c r="E90" s="183"/>
      <c r="G90" s="350"/>
      <c r="H90" s="350"/>
      <c r="I90" s="745"/>
      <c r="AF90" s="361">
        <v>1</v>
      </c>
      <c r="AG90" s="47"/>
      <c r="AH90" s="47"/>
      <c r="AI90" s="59"/>
      <c r="AJ90" s="43"/>
      <c r="AK90" s="63"/>
      <c r="AL90" s="76"/>
    </row>
    <row r="91" spans="1:38" s="23" customFormat="1" ht="14.1" customHeight="1" outlineLevel="2">
      <c r="A91" s="145"/>
      <c r="B91" s="1010" t="s">
        <v>753</v>
      </c>
      <c r="C91" s="1011"/>
      <c r="D91" s="183"/>
      <c r="E91" s="183"/>
      <c r="G91" s="350"/>
      <c r="H91" s="350"/>
      <c r="I91" s="745"/>
      <c r="AF91" s="361">
        <v>1</v>
      </c>
      <c r="AG91" s="47"/>
      <c r="AH91" s="47"/>
      <c r="AI91" s="59"/>
      <c r="AJ91" s="43"/>
      <c r="AK91" s="63"/>
      <c r="AL91" s="76"/>
    </row>
    <row r="92" spans="1:38" s="23" customFormat="1" ht="25.5" customHeight="1" outlineLevel="2">
      <c r="A92" s="145"/>
      <c r="B92" s="440" t="s">
        <v>736</v>
      </c>
      <c r="C92" s="97"/>
      <c r="D92" s="183"/>
      <c r="E92" s="183"/>
      <c r="G92" s="350"/>
      <c r="H92" s="350"/>
      <c r="I92" s="745"/>
      <c r="AF92" s="361">
        <v>1</v>
      </c>
      <c r="AG92" s="47"/>
      <c r="AH92" s="47"/>
      <c r="AI92" s="59"/>
      <c r="AJ92" s="43"/>
      <c r="AK92" s="63"/>
      <c r="AL92" s="76"/>
    </row>
    <row r="93" spans="1:38" s="23" customFormat="1" ht="14.1" customHeight="1" outlineLevel="2">
      <c r="A93" s="145"/>
      <c r="B93" s="477" t="s">
        <v>742</v>
      </c>
      <c r="C93" s="97"/>
      <c r="D93" s="183"/>
      <c r="E93" s="183"/>
      <c r="G93" s="350"/>
      <c r="H93" s="350"/>
      <c r="I93" s="745"/>
      <c r="AF93" s="361">
        <v>1</v>
      </c>
      <c r="AG93" s="47"/>
      <c r="AH93" s="47"/>
      <c r="AI93" s="59"/>
      <c r="AJ93" s="43"/>
      <c r="AK93" s="63"/>
      <c r="AL93" s="76"/>
    </row>
    <row r="94" spans="1:38" s="23" customFormat="1" ht="14.1" customHeight="1" outlineLevel="2">
      <c r="A94" s="145"/>
      <c r="B94" s="342" t="s">
        <v>737</v>
      </c>
      <c r="F94" s="901"/>
      <c r="G94" s="796"/>
      <c r="H94" s="332"/>
      <c r="I94" s="39"/>
      <c r="AF94" s="361">
        <f>IF(S.Notice.Involved="Y",1,0)</f>
        <v>1</v>
      </c>
      <c r="AG94" s="48"/>
      <c r="AH94" s="47"/>
      <c r="AI94" s="59"/>
      <c r="AJ94" s="345"/>
      <c r="AK94" s="63" t="str">
        <f>"* keeps "&amp;S.Staff.Assistant.DA.ShortName&amp; " informed about risks, progress &amp; potential delays"</f>
        <v>* keeps Uri informed about risks, progress &amp; potential delays</v>
      </c>
      <c r="AL94" s="76"/>
    </row>
    <row r="95" spans="1:38" s="23" customFormat="1" ht="14.1" customHeight="1" outlineLevel="2">
      <c r="A95" s="145"/>
      <c r="B95" s="342" t="s">
        <v>751</v>
      </c>
      <c r="C95" s="97"/>
      <c r="D95" s="183"/>
      <c r="E95" s="183"/>
      <c r="G95" s="350"/>
      <c r="H95" s="350"/>
      <c r="I95" s="745"/>
      <c r="AF95" s="361">
        <v>1</v>
      </c>
      <c r="AG95" s="47"/>
      <c r="AH95" s="47"/>
      <c r="AI95" s="59"/>
      <c r="AJ95" s="43"/>
      <c r="AK95" s="35"/>
      <c r="AL95" s="76"/>
    </row>
    <row r="96" spans="1:38" s="23" customFormat="1" ht="14.1" customHeight="1" outlineLevel="2">
      <c r="A96" s="145"/>
      <c r="B96" s="477" t="s">
        <v>752</v>
      </c>
      <c r="F96" s="901"/>
      <c r="G96" s="796"/>
      <c r="I96" s="39"/>
      <c r="AF96" s="361">
        <f>IF(S.Notice.Involved="Y",1,0)</f>
        <v>1</v>
      </c>
      <c r="AG96" s="48"/>
      <c r="AH96" s="47"/>
      <c r="AI96" s="59"/>
      <c r="AJ96" s="345"/>
      <c r="AK96" s="63" t="str">
        <f>"* briefs core team, "&amp;S.Staff.Assistant.DA.ShortName&amp;" &amp; "&amp;S.Staff.DA.ForProgram.FirstName&amp;" as needed"</f>
        <v>* briefs core team, Uri &amp; DavidL as needed</v>
      </c>
      <c r="AL96" s="76"/>
    </row>
    <row r="97" spans="1:38" s="23" customFormat="1" ht="14.1" customHeight="1" outlineLevel="2">
      <c r="A97" s="145"/>
      <c r="B97" s="359" t="str">
        <f>AK97</f>
        <v>- team &amp; DavidL as needed</v>
      </c>
      <c r="F97" s="901"/>
      <c r="G97" s="796"/>
      <c r="I97" s="39"/>
      <c r="AF97" s="361">
        <f>IF(S.Notice.Involved="Y",1,0)</f>
        <v>1</v>
      </c>
      <c r="AG97" s="48"/>
      <c r="AH97" s="47"/>
      <c r="AI97" s="59"/>
      <c r="AJ97" s="345"/>
      <c r="AK97" s="63" t="str">
        <f>"- team &amp; "&amp;S.Staff.DA.ForRulesGroup.FirstName&amp;" as needed"</f>
        <v>- team &amp; DavidL as needed</v>
      </c>
      <c r="AL97" s="76"/>
    </row>
    <row r="98" spans="1:38" s="23" customFormat="1" ht="14.1" customHeight="1" outlineLevel="2">
      <c r="A98" s="145"/>
      <c r="B98" s="912" t="str">
        <f t="shared" si="2"/>
        <v>Program Support Staff - Brian</v>
      </c>
      <c r="C98" s="97" t="s">
        <v>0</v>
      </c>
      <c r="D98" s="183"/>
      <c r="E98" s="183"/>
      <c r="F98"/>
      <c r="G98" s="350"/>
      <c r="H98" s="350"/>
      <c r="I98" s="745"/>
      <c r="AF98" s="361">
        <v>1</v>
      </c>
      <c r="AG98" s="47"/>
      <c r="AH98" s="47"/>
      <c r="AI98" s="59"/>
      <c r="AJ98" s="43"/>
      <c r="AK98" s="63" t="str">
        <f>"Program Support Staff - "&amp;S.Staff.Support</f>
        <v>Program Support Staff - Brian</v>
      </c>
      <c r="AL98" s="76"/>
    </row>
    <row r="99" spans="1:38" s="23" customFormat="1" ht="14.1" customHeight="1" outlineLevel="2">
      <c r="A99" s="145"/>
      <c r="B99" s="912" t="str">
        <f>AK99</f>
        <v>Assistant DA - Uri</v>
      </c>
      <c r="C99" s="97" t="s">
        <v>0</v>
      </c>
      <c r="D99" s="183"/>
      <c r="E99" s="183"/>
      <c r="F99"/>
      <c r="G99" s="350"/>
      <c r="H99" s="350"/>
      <c r="I99" s="745"/>
      <c r="AF99" s="361">
        <v>1</v>
      </c>
      <c r="AG99" s="47"/>
      <c r="AH99" s="47"/>
      <c r="AI99" s="59"/>
      <c r="AJ99" s="43"/>
      <c r="AK99" s="63" t="str">
        <f>"Assistant DA - "&amp;S.Staff.Assistant.DA.ShortName</f>
        <v>Assistant DA - Uri</v>
      </c>
      <c r="AL99" s="76"/>
    </row>
    <row r="100" spans="1:38" s="23" customFormat="1" ht="14.1" customHeight="1" outlineLevel="2">
      <c r="A100" s="145"/>
      <c r="B100" s="912" t="str">
        <f>AK100</f>
        <v>DA - DavidL</v>
      </c>
      <c r="C100" s="97" t="s">
        <v>0</v>
      </c>
      <c r="D100" s="183"/>
      <c r="E100" s="183"/>
      <c r="F100"/>
      <c r="G100" s="350"/>
      <c r="H100" s="350"/>
      <c r="I100" s="745"/>
      <c r="AF100" s="361">
        <v>1</v>
      </c>
      <c r="AG100" s="47"/>
      <c r="AH100" s="47"/>
      <c r="AI100" s="59"/>
      <c r="AJ100" s="43"/>
      <c r="AK100" s="63" t="str">
        <f>"DA - "&amp;S.Staff.DA.ForProgram.FirstName</f>
        <v>DA - DavidL</v>
      </c>
      <c r="AL100" s="76"/>
    </row>
    <row r="101" spans="1:38" s="23" customFormat="1" ht="6.75" customHeight="1" outlineLevel="1">
      <c r="A101" s="145"/>
      <c r="B101" s="314"/>
      <c r="C101" s="300"/>
      <c r="D101" s="704"/>
      <c r="E101" s="704"/>
      <c r="F101" s="315"/>
      <c r="G101" s="340"/>
      <c r="H101" s="300"/>
      <c r="I101" s="745"/>
      <c r="AF101" s="361" t="s">
        <v>0</v>
      </c>
      <c r="AG101" s="58"/>
      <c r="AH101" s="58"/>
      <c r="AI101" s="48"/>
      <c r="AJ101" s="42"/>
      <c r="AK101" s="34"/>
      <c r="AL101" s="76"/>
    </row>
    <row r="102" spans="1:38" s="23" customFormat="1" ht="20.25" customHeight="1" outlineLevel="1">
      <c r="A102" s="145"/>
      <c r="B102" s="341" t="s">
        <v>731</v>
      </c>
      <c r="D102" s="183"/>
      <c r="E102" s="183"/>
      <c r="F102"/>
      <c r="G102" s="350"/>
      <c r="H102" s="350"/>
      <c r="I102" s="745"/>
      <c r="AF102" s="361">
        <v>1</v>
      </c>
      <c r="AG102" s="47"/>
      <c r="AH102" s="47"/>
      <c r="AI102" s="59" t="s">
        <v>0</v>
      </c>
      <c r="AJ102" s="43"/>
      <c r="AK102" s="58"/>
      <c r="AL102" s="76"/>
    </row>
    <row r="103" spans="1:38" s="23" customFormat="1" ht="14.1" customHeight="1" outlineLevel="2">
      <c r="A103" s="145" t="s">
        <v>0</v>
      </c>
      <c r="B103" s="785" t="s">
        <v>788</v>
      </c>
      <c r="C103" s="545" t="s">
        <v>0</v>
      </c>
      <c r="D103" s="705"/>
      <c r="E103" s="705"/>
      <c r="F103"/>
      <c r="I103" s="745"/>
      <c r="AF103" s="361">
        <f t="shared" ref="AF103:AF114" si="3">IF(S.Notice.Involved="Y",1,0)</f>
        <v>1</v>
      </c>
      <c r="AG103" s="59"/>
      <c r="AH103" s="59"/>
      <c r="AI103" s="59"/>
      <c r="AJ103" s="59"/>
      <c r="AK103" s="58"/>
      <c r="AL103" s="76"/>
    </row>
    <row r="104" spans="1:38" s="23" customFormat="1" ht="14.1" customHeight="1" outlineLevel="2">
      <c r="A104" s="145"/>
      <c r="B104" s="785" t="s">
        <v>643</v>
      </c>
      <c r="C104" s="545"/>
      <c r="D104" s="705"/>
      <c r="E104" s="705"/>
      <c r="F104"/>
      <c r="I104" s="745"/>
      <c r="AF104" s="361">
        <f t="shared" si="3"/>
        <v>1</v>
      </c>
      <c r="AG104" s="59"/>
      <c r="AH104" s="59"/>
      <c r="AI104" s="59"/>
      <c r="AJ104" s="59"/>
      <c r="AK104" s="58"/>
      <c r="AL104" s="76"/>
    </row>
    <row r="105" spans="1:38" s="23" customFormat="1" ht="14.1" customHeight="1" outlineLevel="2">
      <c r="A105" s="145" t="s">
        <v>0</v>
      </c>
      <c r="B105" s="786" t="str">
        <f>AK105</f>
        <v>http://deqsps/programs/rulemaking/aq/ppu/docs/Forms/byCategory.aspx</v>
      </c>
      <c r="C105" s="545" t="s">
        <v>0</v>
      </c>
      <c r="D105" s="705"/>
      <c r="E105" s="705"/>
      <c r="F105"/>
      <c r="I105" s="745"/>
      <c r="AF105" s="361">
        <f t="shared" si="3"/>
        <v>1</v>
      </c>
      <c r="AG105" s="59"/>
      <c r="AH105" s="59"/>
      <c r="AI105" s="59"/>
      <c r="AJ105" s="59"/>
      <c r="AK105" s="73" t="str">
        <f>"http://deqsps/programs/rulemaking/aq/ppu/docs/Forms/byCategory.aspx"</f>
        <v>http://deqsps/programs/rulemaking/aq/ppu/docs/Forms/byCategory.aspx</v>
      </c>
      <c r="AL105" s="76"/>
    </row>
    <row r="106" spans="1:38" s="23" customFormat="1" ht="14.1" customHeight="1" outlineLevel="2">
      <c r="A106" s="145"/>
      <c r="B106" s="785" t="s">
        <v>644</v>
      </c>
      <c r="C106" s="545"/>
      <c r="D106" s="705"/>
      <c r="E106" s="705"/>
      <c r="F106"/>
      <c r="I106" s="745"/>
      <c r="AF106" s="361">
        <f t="shared" si="3"/>
        <v>1</v>
      </c>
      <c r="AG106" s="59"/>
      <c r="AH106" s="59"/>
      <c r="AI106" s="59"/>
      <c r="AJ106" s="59"/>
      <c r="AK106" s="58"/>
      <c r="AL106" s="76"/>
    </row>
    <row r="107" spans="1:38" s="23" customFormat="1" ht="14.1" customHeight="1" outlineLevel="2">
      <c r="A107" s="145" t="s">
        <v>0</v>
      </c>
      <c r="B107" s="786" t="str">
        <f>AK107</f>
        <v>\\deqhq1\Rule_Development\Currrent Plan\AQ-RM-GrantsPassLMP-Brian Finneran\1-Planning</v>
      </c>
      <c r="C107" s="545" t="s">
        <v>0</v>
      </c>
      <c r="D107" s="705"/>
      <c r="E107" s="705"/>
      <c r="F107"/>
      <c r="I107" s="745"/>
      <c r="AF107" s="361">
        <f t="shared" si="3"/>
        <v>1</v>
      </c>
      <c r="AG107" s="59"/>
      <c r="AH107" s="59"/>
      <c r="AI107" s="59"/>
      <c r="AJ107" s="59"/>
      <c r="AK107" s="983" t="s">
        <v>789</v>
      </c>
      <c r="AL107" s="76"/>
    </row>
    <row r="108" spans="1:38" s="23" customFormat="1" ht="14.1" customHeight="1" outlineLevel="2">
      <c r="A108" s="145"/>
      <c r="B108" s="785" t="s">
        <v>640</v>
      </c>
      <c r="C108" s="545"/>
      <c r="D108" s="705"/>
      <c r="E108" s="705"/>
      <c r="F108"/>
      <c r="I108" s="745"/>
      <c r="AF108" s="361">
        <f t="shared" si="3"/>
        <v>1</v>
      </c>
      <c r="AG108" s="59"/>
      <c r="AH108" s="59"/>
      <c r="AI108" s="59"/>
      <c r="AJ108" s="59"/>
      <c r="AK108" s="58"/>
      <c r="AL108" s="76"/>
    </row>
    <row r="109" spans="1:38" s="23" customFormat="1" ht="14.1" customHeight="1" outlineLevel="2">
      <c r="A109" s="145"/>
      <c r="B109" s="450" t="s">
        <v>639</v>
      </c>
      <c r="C109" s="545"/>
      <c r="D109" s="705"/>
      <c r="E109" s="705"/>
      <c r="F109"/>
      <c r="I109" s="745"/>
      <c r="AF109" s="361">
        <f t="shared" si="3"/>
        <v>1</v>
      </c>
      <c r="AG109" s="59"/>
      <c r="AH109" s="59"/>
      <c r="AI109" s="59"/>
      <c r="AJ109" s="59"/>
      <c r="AK109" s="58"/>
      <c r="AL109" s="76"/>
    </row>
    <row r="110" spans="1:38" s="23" customFormat="1" ht="14.1" customHeight="1" outlineLevel="2">
      <c r="A110" s="145" t="s">
        <v>0</v>
      </c>
      <c r="B110" s="786" t="str">
        <f>AK110</f>
        <v>http://www.oregon.gov/deq/RulesandRegulations/Pages/comments/GPLMP.aspx]</v>
      </c>
      <c r="C110" s="545" t="s">
        <v>0</v>
      </c>
      <c r="D110" s="705"/>
      <c r="E110" s="705"/>
      <c r="F110"/>
      <c r="I110" s="745"/>
      <c r="J110"/>
      <c r="K110"/>
      <c r="L110"/>
      <c r="M110"/>
      <c r="N110"/>
      <c r="O110"/>
      <c r="P110"/>
      <c r="Q110"/>
      <c r="R110"/>
      <c r="S110"/>
      <c r="T110"/>
      <c r="U110"/>
      <c r="X110"/>
      <c r="AB110"/>
      <c r="AC110"/>
      <c r="AF110" s="361">
        <f t="shared" si="3"/>
        <v>1</v>
      </c>
      <c r="AG110" s="59"/>
      <c r="AH110" s="59"/>
      <c r="AI110" s="59"/>
      <c r="AJ110" s="59"/>
      <c r="AK110" s="73" t="str">
        <f>"http://www.oregon.gov/deq/RulesandRegulations/Pages/comments/"&amp;S.General.CodeName&amp;".aspx]"</f>
        <v>http://www.oregon.gov/deq/RulesandRegulations/Pages/comments/GPLMP.aspx]</v>
      </c>
      <c r="AL110" s="76"/>
    </row>
    <row r="111" spans="1:38" s="23" customFormat="1" ht="14.1" customHeight="1" outlineLevel="2">
      <c r="A111" s="145"/>
      <c r="B111" s="450" t="s">
        <v>641</v>
      </c>
      <c r="C111" s="545"/>
      <c r="D111" s="705"/>
      <c r="E111" s="705"/>
      <c r="F111"/>
      <c r="I111" s="745"/>
      <c r="AF111" s="361">
        <f t="shared" si="3"/>
        <v>1</v>
      </c>
      <c r="AG111" s="59"/>
      <c r="AH111" s="59"/>
      <c r="AI111" s="59"/>
      <c r="AJ111" s="59"/>
      <c r="AK111" s="58"/>
      <c r="AL111" s="76"/>
    </row>
    <row r="112" spans="1:38" s="23" customFormat="1" ht="14.1" customHeight="1" outlineLevel="2">
      <c r="A112" s="145" t="s">
        <v>0</v>
      </c>
      <c r="B112" s="786" t="str">
        <f>AK112</f>
        <v xml:space="preserve">http://www.oregon.gov/deq/RulesandRegulations/Pages/2014/GPLMP.aspx </v>
      </c>
      <c r="C112" s="545" t="s">
        <v>0</v>
      </c>
      <c r="D112" s="705"/>
      <c r="E112" s="705"/>
      <c r="F112"/>
      <c r="I112" s="745"/>
      <c r="AF112" s="361">
        <f t="shared" si="3"/>
        <v>1</v>
      </c>
      <c r="AG112" s="59"/>
      <c r="AH112" s="59"/>
      <c r="AI112" s="59"/>
      <c r="AJ112" s="59"/>
      <c r="AK112" s="73" t="str">
        <f>"http://www.oregon.gov/deq/RulesandRegulations/Pages/2014/"&amp;S.General.CodeName&amp;".aspx "</f>
        <v xml:space="preserve">http://www.oregon.gov/deq/RulesandRegulations/Pages/2014/GPLMP.aspx </v>
      </c>
      <c r="AL112" s="76"/>
    </row>
    <row r="113" spans="1:38" s="23" customFormat="1" ht="14.1" customHeight="1" outlineLevel="2">
      <c r="A113" s="145"/>
      <c r="B113" s="450" t="s">
        <v>642</v>
      </c>
      <c r="C113" s="545"/>
      <c r="D113" s="705"/>
      <c r="E113" s="705"/>
      <c r="F113"/>
      <c r="I113" s="745"/>
      <c r="AF113" s="361">
        <f t="shared" si="3"/>
        <v>1</v>
      </c>
      <c r="AG113" s="59"/>
      <c r="AH113" s="59"/>
      <c r="AI113" s="59"/>
      <c r="AJ113" s="59"/>
      <c r="AK113" s="58"/>
      <c r="AL113" s="76"/>
    </row>
    <row r="114" spans="1:38" s="23" customFormat="1" ht="14.1" customHeight="1" outlineLevel="2">
      <c r="A114" s="145" t="s">
        <v>0</v>
      </c>
      <c r="B114" s="786" t="str">
        <f>AK114</f>
        <v>Comment-GPLMP@deq.state.or.us</v>
      </c>
      <c r="C114" s="545" t="s">
        <v>0</v>
      </c>
      <c r="D114" s="705"/>
      <c r="E114" s="705"/>
      <c r="F114"/>
      <c r="I114" s="745"/>
      <c r="AF114" s="361">
        <f t="shared" si="3"/>
        <v>1</v>
      </c>
      <c r="AG114" s="59"/>
      <c r="AH114" s="59"/>
      <c r="AI114" s="59"/>
      <c r="AJ114" s="59"/>
      <c r="AK114" s="73" t="str">
        <f>"Comment-"&amp;S.General.CodeName&amp;"@deq.state.or.us"</f>
        <v>Comment-GPLMP@deq.state.or.us</v>
      </c>
      <c r="AL114" s="76"/>
    </row>
    <row r="115" spans="1:38" s="23" customFormat="1" ht="6" customHeight="1" outlineLevel="1">
      <c r="A115" s="145"/>
      <c r="B115" s="204"/>
      <c r="C115" s="97"/>
      <c r="D115" s="183"/>
      <c r="E115" s="183"/>
      <c r="G115" s="350"/>
      <c r="H115" s="350"/>
      <c r="I115" s="745"/>
      <c r="AF115" s="361">
        <v>1</v>
      </c>
      <c r="AG115" s="47"/>
      <c r="AH115" s="47"/>
      <c r="AI115" s="59"/>
      <c r="AJ115" s="43"/>
      <c r="AK115" s="63"/>
      <c r="AL115" s="76"/>
    </row>
    <row r="116" spans="1:38" s="172" customFormat="1" ht="18" customHeight="1" outlineLevel="1">
      <c r="A116" s="389"/>
      <c r="B116" s="523" t="s">
        <v>115</v>
      </c>
      <c r="C116" s="510" t="str">
        <f>HYPERLINK("\\deqhq1\Rule_Resources\i\1-DevlopingConceptToAddToPlan.pdf","i")</f>
        <v>i</v>
      </c>
      <c r="D116" s="183"/>
      <c r="E116" s="183"/>
      <c r="F116"/>
      <c r="G116" s="727"/>
      <c r="H116" s="727"/>
      <c r="I116" s="930"/>
      <c r="AF116" s="390">
        <v>1</v>
      </c>
      <c r="AG116" s="47"/>
      <c r="AH116" s="47"/>
      <c r="AI116" s="391" t="s">
        <v>0</v>
      </c>
      <c r="AJ116" s="34"/>
      <c r="AK116" s="58"/>
      <c r="AL116" s="76"/>
    </row>
    <row r="117" spans="1:38" s="23" customFormat="1" ht="14.1" hidden="1" customHeight="1" outlineLevel="2">
      <c r="A117" s="145"/>
      <c r="B117" s="267" t="str">
        <f t="shared" ref="B117:B122" si="4">AK117</f>
        <v>DavidC discusses developing concept for DEQ Rulemaking Plan with Uri</v>
      </c>
      <c r="C117" s="97" t="s">
        <v>0</v>
      </c>
      <c r="D117" s="200" t="s">
        <v>696</v>
      </c>
      <c r="E117" s="877"/>
      <c r="F117"/>
      <c r="G117" s="134"/>
      <c r="H117" s="349">
        <f>AH117</f>
        <v>41792</v>
      </c>
      <c r="I117" s="745"/>
      <c r="AF117" s="361">
        <v>1</v>
      </c>
      <c r="AG117" s="47"/>
      <c r="AH117" s="60">
        <f>S.DIRECTOR.Approves.ForDEQRulemakingPlan</f>
        <v>41792</v>
      </c>
      <c r="AI117" s="59" t="s">
        <v>0</v>
      </c>
      <c r="AJ117" s="43"/>
      <c r="AK117" s="63" t="str">
        <f>S.Staff.Program.Mgr.FirstName&amp;" discusses developing concept for DEQ Rulemaking Plan with "&amp;S.Staff.Assistant.DA.ShortName</f>
        <v>DavidC discusses developing concept for DEQ Rulemaking Plan with Uri</v>
      </c>
      <c r="AL117" s="76"/>
    </row>
    <row r="118" spans="1:38" s="23" customFormat="1" ht="14.1" hidden="1" customHeight="1" outlineLevel="2">
      <c r="A118" s="145"/>
      <c r="B118" s="208" t="str">
        <f t="shared" si="4"/>
        <v>Uri approves concept development work</v>
      </c>
      <c r="C118" s="97" t="s">
        <v>0</v>
      </c>
      <c r="D118" s="200" t="s">
        <v>48</v>
      </c>
      <c r="E118" s="877"/>
      <c r="F118"/>
      <c r="G118" s="134"/>
      <c r="H118" s="349">
        <f>AH118</f>
        <v>41792</v>
      </c>
      <c r="I118" s="745"/>
      <c r="J118"/>
      <c r="K118"/>
      <c r="L118"/>
      <c r="M118"/>
      <c r="N118"/>
      <c r="O118"/>
      <c r="P118"/>
      <c r="Q118"/>
      <c r="R118"/>
      <c r="S118"/>
      <c r="T118"/>
      <c r="U118"/>
      <c r="X118"/>
      <c r="AB118"/>
      <c r="AC118"/>
      <c r="AF118" s="361">
        <v>1</v>
      </c>
      <c r="AG118" s="47"/>
      <c r="AH118" s="60">
        <f>S.DIRECTOR.Approves.ForDEQRulemakingPlan</f>
        <v>41792</v>
      </c>
      <c r="AI118" s="59" t="s">
        <v>0</v>
      </c>
      <c r="AJ118" s="43"/>
      <c r="AK118" s="63" t="str">
        <f>S.Staff.Assistant.DA.ShortName&amp;" approves concept development work"</f>
        <v>Uri approves concept development work</v>
      </c>
      <c r="AL118" s="76"/>
    </row>
    <row r="119" spans="1:38" s="23" customFormat="1" ht="14.1" hidden="1" customHeight="1" outlineLevel="2">
      <c r="A119" s="145"/>
      <c r="B119" s="267" t="str">
        <f t="shared" si="4"/>
        <v>DavidC</v>
      </c>
      <c r="C119" s="97" t="s">
        <v>0</v>
      </c>
      <c r="D119" s="183"/>
      <c r="E119" s="183"/>
      <c r="F119"/>
      <c r="G119" s="350"/>
      <c r="H119" s="350"/>
      <c r="I119" s="745"/>
      <c r="J119"/>
      <c r="K119"/>
      <c r="L119"/>
      <c r="M119"/>
      <c r="N119"/>
      <c r="O119"/>
      <c r="P119"/>
      <c r="Q119"/>
      <c r="R119"/>
      <c r="S119"/>
      <c r="T119"/>
      <c r="U119"/>
      <c r="X119"/>
      <c r="AB119"/>
      <c r="AC119"/>
      <c r="AF119" s="361">
        <v>1</v>
      </c>
      <c r="AG119" s="47"/>
      <c r="AH119" s="47"/>
      <c r="AI119" s="59"/>
      <c r="AJ119" s="43"/>
      <c r="AK119" s="63" t="str">
        <f>S.Staff.Program.Mgr.FirstName</f>
        <v>DavidC</v>
      </c>
      <c r="AL119" s="76"/>
    </row>
    <row r="120" spans="1:38" s="23" customFormat="1" ht="14.1" hidden="1" customHeight="1" outlineLevel="2">
      <c r="A120" s="145"/>
      <c r="B120" s="269" t="str">
        <f t="shared" si="4"/>
        <v>* assigns subject expert for the rulemaking</v>
      </c>
      <c r="C120" s="195" t="s">
        <v>0</v>
      </c>
      <c r="D120" s="200" t="s">
        <v>48</v>
      </c>
      <c r="E120" s="877"/>
      <c r="F120"/>
      <c r="G120" s="350"/>
      <c r="H120" s="190">
        <f>AH120</f>
        <v>41792</v>
      </c>
      <c r="I120" s="745"/>
      <c r="J120"/>
      <c r="K120"/>
      <c r="L120"/>
      <c r="M120"/>
      <c r="N120"/>
      <c r="O120"/>
      <c r="P120"/>
      <c r="Q120"/>
      <c r="R120"/>
      <c r="S120"/>
      <c r="T120"/>
      <c r="U120"/>
      <c r="X120"/>
      <c r="AB120"/>
      <c r="AC120"/>
      <c r="AF120" s="361">
        <v>1</v>
      </c>
      <c r="AG120" s="47"/>
      <c r="AH120" s="60">
        <f>H118</f>
        <v>41792</v>
      </c>
      <c r="AI120" s="59"/>
      <c r="AJ120" s="43"/>
      <c r="AK120" s="63" t="str">
        <f>"* assigns subject expert for the rulemaking"</f>
        <v>* assigns subject expert for the rulemaking</v>
      </c>
      <c r="AL120" s="76"/>
    </row>
    <row r="121" spans="1:38" s="23" customFormat="1" ht="14.1" hidden="1" customHeight="1" outlineLevel="2">
      <c r="A121" s="145"/>
      <c r="B121" s="342" t="str">
        <f t="shared" si="4"/>
        <v>(reminder - add work to workplans as needed)</v>
      </c>
      <c r="C121" s="195" t="s">
        <v>0</v>
      </c>
      <c r="D121" s="183" t="s">
        <v>0</v>
      </c>
      <c r="E121" s="183"/>
      <c r="F121"/>
      <c r="G121" s="350"/>
      <c r="H121" s="350"/>
      <c r="I121" s="745"/>
      <c r="J121"/>
      <c r="K121"/>
      <c r="L121"/>
      <c r="M121"/>
      <c r="N121"/>
      <c r="O121"/>
      <c r="P121"/>
      <c r="Q121"/>
      <c r="R121"/>
      <c r="S121"/>
      <c r="T121"/>
      <c r="U121"/>
      <c r="X121"/>
      <c r="AB121"/>
      <c r="AC121"/>
      <c r="AF121" s="361">
        <v>1</v>
      </c>
      <c r="AG121" s="47"/>
      <c r="AH121" s="47"/>
      <c r="AI121" s="59"/>
      <c r="AJ121" s="43"/>
      <c r="AK121" s="63" t="str">
        <f>"(reminder - add work to workplans as needed)"</f>
        <v>(reminder - add work to workplans as needed)</v>
      </c>
      <c r="AL121" s="76"/>
    </row>
    <row r="122" spans="1:38" s="23" customFormat="1" ht="14.1" hidden="1" customHeight="1" outlineLevel="2">
      <c r="A122" s="145"/>
      <c r="B122" s="269" t="str">
        <f t="shared" si="4"/>
        <v>* identify existing Q-Time number for concept development work</v>
      </c>
      <c r="C122" s="195" t="s">
        <v>0</v>
      </c>
      <c r="D122" s="200" t="s">
        <v>48</v>
      </c>
      <c r="E122" s="877"/>
      <c r="F122"/>
      <c r="G122" s="350"/>
      <c r="H122" s="190">
        <f>AH122</f>
        <v>41792</v>
      </c>
      <c r="I122" s="745"/>
      <c r="AF122" s="361">
        <v>1</v>
      </c>
      <c r="AG122" s="47"/>
      <c r="AH122" s="60">
        <f>H118</f>
        <v>41792</v>
      </c>
      <c r="AI122" s="59"/>
      <c r="AJ122" s="43"/>
      <c r="AK122" s="63" t="str">
        <f>"* identify existing Q-Time number for concept development work"</f>
        <v>* identify existing Q-Time number for concept development work</v>
      </c>
      <c r="AL122" s="76"/>
    </row>
    <row r="123" spans="1:38" s="23" customFormat="1" ht="14.1" hidden="1" customHeight="1" outlineLevel="2">
      <c r="A123" s="145"/>
      <c r="B123" s="342" t="s">
        <v>538</v>
      </c>
      <c r="C123" s="195" t="s">
        <v>0</v>
      </c>
      <c r="D123" s="183"/>
      <c r="E123" s="183"/>
      <c r="F123"/>
      <c r="G123" s="351"/>
      <c r="H123" s="351"/>
      <c r="I123" s="745"/>
      <c r="J123"/>
      <c r="K123"/>
      <c r="L123"/>
      <c r="M123"/>
      <c r="N123"/>
      <c r="O123"/>
      <c r="P123"/>
      <c r="Q123"/>
      <c r="R123"/>
      <c r="S123"/>
      <c r="T123"/>
      <c r="U123"/>
      <c r="X123"/>
      <c r="AB123"/>
      <c r="AC123"/>
      <c r="AF123" s="361">
        <v>1</v>
      </c>
      <c r="AG123" s="47"/>
      <c r="AH123" s="59"/>
      <c r="AI123" s="59"/>
      <c r="AJ123" s="43"/>
      <c r="AK123" s="63" t="str">
        <f>"* identify existing Q-Time number for concept development work"</f>
        <v>* identify existing Q-Time number for concept development work</v>
      </c>
      <c r="AL123" s="76"/>
    </row>
    <row r="124" spans="1:38" s="23" customFormat="1" ht="14.1" hidden="1" customHeight="1" outlineLevel="2">
      <c r="A124" s="145"/>
      <c r="B124" s="267" t="str">
        <f>AK124</f>
        <v>Maggie</v>
      </c>
      <c r="C124" s="195" t="s">
        <v>0</v>
      </c>
      <c r="D124" s="183"/>
      <c r="E124" s="183"/>
      <c r="F124"/>
      <c r="G124" s="351"/>
      <c r="H124" s="351"/>
      <c r="I124" s="745"/>
      <c r="J124"/>
      <c r="K124"/>
      <c r="L124"/>
      <c r="M124"/>
      <c r="N124"/>
      <c r="O124"/>
      <c r="P124"/>
      <c r="Q124"/>
      <c r="R124"/>
      <c r="S124"/>
      <c r="T124"/>
      <c r="U124"/>
      <c r="X124"/>
      <c r="AB124"/>
      <c r="AC124"/>
      <c r="AF124" s="361">
        <v>1</v>
      </c>
      <c r="AG124" s="47"/>
      <c r="AH124" s="47"/>
      <c r="AI124" s="59"/>
      <c r="AJ124" s="43"/>
      <c r="AK124" s="63" t="str">
        <f>S.Staff.AgencyRulesCoordinator</f>
        <v>Maggie</v>
      </c>
      <c r="AL124" s="76"/>
    </row>
    <row r="125" spans="1:38" s="23" customFormat="1" ht="14.1" hidden="1" customHeight="1" outlineLevel="2">
      <c r="A125" s="145"/>
      <c r="B125" s="267" t="s">
        <v>727</v>
      </c>
      <c r="C125" s="195" t="s">
        <v>0</v>
      </c>
      <c r="D125" s="200" t="s">
        <v>48</v>
      </c>
      <c r="E125" s="877"/>
      <c r="F125"/>
      <c r="G125" s="351"/>
      <c r="H125" s="190">
        <f>AH125</f>
        <v>41792</v>
      </c>
      <c r="I125" s="745"/>
      <c r="J125"/>
      <c r="K125"/>
      <c r="L125"/>
      <c r="M125"/>
      <c r="N125"/>
      <c r="O125"/>
      <c r="P125"/>
      <c r="Q125"/>
      <c r="R125"/>
      <c r="S125"/>
      <c r="T125"/>
      <c r="U125"/>
      <c r="X125"/>
      <c r="AB125"/>
      <c r="AC125"/>
      <c r="AF125" s="361">
        <v>1</v>
      </c>
      <c r="AG125" s="47"/>
      <c r="AH125" s="60">
        <f>H118</f>
        <v>41792</v>
      </c>
      <c r="AI125" s="59"/>
      <c r="AJ125" s="43"/>
      <c r="AK125" s="34" t="s">
        <v>0</v>
      </c>
      <c r="AL125" s="76"/>
    </row>
    <row r="126" spans="1:38" s="23" customFormat="1" ht="14.1" hidden="1" customHeight="1" outlineLevel="2">
      <c r="A126" s="145"/>
      <c r="B126" s="269" t="s">
        <v>536</v>
      </c>
      <c r="C126" s="510" t="str">
        <f>HYPERLINK("\\deqhq1\Rule_Development\Currrent Plan\AQ-CFP.P2-Cory Ann Wind","i")</f>
        <v>i</v>
      </c>
      <c r="D126" s="194" t="s">
        <v>48</v>
      </c>
      <c r="E126" s="877"/>
      <c r="F126"/>
      <c r="G126"/>
      <c r="H126"/>
      <c r="I126" s="745"/>
      <c r="J126"/>
      <c r="K126"/>
      <c r="L126"/>
      <c r="M126"/>
      <c r="N126"/>
      <c r="O126"/>
      <c r="P126"/>
      <c r="Q126"/>
      <c r="R126"/>
      <c r="S126"/>
      <c r="T126"/>
      <c r="U126"/>
      <c r="X126"/>
      <c r="AB126"/>
      <c r="AC126"/>
      <c r="AF126" s="361">
        <v>1</v>
      </c>
      <c r="AG126" s="59"/>
      <c r="AH126" s="59"/>
      <c r="AI126" s="59"/>
      <c r="AJ126" s="43"/>
      <c r="AK126" s="34" t="s">
        <v>0</v>
      </c>
      <c r="AL126" s="76"/>
    </row>
    <row r="127" spans="1:38" s="23" customFormat="1" ht="14.1" hidden="1" customHeight="1" outlineLevel="2">
      <c r="A127" s="145"/>
      <c r="B127" s="269" t="s">
        <v>537</v>
      </c>
      <c r="C127" s="911" t="s">
        <v>734</v>
      </c>
      <c r="D127" s="194" t="s">
        <v>48</v>
      </c>
      <c r="E127" s="877"/>
      <c r="F127"/>
      <c r="I127" s="745"/>
      <c r="AF127" s="361">
        <v>1</v>
      </c>
      <c r="AG127" s="59"/>
      <c r="AH127" s="59"/>
      <c r="AI127" s="59"/>
      <c r="AJ127" s="43"/>
      <c r="AK127" s="34" t="s">
        <v>0</v>
      </c>
      <c r="AL127" s="76"/>
    </row>
    <row r="128" spans="1:38" s="23" customFormat="1" ht="14.1" hidden="1" customHeight="1" outlineLevel="2">
      <c r="A128" s="145"/>
      <c r="B128" s="318" t="s">
        <v>486</v>
      </c>
      <c r="C128" s="195" t="s">
        <v>0</v>
      </c>
      <c r="D128" s="194" t="s">
        <v>48</v>
      </c>
      <c r="E128" s="877"/>
      <c r="F128"/>
      <c r="H128"/>
      <c r="I128" s="745"/>
      <c r="J128"/>
      <c r="K128"/>
      <c r="L128"/>
      <c r="M128"/>
      <c r="N128"/>
      <c r="O128"/>
      <c r="P128"/>
      <c r="Q128"/>
      <c r="R128"/>
      <c r="S128"/>
      <c r="T128"/>
      <c r="U128"/>
      <c r="X128"/>
      <c r="AB128"/>
      <c r="AC128"/>
      <c r="AF128" s="361">
        <v>1</v>
      </c>
      <c r="AG128" s="59"/>
      <c r="AH128" s="59"/>
      <c r="AI128" s="59"/>
      <c r="AJ128" s="43"/>
      <c r="AK128" s="34" t="s">
        <v>0</v>
      </c>
      <c r="AL128" s="76"/>
    </row>
    <row r="129" spans="1:51" ht="14.1" hidden="1" customHeight="1" outlineLevel="2">
      <c r="A129" s="145"/>
      <c r="B129" s="303" t="str">
        <f>AK129</f>
        <v>DavidC &amp; Brian participates in work session. Topics include:</v>
      </c>
      <c r="C129" s="537" t="s">
        <v>0</v>
      </c>
      <c r="D129" s="571" t="s">
        <v>48</v>
      </c>
      <c r="E129" s="878"/>
      <c r="F129"/>
      <c r="G129" s="535"/>
      <c r="H129" s="536">
        <f>AH129</f>
        <v>41792</v>
      </c>
      <c r="I129" s="745"/>
      <c r="AF129" s="361">
        <v>1</v>
      </c>
      <c r="AG129" s="48"/>
      <c r="AH129" s="60">
        <f>H125</f>
        <v>41792</v>
      </c>
      <c r="AI129" s="59"/>
      <c r="AJ129" s="43"/>
      <c r="AK129" s="63" t="str">
        <f>S.Staff.Program.Mgr.FirstName&amp;" &amp; "&amp;S.Staff.Subject.Expert.FirstName&amp;" participates in work session. Topics include:"</f>
        <v>DavidC &amp; Brian participates in work session. Topics include:</v>
      </c>
      <c r="AL129" s="76"/>
      <c r="AM129"/>
    </row>
    <row r="130" spans="1:51" s="23" customFormat="1" ht="14.1" hidden="1" customHeight="1" outlineLevel="2">
      <c r="A130" s="145" t="s">
        <v>0</v>
      </c>
      <c r="B130" s="420" t="s">
        <v>539</v>
      </c>
      <c r="C130" s="135"/>
      <c r="F130"/>
      <c r="G130" s="135"/>
      <c r="H130" s="135"/>
      <c r="I130" s="745"/>
      <c r="AF130" s="361">
        <v>1</v>
      </c>
      <c r="AG130" s="58"/>
      <c r="AH130" s="58"/>
      <c r="AI130" s="58"/>
      <c r="AJ130" s="43"/>
      <c r="AK130" s="34"/>
      <c r="AL130" s="76"/>
    </row>
    <row r="131" spans="1:51" s="23" customFormat="1" ht="14.1" hidden="1" customHeight="1" outlineLevel="2">
      <c r="A131" s="145"/>
      <c r="B131" s="420" t="s">
        <v>540</v>
      </c>
      <c r="C131" s="135"/>
      <c r="D131"/>
      <c r="F131"/>
      <c r="G131" s="135"/>
      <c r="H131" s="135"/>
      <c r="I131" s="745"/>
      <c r="J131"/>
      <c r="K131"/>
      <c r="L131"/>
      <c r="M131"/>
      <c r="N131"/>
      <c r="O131"/>
      <c r="P131"/>
      <c r="Q131"/>
      <c r="R131"/>
      <c r="S131"/>
      <c r="T131"/>
      <c r="U131"/>
      <c r="X131"/>
      <c r="AB131"/>
      <c r="AC131"/>
      <c r="AF131" s="361">
        <v>1</v>
      </c>
      <c r="AG131" s="58"/>
      <c r="AH131" s="58"/>
      <c r="AI131" s="58"/>
      <c r="AJ131" s="43"/>
      <c r="AK131" s="34"/>
      <c r="AL131" s="76"/>
      <c r="AN131"/>
      <c r="AO131"/>
      <c r="AP131"/>
      <c r="AQ131"/>
      <c r="AR131"/>
      <c r="AS131"/>
      <c r="AT131"/>
      <c r="AU131"/>
      <c r="AV131"/>
      <c r="AW131"/>
      <c r="AX131"/>
      <c r="AY131"/>
    </row>
    <row r="132" spans="1:51" s="23" customFormat="1" ht="14.1" hidden="1" customHeight="1" outlineLevel="2">
      <c r="A132" s="145"/>
      <c r="B132" s="728" t="s">
        <v>541</v>
      </c>
      <c r="C132" s="136"/>
      <c r="D132"/>
      <c r="F132"/>
      <c r="G132" s="137"/>
      <c r="H132" s="138"/>
      <c r="I132" s="745"/>
      <c r="J132"/>
      <c r="K132"/>
      <c r="L132"/>
      <c r="M132"/>
      <c r="N132"/>
      <c r="O132"/>
      <c r="P132"/>
      <c r="Q132"/>
      <c r="R132"/>
      <c r="S132"/>
      <c r="T132"/>
      <c r="U132"/>
      <c r="X132"/>
      <c r="AB132"/>
      <c r="AC132"/>
      <c r="AF132" s="361">
        <v>1</v>
      </c>
      <c r="AG132" s="58"/>
      <c r="AH132" s="58"/>
      <c r="AI132" s="58"/>
      <c r="AJ132" s="43"/>
      <c r="AK132" s="34"/>
      <c r="AL132" s="76"/>
      <c r="AN132"/>
      <c r="AO132"/>
      <c r="AP132"/>
      <c r="AQ132"/>
      <c r="AR132"/>
      <c r="AS132"/>
      <c r="AT132"/>
      <c r="AU132"/>
      <c r="AV132"/>
      <c r="AW132"/>
      <c r="AX132"/>
      <c r="AY132"/>
    </row>
    <row r="133" spans="1:51" s="23" customFormat="1" ht="14.1" hidden="1" customHeight="1" outlineLevel="2">
      <c r="A133" s="145"/>
      <c r="B133" s="728" t="s">
        <v>543</v>
      </c>
      <c r="C133" s="510" t="str">
        <f>HYPERLINK("http://deqsps/programs/rulemaking/default.aspx","i")</f>
        <v>i</v>
      </c>
      <c r="D133"/>
      <c r="F133"/>
      <c r="G133" s="137"/>
      <c r="H133" s="138"/>
      <c r="I133" s="745"/>
      <c r="J133"/>
      <c r="K133"/>
      <c r="L133"/>
      <c r="M133"/>
      <c r="N133"/>
      <c r="O133"/>
      <c r="P133"/>
      <c r="Q133"/>
      <c r="R133"/>
      <c r="S133"/>
      <c r="T133"/>
      <c r="U133"/>
      <c r="X133"/>
      <c r="AB133"/>
      <c r="AC133"/>
      <c r="AF133" s="361">
        <v>1</v>
      </c>
      <c r="AG133" s="58"/>
      <c r="AH133" s="58"/>
      <c r="AI133" s="58"/>
      <c r="AJ133" s="43"/>
      <c r="AK133" s="34"/>
      <c r="AL133" s="76"/>
      <c r="AN133"/>
      <c r="AO133"/>
      <c r="AP133"/>
      <c r="AQ133"/>
      <c r="AR133"/>
      <c r="AS133"/>
      <c r="AT133"/>
      <c r="AU133"/>
      <c r="AV133"/>
      <c r="AW133"/>
      <c r="AX133"/>
      <c r="AY133"/>
    </row>
    <row r="134" spans="1:51" s="23" customFormat="1" ht="14.1" hidden="1" customHeight="1" outlineLevel="2">
      <c r="A134" s="145"/>
      <c r="B134" s="728" t="s">
        <v>542</v>
      </c>
      <c r="C134" s="510" t="str">
        <f>HYPERLINK("\\deqhq1\Rule_Development","i")</f>
        <v>i</v>
      </c>
      <c r="D134"/>
      <c r="F134"/>
      <c r="G134" s="137"/>
      <c r="H134" s="138"/>
      <c r="I134" s="745"/>
      <c r="J134"/>
      <c r="K134"/>
      <c r="L134"/>
      <c r="M134"/>
      <c r="N134"/>
      <c r="O134"/>
      <c r="P134"/>
      <c r="Q134"/>
      <c r="R134"/>
      <c r="S134"/>
      <c r="T134"/>
      <c r="U134"/>
      <c r="X134"/>
      <c r="AB134"/>
      <c r="AC134"/>
      <c r="AF134" s="361">
        <v>1</v>
      </c>
      <c r="AG134" s="58"/>
      <c r="AH134" s="58"/>
      <c r="AI134" s="58"/>
      <c r="AJ134" s="43"/>
      <c r="AK134" s="34"/>
      <c r="AL134" s="76"/>
      <c r="AN134"/>
      <c r="AO134"/>
      <c r="AP134"/>
      <c r="AQ134"/>
      <c r="AR134"/>
      <c r="AS134"/>
      <c r="AT134"/>
      <c r="AU134"/>
      <c r="AV134"/>
      <c r="AW134"/>
      <c r="AX134"/>
      <c r="AY134"/>
    </row>
    <row r="135" spans="1:51" s="23" customFormat="1" ht="14.1" hidden="1" customHeight="1" outlineLevel="2">
      <c r="A135" s="145"/>
      <c r="B135" s="420" t="s">
        <v>544</v>
      </c>
      <c r="C135" s="87"/>
      <c r="D135"/>
      <c r="F135"/>
      <c r="G135" s="137"/>
      <c r="H135" s="138"/>
      <c r="I135" s="745"/>
      <c r="J135"/>
      <c r="K135"/>
      <c r="L135"/>
      <c r="M135"/>
      <c r="N135"/>
      <c r="O135"/>
      <c r="P135"/>
      <c r="Q135"/>
      <c r="R135"/>
      <c r="S135"/>
      <c r="T135"/>
      <c r="U135"/>
      <c r="X135"/>
      <c r="AB135"/>
      <c r="AC135"/>
      <c r="AF135" s="361">
        <v>1</v>
      </c>
      <c r="AG135" s="58"/>
      <c r="AH135" s="58"/>
      <c r="AI135" s="58"/>
      <c r="AJ135" s="43"/>
      <c r="AK135" s="34"/>
      <c r="AL135" s="76"/>
    </row>
    <row r="136" spans="1:51" s="23" customFormat="1" ht="14.1" hidden="1" customHeight="1" outlineLevel="2">
      <c r="A136" s="145"/>
      <c r="B136" s="421" t="s">
        <v>545</v>
      </c>
      <c r="C136" s="510" t="str">
        <f>HYPERLINK("http://www.oregon.gov/deq/RulesandRegulations/Pages/default.aspx","i")</f>
        <v>i</v>
      </c>
      <c r="D136"/>
      <c r="F136"/>
      <c r="G136" s="137"/>
      <c r="H136" s="138"/>
      <c r="I136" s="745"/>
      <c r="J136"/>
      <c r="K136"/>
      <c r="L136"/>
      <c r="M136"/>
      <c r="N136"/>
      <c r="O136"/>
      <c r="P136"/>
      <c r="Q136"/>
      <c r="R136"/>
      <c r="S136"/>
      <c r="T136"/>
      <c r="U136"/>
      <c r="X136"/>
      <c r="AB136"/>
      <c r="AC136"/>
      <c r="AF136" s="361">
        <v>1</v>
      </c>
      <c r="AG136" s="58"/>
      <c r="AH136" s="58"/>
      <c r="AI136" s="58"/>
      <c r="AJ136" s="43"/>
      <c r="AK136" s="34"/>
      <c r="AL136" s="76"/>
      <c r="AN136"/>
      <c r="AO136"/>
      <c r="AP136"/>
      <c r="AQ136"/>
      <c r="AR136"/>
      <c r="AS136"/>
      <c r="AT136"/>
      <c r="AU136"/>
      <c r="AV136"/>
      <c r="AW136"/>
      <c r="AX136"/>
      <c r="AY136"/>
    </row>
    <row r="137" spans="1:51" s="23" customFormat="1" ht="14.1" hidden="1" customHeight="1" outlineLevel="2">
      <c r="A137" s="145"/>
      <c r="B137" s="421" t="s">
        <v>107</v>
      </c>
      <c r="C137" s="87" t="s">
        <v>0</v>
      </c>
      <c r="D137"/>
      <c r="F137"/>
      <c r="G137" s="137"/>
      <c r="H137" s="138"/>
      <c r="I137" s="745"/>
      <c r="J137"/>
      <c r="K137"/>
      <c r="L137"/>
      <c r="M137"/>
      <c r="N137"/>
      <c r="O137"/>
      <c r="P137"/>
      <c r="Q137"/>
      <c r="R137"/>
      <c r="S137"/>
      <c r="T137"/>
      <c r="U137"/>
      <c r="X137"/>
      <c r="AB137"/>
      <c r="AC137"/>
      <c r="AF137" s="361">
        <f>IF(S.Notice.Involved="Y",1,0)</f>
        <v>1</v>
      </c>
      <c r="AG137" s="58"/>
      <c r="AH137" s="58"/>
      <c r="AI137" s="58"/>
      <c r="AJ137" s="43"/>
      <c r="AK137" s="34"/>
      <c r="AL137" s="76"/>
      <c r="AN137"/>
      <c r="AO137"/>
      <c r="AP137"/>
      <c r="AQ137"/>
      <c r="AR137"/>
      <c r="AS137"/>
      <c r="AT137"/>
      <c r="AU137"/>
      <c r="AV137"/>
      <c r="AW137"/>
      <c r="AX137"/>
      <c r="AY137"/>
    </row>
    <row r="138" spans="1:51" s="23" customFormat="1" ht="14.1" hidden="1" customHeight="1" outlineLevel="2">
      <c r="A138" s="145"/>
      <c r="B138" s="421" t="s">
        <v>108</v>
      </c>
      <c r="C138" s="88"/>
      <c r="D138"/>
      <c r="F138"/>
      <c r="G138" s="135"/>
      <c r="H138" s="135"/>
      <c r="I138" s="745"/>
      <c r="J138"/>
      <c r="K138"/>
      <c r="L138"/>
      <c r="M138"/>
      <c r="N138"/>
      <c r="O138"/>
      <c r="P138"/>
      <c r="Q138"/>
      <c r="R138"/>
      <c r="S138"/>
      <c r="T138"/>
      <c r="U138"/>
      <c r="X138"/>
      <c r="AB138"/>
      <c r="AC138"/>
      <c r="AF138" s="361">
        <v>1</v>
      </c>
      <c r="AG138" s="58"/>
      <c r="AH138" s="58"/>
      <c r="AI138" s="58"/>
      <c r="AJ138" s="43"/>
      <c r="AK138" s="34"/>
      <c r="AL138" s="76"/>
      <c r="AN138"/>
      <c r="AO138"/>
      <c r="AP138"/>
      <c r="AQ138"/>
      <c r="AR138"/>
      <c r="AS138"/>
      <c r="AT138"/>
      <c r="AU138"/>
      <c r="AV138"/>
      <c r="AW138"/>
      <c r="AX138"/>
      <c r="AY138"/>
    </row>
    <row r="139" spans="1:51" s="23" customFormat="1" ht="14.1" hidden="1" customHeight="1" outlineLevel="2">
      <c r="A139" s="145"/>
      <c r="B139" s="421" t="s">
        <v>109</v>
      </c>
      <c r="C139" s="88"/>
      <c r="D139"/>
      <c r="F139"/>
      <c r="G139" s="354"/>
      <c r="H139" s="353"/>
      <c r="I139" s="745"/>
      <c r="J139"/>
      <c r="K139"/>
      <c r="L139"/>
      <c r="M139"/>
      <c r="N139"/>
      <c r="O139"/>
      <c r="P139"/>
      <c r="Q139"/>
      <c r="R139"/>
      <c r="S139"/>
      <c r="T139"/>
      <c r="U139"/>
      <c r="X139"/>
      <c r="AB139"/>
      <c r="AC139"/>
      <c r="AF139" s="361">
        <f>IF(S.Notice.Involved="Y",1,0)</f>
        <v>1</v>
      </c>
      <c r="AG139" s="58"/>
      <c r="AH139" s="58"/>
      <c r="AI139" s="58"/>
      <c r="AJ139" s="43"/>
      <c r="AK139" s="34"/>
      <c r="AL139" s="76"/>
      <c r="AN139"/>
      <c r="AO139"/>
      <c r="AP139"/>
      <c r="AQ139"/>
      <c r="AR139"/>
      <c r="AS139"/>
      <c r="AT139"/>
      <c r="AU139"/>
      <c r="AV139"/>
      <c r="AW139"/>
      <c r="AX139"/>
      <c r="AY139"/>
    </row>
    <row r="140" spans="1:51" s="23" customFormat="1" ht="14.1" hidden="1" customHeight="1" outlineLevel="2">
      <c r="A140" s="145"/>
      <c r="B140" s="421" t="s">
        <v>110</v>
      </c>
      <c r="C140" s="96"/>
      <c r="D140"/>
      <c r="F140"/>
      <c r="G140" s="138"/>
      <c r="H140" s="138"/>
      <c r="I140" s="745"/>
      <c r="J140"/>
      <c r="K140"/>
      <c r="L140"/>
      <c r="M140"/>
      <c r="N140"/>
      <c r="O140"/>
      <c r="P140"/>
      <c r="Q140"/>
      <c r="R140"/>
      <c r="S140"/>
      <c r="T140"/>
      <c r="U140"/>
      <c r="X140"/>
      <c r="AB140"/>
      <c r="AC140"/>
      <c r="AF140" s="361">
        <f>IF(S.Fee.Involved="Y",1,0)</f>
        <v>0</v>
      </c>
      <c r="AG140" s="58" t="s">
        <v>0</v>
      </c>
      <c r="AH140" s="58"/>
      <c r="AI140" s="58"/>
      <c r="AJ140" s="43"/>
      <c r="AK140" s="34"/>
      <c r="AL140" s="76"/>
      <c r="AN140"/>
      <c r="AO140"/>
      <c r="AP140"/>
      <c r="AQ140"/>
      <c r="AR140"/>
      <c r="AS140"/>
      <c r="AT140"/>
      <c r="AU140"/>
      <c r="AV140"/>
      <c r="AW140"/>
      <c r="AX140"/>
      <c r="AY140"/>
    </row>
    <row r="141" spans="1:51" s="23" customFormat="1" ht="14.1" hidden="1" customHeight="1" outlineLevel="2">
      <c r="A141" s="145"/>
      <c r="B141" s="421" t="str">
        <f>AK141</f>
        <v>- STAFF.RPT.Permanent  (blank in folder 6)</v>
      </c>
      <c r="C141" s="96"/>
      <c r="D141"/>
      <c r="F141"/>
      <c r="G141" s="138"/>
      <c r="H141" s="138"/>
      <c r="I141" s="745"/>
      <c r="J141"/>
      <c r="K141"/>
      <c r="L141"/>
      <c r="M141"/>
      <c r="N141"/>
      <c r="O141"/>
      <c r="P141"/>
      <c r="Q141"/>
      <c r="R141"/>
      <c r="S141"/>
      <c r="T141"/>
      <c r="U141"/>
      <c r="X141"/>
      <c r="AB141"/>
      <c r="AC141"/>
      <c r="AF141" s="361">
        <v>1</v>
      </c>
      <c r="AG141" s="58"/>
      <c r="AH141" s="58"/>
      <c r="AI141" s="58"/>
      <c r="AJ141" s="43"/>
      <c r="AK141" s="78" t="str">
        <f>IF(S.General.RuleType="P","- STAFF.RPT.Permanent  (blank in folder 6)","- STAFF.RPT.Temporary (blank in folder 6)")</f>
        <v>- STAFF.RPT.Permanent  (blank in folder 6)</v>
      </c>
      <c r="AL141" s="76"/>
    </row>
    <row r="142" spans="1:51" s="23" customFormat="1" ht="14.1" hidden="1" customHeight="1" outlineLevel="2">
      <c r="A142" s="145"/>
      <c r="B142" s="420" t="s">
        <v>229</v>
      </c>
      <c r="C142" s="87"/>
      <c r="D142"/>
      <c r="F142"/>
      <c r="G142" s="137"/>
      <c r="H142" s="138"/>
      <c r="I142" s="745"/>
      <c r="J142"/>
      <c r="K142"/>
      <c r="L142"/>
      <c r="M142"/>
      <c r="N142"/>
      <c r="O142"/>
      <c r="P142"/>
      <c r="Q142"/>
      <c r="R142"/>
      <c r="S142"/>
      <c r="T142"/>
      <c r="U142"/>
      <c r="X142"/>
      <c r="AB142"/>
      <c r="AC142"/>
      <c r="AF142" s="361">
        <v>1</v>
      </c>
      <c r="AG142" s="58"/>
      <c r="AH142" s="58"/>
      <c r="AI142" s="58"/>
      <c r="AJ142" s="43"/>
      <c r="AK142" s="34"/>
      <c r="AL142" s="76"/>
      <c r="AN142"/>
      <c r="AO142"/>
      <c r="AP142"/>
      <c r="AQ142"/>
      <c r="AR142"/>
      <c r="AS142"/>
      <c r="AT142"/>
      <c r="AU142"/>
      <c r="AV142"/>
      <c r="AW142"/>
      <c r="AX142"/>
      <c r="AY142"/>
    </row>
    <row r="143" spans="1:51" s="23" customFormat="1" ht="14.1" hidden="1" customHeight="1" outlineLevel="2">
      <c r="A143" s="145"/>
      <c r="B143" s="421" t="s">
        <v>168</v>
      </c>
      <c r="C143" s="87"/>
      <c r="D143"/>
      <c r="F143"/>
      <c r="G143" s="137"/>
      <c r="H143" s="138"/>
      <c r="I143" s="745"/>
      <c r="J143"/>
      <c r="K143"/>
      <c r="L143"/>
      <c r="M143"/>
      <c r="N143"/>
      <c r="O143"/>
      <c r="P143"/>
      <c r="Q143"/>
      <c r="R143"/>
      <c r="S143"/>
      <c r="T143"/>
      <c r="U143"/>
      <c r="X143"/>
      <c r="AB143"/>
      <c r="AC143"/>
      <c r="AF143" s="361">
        <v>1</v>
      </c>
      <c r="AG143" s="58"/>
      <c r="AH143" s="58"/>
      <c r="AI143" s="58"/>
      <c r="AJ143" s="43"/>
      <c r="AK143" s="34"/>
      <c r="AL143" s="76"/>
      <c r="AN143"/>
      <c r="AO143"/>
      <c r="AP143"/>
      <c r="AQ143"/>
      <c r="AR143"/>
      <c r="AS143"/>
      <c r="AT143"/>
      <c r="AU143"/>
      <c r="AV143"/>
      <c r="AW143"/>
      <c r="AX143"/>
      <c r="AY143"/>
    </row>
    <row r="144" spans="1:51" s="246" customFormat="1" ht="14.1" hidden="1" customHeight="1" outlineLevel="2">
      <c r="A144" s="245"/>
      <c r="B144" s="422" t="s">
        <v>112</v>
      </c>
      <c r="C144" s="247" t="s">
        <v>0</v>
      </c>
      <c r="D144"/>
      <c r="E144" s="23"/>
      <c r="F144"/>
      <c r="G144" s="352"/>
      <c r="H144" s="352"/>
      <c r="I144" s="745"/>
      <c r="J144"/>
      <c r="K144"/>
      <c r="L144"/>
      <c r="M144"/>
      <c r="N144"/>
      <c r="O144"/>
      <c r="P144"/>
      <c r="Q144"/>
      <c r="R144"/>
      <c r="S144"/>
      <c r="T144"/>
      <c r="U144"/>
      <c r="V144" s="23"/>
      <c r="W144" s="23"/>
      <c r="X144"/>
      <c r="Y144" s="23"/>
      <c r="Z144" s="23"/>
      <c r="AA144" s="23"/>
      <c r="AB144"/>
      <c r="AC144"/>
      <c r="AD144" s="23"/>
      <c r="AE144" s="23"/>
      <c r="AF144" s="361">
        <v>1</v>
      </c>
      <c r="AG144" s="249" t="s">
        <v>0</v>
      </c>
      <c r="AH144" s="249"/>
      <c r="AI144" s="250"/>
      <c r="AJ144" s="251"/>
      <c r="AK144" s="251"/>
      <c r="AL144" s="248"/>
    </row>
    <row r="145" spans="1:51" s="23" customFormat="1" ht="14.1" hidden="1" customHeight="1" outlineLevel="2">
      <c r="A145" s="145"/>
      <c r="B145" s="421" t="s">
        <v>111</v>
      </c>
      <c r="C145" s="88"/>
      <c r="D145"/>
      <c r="F145"/>
      <c r="G145" s="353"/>
      <c r="H145" s="135"/>
      <c r="I145" s="745"/>
      <c r="J145"/>
      <c r="K145"/>
      <c r="L145"/>
      <c r="M145"/>
      <c r="N145"/>
      <c r="O145"/>
      <c r="P145"/>
      <c r="Q145"/>
      <c r="R145"/>
      <c r="S145"/>
      <c r="T145"/>
      <c r="U145"/>
      <c r="X145"/>
      <c r="AB145"/>
      <c r="AC145"/>
      <c r="AF145" s="361">
        <v>1</v>
      </c>
      <c r="AG145" s="58"/>
      <c r="AH145" s="58"/>
      <c r="AI145" s="59"/>
      <c r="AJ145" s="43"/>
      <c r="AK145" s="34"/>
      <c r="AL145" s="76"/>
      <c r="AN145"/>
      <c r="AO145"/>
      <c r="AP145"/>
      <c r="AQ145"/>
      <c r="AR145"/>
      <c r="AS145"/>
      <c r="AT145"/>
      <c r="AU145"/>
      <c r="AV145"/>
      <c r="AW145"/>
      <c r="AX145"/>
      <c r="AY145"/>
    </row>
    <row r="146" spans="1:51" ht="14.1" hidden="1" customHeight="1" outlineLevel="2">
      <c r="A146" s="145"/>
      <c r="B146" s="267" t="str">
        <f>AK146</f>
        <v>Brian drafts:</v>
      </c>
      <c r="C146" s="88"/>
      <c r="D146" s="194" t="s">
        <v>696</v>
      </c>
      <c r="E146" s="877"/>
      <c r="F146"/>
      <c r="G146" s="190">
        <f>AG146</f>
        <v>41792</v>
      </c>
      <c r="H146" s="190">
        <f>AH146</f>
        <v>41792</v>
      </c>
      <c r="I146" s="745"/>
      <c r="AF146" s="361">
        <v>1</v>
      </c>
      <c r="AG146" s="60">
        <f>H129</f>
        <v>41792</v>
      </c>
      <c r="AH146" s="60">
        <f>G146</f>
        <v>41792</v>
      </c>
      <c r="AI146" s="59"/>
      <c r="AJ146" s="43"/>
      <c r="AK146" s="78" t="str">
        <f>S.Staff.Subject.Expert.FirstName&amp;" drafts:"</f>
        <v>Brian drafts:</v>
      </c>
      <c r="AL146" s="76"/>
      <c r="AM146"/>
    </row>
    <row r="147" spans="1:51" s="23" customFormat="1" ht="14.1" hidden="1" customHeight="1" outlineLevel="2">
      <c r="A147" s="145"/>
      <c r="B147" s="302" t="s">
        <v>548</v>
      </c>
      <c r="C147" s="563"/>
      <c r="D147" s="706"/>
      <c r="E147" s="706"/>
      <c r="F147"/>
      <c r="G147" s="90" t="s">
        <v>0</v>
      </c>
      <c r="H147" s="90"/>
      <c r="I147" s="745"/>
      <c r="AF147" s="361">
        <f>IF(S.Planning.DecisionToAddToPlan="A",1,0)</f>
        <v>1</v>
      </c>
      <c r="AG147" s="58"/>
      <c r="AH147" s="58"/>
      <c r="AI147" s="59"/>
      <c r="AJ147" s="62"/>
      <c r="AK147" s="72" t="s">
        <v>0</v>
      </c>
      <c r="AL147" s="76"/>
    </row>
    <row r="148" spans="1:51" s="23" customFormat="1" ht="14.1" hidden="1" customHeight="1" outlineLevel="2">
      <c r="A148" s="145"/>
      <c r="B148" s="302" t="s">
        <v>550</v>
      </c>
      <c r="C148" s="563"/>
      <c r="D148" s="706"/>
      <c r="E148" s="706"/>
      <c r="F148"/>
      <c r="G148" s="90" t="s">
        <v>0</v>
      </c>
      <c r="H148" s="90"/>
      <c r="I148" s="745"/>
      <c r="AF148" s="361">
        <f>IF(S.Planning.DecisionToAddToPlan="A",1,0)</f>
        <v>1</v>
      </c>
      <c r="AG148" s="58"/>
      <c r="AH148" s="58"/>
      <c r="AI148" s="59"/>
      <c r="AJ148" s="62"/>
      <c r="AK148" s="72" t="s">
        <v>0</v>
      </c>
      <c r="AL148" s="76"/>
    </row>
    <row r="149" spans="1:51" s="23" customFormat="1" ht="14.1" hidden="1" customHeight="1" outlineLevel="2">
      <c r="A149" s="145" t="s">
        <v>0</v>
      </c>
      <c r="B149" s="302" t="s">
        <v>549</v>
      </c>
      <c r="C149" s="563"/>
      <c r="D149" s="706"/>
      <c r="E149" s="706"/>
      <c r="F149"/>
      <c r="G149" s="90" t="s">
        <v>0</v>
      </c>
      <c r="H149" s="90"/>
      <c r="I149" s="745"/>
      <c r="AF149" s="361">
        <f>IF(S.Planning.DecisionToAddToPlan="A",1,0)</f>
        <v>1</v>
      </c>
      <c r="AG149" s="58"/>
      <c r="AH149" s="58"/>
      <c r="AI149" s="59"/>
      <c r="AJ149" s="62"/>
      <c r="AK149" s="72" t="s">
        <v>0</v>
      </c>
      <c r="AL149" s="76"/>
    </row>
    <row r="150" spans="1:51" s="23" customFormat="1" ht="14.1" hidden="1" customHeight="1" outlineLevel="2">
      <c r="A150" s="145"/>
      <c r="B150" s="267" t="str">
        <f>AK150</f>
        <v>Brian gets consenus from DavidC &amp; AndreaG on workbooks</v>
      </c>
      <c r="C150" s="88"/>
      <c r="D150" s="194" t="s">
        <v>48</v>
      </c>
      <c r="E150" s="877"/>
      <c r="F150"/>
      <c r="H150" s="190">
        <f>AH150</f>
        <v>41792</v>
      </c>
      <c r="I150" s="745"/>
      <c r="AF150" s="361">
        <v>1</v>
      </c>
      <c r="AG150" s="58"/>
      <c r="AH150" s="60">
        <f>S.Planning.DraftWorkbooksEnd</f>
        <v>41792</v>
      </c>
      <c r="AI150" s="59"/>
      <c r="AJ150" s="43"/>
      <c r="AK150" s="78" t="str">
        <f>S.Staff.Subject.Expert.FirstName&amp;" gets consenus from "&amp;S.Staff.Program.Mgr.FirstName&amp;" &amp; "&amp;S.Staff.RG.Lead.FirstName&amp;" on workbooks"</f>
        <v>Brian gets consenus from DavidC &amp; AndreaG on workbooks</v>
      </c>
      <c r="AL150" s="76"/>
    </row>
    <row r="151" spans="1:51" s="23" customFormat="1" ht="14.1" hidden="1" customHeight="1" outlineLevel="2">
      <c r="A151" s="145"/>
      <c r="B151" s="267" t="str">
        <f>AK151</f>
        <v>DavidC shares concept with Uri and may stop/delay/advance concept</v>
      </c>
      <c r="C151" s="88"/>
      <c r="D151" s="194" t="s">
        <v>696</v>
      </c>
      <c r="E151" s="877"/>
      <c r="H151" s="190">
        <f>AH151</f>
        <v>41792</v>
      </c>
      <c r="I151" s="745"/>
      <c r="AF151" s="361">
        <v>1</v>
      </c>
      <c r="AG151" s="58"/>
      <c r="AH151" s="60">
        <f>S.Planning.DraftWorkbooksEnd</f>
        <v>41792</v>
      </c>
      <c r="AI151" s="59"/>
      <c r="AJ151" s="43"/>
      <c r="AK151" s="78" t="str">
        <f>S.Staff.Program.Mgr.FirstName&amp;" shares concept with "&amp;S.Staff.Assistant.DA.ShortName&amp;" and may stop/delay/advance concept"</f>
        <v>DavidC shares concept with Uri and may stop/delay/advance concept</v>
      </c>
      <c r="AL151" s="76"/>
    </row>
    <row r="152" spans="1:51" s="23" customFormat="1" ht="14.1" hidden="1" customHeight="1" outlineLevel="2">
      <c r="A152" s="145"/>
      <c r="B152" s="267" t="str">
        <f>AK152</f>
        <v>Uri shares concept with DavidL and may stop/delay/advance concept</v>
      </c>
      <c r="C152" s="88"/>
      <c r="D152" s="194" t="s">
        <v>696</v>
      </c>
      <c r="E152" s="877"/>
      <c r="H152" s="190">
        <f>AH152</f>
        <v>41792</v>
      </c>
      <c r="I152" s="745"/>
      <c r="AF152" s="361">
        <v>1</v>
      </c>
      <c r="AG152" s="58"/>
      <c r="AH152" s="60">
        <f>S.Planning.DraftWorkbooksEnd</f>
        <v>41792</v>
      </c>
      <c r="AI152" s="59"/>
      <c r="AJ152" s="43"/>
      <c r="AK152" s="78" t="str">
        <f>S.Staff.Assistant.DA.ShortName&amp;" shares concept with "&amp;S.Staff.DA.ForProgram.FirstName&amp;" and may stop/delay/advance concept"</f>
        <v>Uri shares concept with DavidL and may stop/delay/advance concept</v>
      </c>
      <c r="AL152" s="76"/>
    </row>
    <row r="153" spans="1:51" s="23" customFormat="1" ht="14.1" hidden="1" customHeight="1" outlineLevel="2">
      <c r="A153" s="145"/>
      <c r="B153" s="267" t="str">
        <f>AK153</f>
        <v>If advanced, DavidC emails AndreaG to indicate her approval</v>
      </c>
      <c r="C153" s="88"/>
      <c r="D153" s="194" t="s">
        <v>696</v>
      </c>
      <c r="E153" s="877"/>
      <c r="H153" s="190">
        <f>AH153</f>
        <v>41792</v>
      </c>
      <c r="I153" s="745"/>
      <c r="AF153" s="361">
        <v>1</v>
      </c>
      <c r="AG153" s="58"/>
      <c r="AH153" s="60">
        <f>S.Planning.DraftWorkbooksEnd</f>
        <v>41792</v>
      </c>
      <c r="AI153" s="59"/>
      <c r="AJ153" s="43"/>
      <c r="AK153" s="78" t="str">
        <f>"If advanced, "&amp;S.Staff.Program.Mgr.FirstName&amp;" emails "&amp;S.Staff.RG.Lead.FirstName&amp;" to indicate "&amp;S.Staff.Program.Mgr.Pronoun&amp;" approval"</f>
        <v>If advanced, DavidC emails AndreaG to indicate her approval</v>
      </c>
      <c r="AL153" s="76"/>
    </row>
    <row r="154" spans="1:51" s="23" customFormat="1" ht="14.1" hidden="1" customHeight="1" outlineLevel="2">
      <c r="A154" s="145"/>
      <c r="B154" s="318" t="str">
        <f>AK154</f>
        <v>Maggie:</v>
      </c>
      <c r="C154" s="509" t="s">
        <v>49</v>
      </c>
      <c r="D154" s="194" t="s">
        <v>696</v>
      </c>
      <c r="E154" s="877"/>
      <c r="H154" s="190">
        <f>AH154</f>
        <v>0</v>
      </c>
      <c r="I154" s="745"/>
      <c r="AF154" s="361">
        <v>1</v>
      </c>
      <c r="AG154" s="58"/>
      <c r="AH154" s="60">
        <f>G154</f>
        <v>0</v>
      </c>
      <c r="AI154" s="59"/>
      <c r="AJ154" s="43"/>
      <c r="AK154" s="78" t="str">
        <f>S.Staff.AgencyRulesCoordinator&amp;":"</f>
        <v>Maggie:</v>
      </c>
      <c r="AL154" s="76"/>
    </row>
    <row r="155" spans="1:51" s="23" customFormat="1" ht="14.1" hidden="1" customHeight="1" outlineLevel="2">
      <c r="A155" s="145"/>
      <c r="B155" s="276" t="s">
        <v>729</v>
      </c>
      <c r="C155" s="563"/>
      <c r="D155" s="194" t="s">
        <v>696</v>
      </c>
      <c r="E155" s="877"/>
      <c r="G155" s="90" t="s">
        <v>0</v>
      </c>
      <c r="H155" s="90"/>
      <c r="I155" s="745"/>
      <c r="AF155" s="361">
        <f>IF(S.Planning.DecisionToAddToPlan="A",1,0)</f>
        <v>1</v>
      </c>
      <c r="AG155" s="58"/>
      <c r="AH155" s="58"/>
      <c r="AI155" s="59"/>
      <c r="AJ155" s="62"/>
      <c r="AK155" s="72" t="s">
        <v>0</v>
      </c>
      <c r="AL155" s="76"/>
    </row>
    <row r="156" spans="1:51" s="23" customFormat="1" ht="14.1" hidden="1" customHeight="1" outlineLevel="2">
      <c r="A156" s="145"/>
      <c r="B156" s="899" t="s">
        <v>730</v>
      </c>
      <c r="C156" s="563"/>
      <c r="D156" s="194" t="s">
        <v>696</v>
      </c>
      <c r="E156" s="877"/>
      <c r="G156" s="90" t="s">
        <v>0</v>
      </c>
      <c r="H156" s="90"/>
      <c r="I156" s="745"/>
      <c r="AF156" s="361">
        <f>IF(S.Planning.DecisionToAddToPlan="A",1,0)</f>
        <v>1</v>
      </c>
      <c r="AG156" s="58"/>
      <c r="AH156" s="58"/>
      <c r="AI156" s="59"/>
      <c r="AJ156" s="62"/>
      <c r="AK156" s="72" t="s">
        <v>0</v>
      </c>
      <c r="AL156" s="76"/>
    </row>
    <row r="157" spans="1:51" s="23" customFormat="1" ht="14.1" hidden="1" customHeight="1" outlineLevel="2">
      <c r="A157" s="145"/>
      <c r="B157" s="204" t="str">
        <f>AK157</f>
        <v>* shares priority list and factors with DavidC &amp; Brian</v>
      </c>
      <c r="C157" s="88"/>
      <c r="D157" s="194" t="s">
        <v>48</v>
      </c>
      <c r="E157" s="877"/>
      <c r="H157" s="190">
        <f>AH157</f>
        <v>41792</v>
      </c>
      <c r="I157" s="745"/>
      <c r="AF157" s="361">
        <v>1</v>
      </c>
      <c r="AG157" s="58"/>
      <c r="AH157" s="60">
        <f>S.Planning.DraftWorkbooksEnd</f>
        <v>41792</v>
      </c>
      <c r="AI157" s="59"/>
      <c r="AJ157" s="43"/>
      <c r="AK157" s="78" t="str">
        <f>"* shares priority list and factors with "&amp;S.Staff.Program.Mgr.FirstName&amp;" &amp; "&amp;S.Staff.Subject.Expert.FirstName</f>
        <v>* shares priority list and factors with DavidC &amp; Brian</v>
      </c>
      <c r="AL157" s="76"/>
    </row>
    <row r="158" spans="1:51" s="23" customFormat="1" ht="14.1" hidden="1" customHeight="1" outlineLevel="2">
      <c r="A158" s="145"/>
      <c r="B158" s="276" t="s">
        <v>695</v>
      </c>
      <c r="C158" s="563"/>
      <c r="D158" s="194" t="s">
        <v>696</v>
      </c>
      <c r="E158" s="877"/>
      <c r="G158" s="90" t="s">
        <v>0</v>
      </c>
      <c r="H158" s="90"/>
      <c r="I158" s="745"/>
      <c r="AF158" s="361">
        <f>IF(S.Planning.DecisionToAddToPlan="A",1,0)</f>
        <v>1</v>
      </c>
      <c r="AG158" s="58"/>
      <c r="AH158" s="58"/>
      <c r="AI158" s="59"/>
      <c r="AJ158" s="62"/>
      <c r="AK158" s="72" t="s">
        <v>0</v>
      </c>
      <c r="AL158" s="76"/>
    </row>
    <row r="159" spans="1:51" s="23" customFormat="1" ht="14.1" hidden="1" customHeight="1" outlineLevel="2">
      <c r="A159" s="145"/>
      <c r="B159" s="204" t="str">
        <f>AK159</f>
        <v>* shares priority listing with DavidC &amp; AndreaG</v>
      </c>
      <c r="C159" s="88"/>
      <c r="D159" s="194" t="s">
        <v>48</v>
      </c>
      <c r="E159" s="877"/>
      <c r="H159" s="190">
        <f>AH159</f>
        <v>41792</v>
      </c>
      <c r="I159" s="745"/>
      <c r="AF159" s="361">
        <v>1</v>
      </c>
      <c r="AG159" s="58"/>
      <c r="AH159" s="60">
        <f>S.Planning.DraftWorkbooksEnd</f>
        <v>41792</v>
      </c>
      <c r="AI159" s="59"/>
      <c r="AJ159" s="43"/>
      <c r="AK159" s="78" t="str">
        <f>"* shares priority listing with "&amp;S.Staff.Program.Mgr.FirstName&amp;" &amp; "&amp;S.Staff.RG.Lead.FirstName</f>
        <v>* shares priority listing with DavidC &amp; AndreaG</v>
      </c>
      <c r="AL159" s="76"/>
    </row>
    <row r="160" spans="1:51" s="23" customFormat="1" ht="14.1" hidden="1" customHeight="1" outlineLevel="2">
      <c r="A160" s="145"/>
      <c r="B160" s="269" t="s">
        <v>733</v>
      </c>
      <c r="C160" s="195" t="s">
        <v>0</v>
      </c>
      <c r="D160" s="197"/>
      <c r="E160" s="879"/>
      <c r="G160" s="351"/>
      <c r="H160" s="351"/>
      <c r="I160" s="745"/>
      <c r="AF160" s="361">
        <v>1</v>
      </c>
      <c r="AG160" s="47"/>
      <c r="AH160" s="47"/>
      <c r="AI160" s="59"/>
      <c r="AJ160" s="43"/>
      <c r="AK160" s="63" t="str">
        <f>S.Staff.Director&amp;":"</f>
        <v>Dick:</v>
      </c>
      <c r="AL160" s="76"/>
    </row>
    <row r="161" spans="1:39" s="23" customFormat="1" ht="14.1" hidden="1" customHeight="1" outlineLevel="2">
      <c r="A161" s="145"/>
      <c r="B161" s="318" t="str">
        <f>AK161</f>
        <v>Maggie develops work papers and Leadership Team draft email for Dick</v>
      </c>
      <c r="C161" s="509" t="s">
        <v>49</v>
      </c>
      <c r="D161" s="194" t="s">
        <v>0</v>
      </c>
      <c r="E161" s="877"/>
      <c r="F161"/>
      <c r="G161" s="190">
        <f>AG161</f>
        <v>41792</v>
      </c>
      <c r="H161" s="190">
        <f>AH161</f>
        <v>41792</v>
      </c>
      <c r="I161" s="745"/>
      <c r="J161"/>
      <c r="K161"/>
      <c r="L161"/>
      <c r="M161"/>
      <c r="N161"/>
      <c r="O161"/>
      <c r="P161"/>
      <c r="Q161"/>
      <c r="R161"/>
      <c r="S161"/>
      <c r="T161"/>
      <c r="U161"/>
      <c r="X161"/>
      <c r="AB161"/>
      <c r="AC161"/>
      <c r="AF161" s="361">
        <v>1</v>
      </c>
      <c r="AG161" s="60">
        <f>H150</f>
        <v>41792</v>
      </c>
      <c r="AH161" s="60">
        <f>G161</f>
        <v>41792</v>
      </c>
      <c r="AI161" s="59"/>
      <c r="AJ161" s="43"/>
      <c r="AK161" s="78" t="str">
        <f>S.Staff.AgencyRulesCoordinator&amp;" develops work papers and Leadership Team draft email for "&amp;S.Staff.Director</f>
        <v>Maggie develops work papers and Leadership Team draft email for Dick</v>
      </c>
      <c r="AL161" s="76"/>
    </row>
    <row r="162" spans="1:39" s="23" customFormat="1" ht="14.1" hidden="1" customHeight="1" outlineLevel="2">
      <c r="A162" s="145"/>
      <c r="B162" s="269" t="str">
        <f>AK162</f>
        <v>Dick:</v>
      </c>
      <c r="C162" s="195" t="s">
        <v>0</v>
      </c>
      <c r="D162" s="197"/>
      <c r="E162" s="879"/>
      <c r="F162"/>
      <c r="G162" s="351"/>
      <c r="H162" s="351"/>
      <c r="I162" s="745"/>
      <c r="J162"/>
      <c r="K162"/>
      <c r="L162"/>
      <c r="M162"/>
      <c r="N162"/>
      <c r="O162"/>
      <c r="P162"/>
      <c r="Q162"/>
      <c r="R162"/>
      <c r="S162"/>
      <c r="T162"/>
      <c r="U162"/>
      <c r="X162"/>
      <c r="AB162"/>
      <c r="AC162"/>
      <c r="AF162" s="361">
        <v>1</v>
      </c>
      <c r="AG162" s="47"/>
      <c r="AH162" s="47"/>
      <c r="AI162" s="59"/>
      <c r="AJ162" s="43"/>
      <c r="AK162" s="63" t="str">
        <f>S.Staff.Director&amp;":"</f>
        <v>Dick:</v>
      </c>
      <c r="AL162" s="76"/>
    </row>
    <row r="163" spans="1:39" s="23" customFormat="1" ht="14.1" hidden="1" customHeight="1" outlineLevel="2">
      <c r="A163" s="145"/>
      <c r="B163" s="442" t="s">
        <v>547</v>
      </c>
      <c r="C163" s="189" t="s">
        <v>0</v>
      </c>
      <c r="D163" s="188" t="s">
        <v>0</v>
      </c>
      <c r="E163" s="880"/>
      <c r="F163"/>
      <c r="G163" s="733" t="s">
        <v>0</v>
      </c>
      <c r="H163" s="734">
        <f>AH163</f>
        <v>41792</v>
      </c>
      <c r="I163" s="745"/>
      <c r="J163"/>
      <c r="K163"/>
      <c r="L163"/>
      <c r="M163"/>
      <c r="N163"/>
      <c r="O163"/>
      <c r="P163"/>
      <c r="Q163"/>
      <c r="R163"/>
      <c r="S163"/>
      <c r="T163"/>
      <c r="U163"/>
      <c r="X163"/>
      <c r="AB163"/>
      <c r="AC163"/>
      <c r="AF163" s="361">
        <v>1</v>
      </c>
      <c r="AG163" s="47"/>
      <c r="AH163" s="60">
        <f>H161</f>
        <v>41792</v>
      </c>
      <c r="AI163" s="59"/>
      <c r="AJ163" s="43"/>
      <c r="AK163" s="47"/>
      <c r="AL163" s="76"/>
    </row>
    <row r="164" spans="1:39" s="23" customFormat="1" ht="14.1" hidden="1" customHeight="1" outlineLevel="2">
      <c r="A164" s="145"/>
      <c r="B164" s="430" t="str">
        <f t="shared" ref="B164:B169" si="5">AK164</f>
        <v>To: Leadership Team describing addition to DEQ Rulemaking Plan</v>
      </c>
      <c r="C164" s="196"/>
      <c r="D164" s="706"/>
      <c r="E164" s="706"/>
      <c r="F164"/>
      <c r="G164" s="192"/>
      <c r="H164" s="193"/>
      <c r="I164" s="745"/>
      <c r="J164"/>
      <c r="K164"/>
      <c r="L164"/>
      <c r="M164"/>
      <c r="N164"/>
      <c r="O164"/>
      <c r="P164"/>
      <c r="Q164"/>
      <c r="R164"/>
      <c r="S164"/>
      <c r="T164"/>
      <c r="U164"/>
      <c r="X164"/>
      <c r="AB164"/>
      <c r="AC164"/>
      <c r="AF164" s="361">
        <f>IF(S.Planning.DecisionToAddToPlan="A",1,0)</f>
        <v>1</v>
      </c>
      <c r="AG164" s="58"/>
      <c r="AH164" s="58"/>
      <c r="AI164" s="59"/>
      <c r="AJ164" s="43"/>
      <c r="AK164" s="78" t="str">
        <f>IF(C170="A","To: Leadership Team describing addition to DEQ Rulemaking Plan",S.Staff.AgencyRulesCoordinator&amp;" closes SharePoint sub site")</f>
        <v>To: Leadership Team describing addition to DEQ Rulemaking Plan</v>
      </c>
      <c r="AL164" s="76"/>
    </row>
    <row r="165" spans="1:39" s="23" customFormat="1" ht="14.1" hidden="1" customHeight="1" outlineLevel="2">
      <c r="A165" s="145"/>
      <c r="B165" s="430" t="str">
        <f t="shared" si="5"/>
        <v xml:space="preserve">To: StephanieC to include in monthly Director's Report </v>
      </c>
      <c r="C165" s="196"/>
      <c r="D165" s="706"/>
      <c r="E165" s="706"/>
      <c r="F165"/>
      <c r="G165" s="192"/>
      <c r="H165" s="193"/>
      <c r="I165" s="745"/>
      <c r="J165"/>
      <c r="K165"/>
      <c r="L165"/>
      <c r="M165"/>
      <c r="N165"/>
      <c r="O165"/>
      <c r="P165"/>
      <c r="Q165"/>
      <c r="R165"/>
      <c r="S165"/>
      <c r="T165"/>
      <c r="U165"/>
      <c r="X165"/>
      <c r="AB165"/>
      <c r="AC165"/>
      <c r="AF165" s="361">
        <f>IF(S.Planning.DecisionToAddToPlan="A",1,0)</f>
        <v>1</v>
      </c>
      <c r="AG165" s="58"/>
      <c r="AH165" s="58"/>
      <c r="AI165" s="59"/>
      <c r="AJ165" s="43"/>
      <c r="AK165" s="78" t="str">
        <f>IF(C170="A","To: "&amp;S.Staff.EQCAssistant&amp;" to include in monthly Director's Report ",S.Staff.AgencyRulesCoordinator&amp;" closes SharePoint sub site")</f>
        <v xml:space="preserve">To: StephanieC to include in monthly Director's Report </v>
      </c>
      <c r="AL165" s="76"/>
    </row>
    <row r="166" spans="1:39" s="23" customFormat="1" ht="14.1" hidden="1" customHeight="1" outlineLevel="2">
      <c r="A166" s="145"/>
      <c r="B166" s="898" t="str">
        <f t="shared" si="5"/>
        <v>(Dick asks EQC how they want to be involved with rulemaking)</v>
      </c>
      <c r="C166" s="189"/>
      <c r="D166" s="705"/>
      <c r="E166" s="705"/>
      <c r="F166"/>
      <c r="G166" s="23" t="s">
        <v>0</v>
      </c>
      <c r="H166"/>
      <c r="I166" s="745"/>
      <c r="J166"/>
      <c r="K166"/>
      <c r="L166"/>
      <c r="M166"/>
      <c r="N166"/>
      <c r="O166"/>
      <c r="P166"/>
      <c r="Q166"/>
      <c r="R166"/>
      <c r="S166"/>
      <c r="T166"/>
      <c r="U166"/>
      <c r="X166"/>
      <c r="AB166"/>
      <c r="AC166"/>
      <c r="AF166" s="361">
        <f>IF(S.Planning.DecisionToAddToPlan="A",1,0)</f>
        <v>1</v>
      </c>
      <c r="AG166" s="58"/>
      <c r="AH166" s="58"/>
      <c r="AI166" s="59"/>
      <c r="AJ166" s="43"/>
      <c r="AK166" s="78" t="str">
        <f>IF(C170="A","("&amp;S.Staff.Director&amp;" asks EQC how they want to be involved with rulemaking)","STOP WORK")</f>
        <v>(Dick asks EQC how they want to be involved with rulemaking)</v>
      </c>
      <c r="AL166" s="76"/>
    </row>
    <row r="167" spans="1:39" s="23" customFormat="1" ht="14.1" hidden="1" customHeight="1" outlineLevel="2">
      <c r="A167" s="145" t="s">
        <v>0</v>
      </c>
      <c r="B167" s="898" t="str">
        <f t="shared" si="5"/>
        <v>(StephanieC informs team about EQC involvement by email)</v>
      </c>
      <c r="C167" s="189"/>
      <c r="D167" s="705"/>
      <c r="E167" s="705"/>
      <c r="F167"/>
      <c r="G167"/>
      <c r="H167"/>
      <c r="I167" s="745"/>
      <c r="J167"/>
      <c r="K167"/>
      <c r="L167"/>
      <c r="M167"/>
      <c r="N167"/>
      <c r="O167"/>
      <c r="P167"/>
      <c r="Q167"/>
      <c r="R167"/>
      <c r="S167"/>
      <c r="T167"/>
      <c r="U167"/>
      <c r="X167"/>
      <c r="AB167"/>
      <c r="AC167"/>
      <c r="AF167" s="361">
        <f>IF(S.Planning.DecisionToAddToPlan="A",1,0)</f>
        <v>1</v>
      </c>
      <c r="AG167" s="58"/>
      <c r="AH167" s="58"/>
      <c r="AI167" s="59"/>
      <c r="AJ167" s="43"/>
      <c r="AK167" s="78" t="str">
        <f>"("&amp;S.Staff.EQCAssistant&amp;" informs team about EQC involvement by email)"</f>
        <v>(StephanieC informs team about EQC involvement by email)</v>
      </c>
      <c r="AL167" s="76"/>
    </row>
    <row r="168" spans="1:39" s="23" customFormat="1" ht="14.1" hidden="1" customHeight="1" outlineLevel="2">
      <c r="A168" s="145"/>
      <c r="B168" s="430" t="str">
        <f t="shared" si="5"/>
        <v>Cc… DavidC, Brian, AndreaG</v>
      </c>
      <c r="C168" s="196"/>
      <c r="D168" s="706"/>
      <c r="E168" s="706"/>
      <c r="F168"/>
      <c r="G168" s="192"/>
      <c r="H168" s="193"/>
      <c r="I168" s="745"/>
      <c r="J168"/>
      <c r="K168"/>
      <c r="L168"/>
      <c r="M168"/>
      <c r="N168"/>
      <c r="O168"/>
      <c r="P168"/>
      <c r="Q168"/>
      <c r="R168"/>
      <c r="S168"/>
      <c r="T168"/>
      <c r="U168"/>
      <c r="X168"/>
      <c r="AB168"/>
      <c r="AC168"/>
      <c r="AF168" s="361">
        <f>IF(S.Planning.DecisionToAddToPlan="A",1,0)</f>
        <v>1</v>
      </c>
      <c r="AG168" s="58"/>
      <c r="AH168" s="58"/>
      <c r="AI168" s="59"/>
      <c r="AJ168" s="43"/>
      <c r="AK168" s="67" t="str">
        <f>"Cc… "&amp;S.Staff.Program.Mgr.FirstName&amp;", "&amp;S.Staff.Subject.Expert.FirstName&amp;", "&amp;S.Staff.RG.Lead.FirstName</f>
        <v>Cc… DavidC, Brian, AndreaG</v>
      </c>
      <c r="AL168" s="76"/>
    </row>
    <row r="169" spans="1:39" s="23" customFormat="1" ht="14.1" hidden="1" customHeight="1" outlineLevel="2" thickBot="1">
      <c r="A169" s="145"/>
      <c r="B169" s="267" t="str">
        <f t="shared" si="5"/>
        <v>AndreaG:</v>
      </c>
      <c r="C169" s="195" t="s">
        <v>0</v>
      </c>
      <c r="D169" s="197"/>
      <c r="E169" s="879"/>
      <c r="F169"/>
      <c r="G169" s="351"/>
      <c r="H169" s="351"/>
      <c r="I169" s="745"/>
      <c r="J169"/>
      <c r="K169"/>
      <c r="L169"/>
      <c r="M169"/>
      <c r="N169"/>
      <c r="O169"/>
      <c r="P169"/>
      <c r="Q169"/>
      <c r="R169"/>
      <c r="S169"/>
      <c r="T169"/>
      <c r="U169"/>
      <c r="X169"/>
      <c r="AB169"/>
      <c r="AC169"/>
      <c r="AF169" s="361">
        <v>1</v>
      </c>
      <c r="AG169" s="47"/>
      <c r="AH169" s="47"/>
      <c r="AI169" s="59"/>
      <c r="AJ169" s="43"/>
      <c r="AK169" s="63" t="str">
        <f>S.Staff.RG.Lead.FirstName&amp;":"</f>
        <v>AndreaG:</v>
      </c>
      <c r="AL169" s="76"/>
    </row>
    <row r="170" spans="1:39" s="23" customFormat="1" ht="14.1" hidden="1" customHeight="1" outlineLevel="2" thickBot="1">
      <c r="A170" s="145"/>
      <c r="B170" s="302" t="s">
        <v>546</v>
      </c>
      <c r="C170" s="540" t="s">
        <v>116</v>
      </c>
      <c r="D170" s="188" t="s">
        <v>48</v>
      </c>
      <c r="E170" s="880"/>
      <c r="F170"/>
      <c r="G170" s="193" t="s">
        <v>0</v>
      </c>
      <c r="H170" s="193"/>
      <c r="I170" s="745"/>
      <c r="J170"/>
      <c r="K170"/>
      <c r="L170"/>
      <c r="M170"/>
      <c r="N170"/>
      <c r="O170"/>
      <c r="P170"/>
      <c r="Q170"/>
      <c r="R170"/>
      <c r="S170"/>
      <c r="T170"/>
      <c r="U170"/>
      <c r="X170"/>
      <c r="AB170"/>
      <c r="AC170"/>
      <c r="AF170" s="361">
        <v>1</v>
      </c>
      <c r="AG170" s="58"/>
      <c r="AH170" s="58"/>
      <c r="AI170" s="59"/>
      <c r="AJ170" s="43"/>
      <c r="AK170" s="47" t="s">
        <v>0</v>
      </c>
      <c r="AL170" s="76"/>
    </row>
    <row r="171" spans="1:39" s="23" customFormat="1" ht="14.1" hidden="1" customHeight="1" outlineLevel="2">
      <c r="A171" s="145"/>
      <c r="B171" s="269" t="str">
        <f>AK171</f>
        <v>* saves email Rule_Development | 1-Planning | APPROVAL.ToMoveForward.pdf</v>
      </c>
      <c r="C171" s="510" t="str">
        <f>HYPERLINK("\\deqhq1\Rule_Development\Currrent Plan","i")</f>
        <v>i</v>
      </c>
      <c r="D171" s="188" t="s">
        <v>0</v>
      </c>
      <c r="E171" s="880"/>
      <c r="F171"/>
      <c r="G171" s="193" t="s">
        <v>0</v>
      </c>
      <c r="H171" s="193"/>
      <c r="I171" s="745"/>
      <c r="J171"/>
      <c r="K171"/>
      <c r="L171"/>
      <c r="M171"/>
      <c r="N171"/>
      <c r="O171"/>
      <c r="P171"/>
      <c r="Q171"/>
      <c r="R171"/>
      <c r="S171"/>
      <c r="T171"/>
      <c r="U171"/>
      <c r="X171"/>
      <c r="AB171"/>
      <c r="AC171"/>
      <c r="AF171" s="361">
        <v>1</v>
      </c>
      <c r="AG171" s="58"/>
      <c r="AH171" s="58"/>
      <c r="AI171" s="59"/>
      <c r="AJ171" s="62"/>
      <c r="AK171" s="78" t="str">
        <f>IF(S.Planning.DecisionToAddToPlan="A","* saves email Rule_Development | 1-Planning | APPROVAL.ToMoveForward.pdf",IF(S.Planning.DecisionToAddToPlan="P","* saves email as Rule_Development | 1-Planning | DA.POSTPONEMENT.pdf","* saves email as Rule_Development | 1-Planning | DA.REJECTION.pdf"))</f>
        <v>* saves email Rule_Development | 1-Planning | APPROVAL.ToMoveForward.pdf</v>
      </c>
      <c r="AL171" s="76"/>
    </row>
    <row r="172" spans="1:39" s="23" customFormat="1" ht="6" customHeight="1" outlineLevel="1" collapsed="1">
      <c r="A172" s="145"/>
      <c r="B172" s="329"/>
      <c r="C172" s="329"/>
      <c r="D172" s="693"/>
      <c r="E172" s="693"/>
      <c r="F172" s="795"/>
      <c r="G172" s="286"/>
      <c r="H172" s="331"/>
      <c r="I172" s="39"/>
      <c r="AF172" s="361">
        <v>0</v>
      </c>
      <c r="AG172" s="76"/>
      <c r="AH172" s="76"/>
      <c r="AI172" s="108" t="s">
        <v>230</v>
      </c>
      <c r="AJ172" s="344"/>
      <c r="AK172" s="77"/>
      <c r="AL172" s="76"/>
    </row>
    <row r="173" spans="1:39" ht="20.25" customHeight="1" outlineLevel="1" thickBot="1">
      <c r="A173" s="145"/>
      <c r="B173" s="492" t="s">
        <v>728</v>
      </c>
      <c r="C173" s="90"/>
      <c r="D173" s="139"/>
      <c r="E173" s="139"/>
      <c r="F173"/>
      <c r="G173" s="90" t="s">
        <v>0</v>
      </c>
      <c r="H173" s="90"/>
      <c r="I173" s="745"/>
      <c r="AF173" s="361">
        <f>IF(S.Planning.DecisionToAddToPlan="A",1,0)</f>
        <v>1</v>
      </c>
      <c r="AG173" s="58"/>
      <c r="AH173" s="58"/>
      <c r="AI173" s="59"/>
      <c r="AJ173" s="43"/>
      <c r="AK173" s="47" t="s">
        <v>0</v>
      </c>
      <c r="AL173" s="76"/>
      <c r="AM173"/>
    </row>
    <row r="174" spans="1:39" s="23" customFormat="1" ht="14.1" customHeight="1" outlineLevel="1" thickBot="1">
      <c r="A174" s="145" t="s">
        <v>0</v>
      </c>
      <c r="B174" s="267" t="str">
        <f>AK174</f>
        <v>DavidC, Brian &amp; AndreaG decide whether to expand team  'Y' to expand &gt;</v>
      </c>
      <c r="C174" s="540" t="s">
        <v>16</v>
      </c>
      <c r="D174" s="188"/>
      <c r="E174" s="880"/>
      <c r="F174"/>
      <c r="G174" s="90" t="s">
        <v>0</v>
      </c>
      <c r="H174" s="190">
        <f>AH174</f>
        <v>41792</v>
      </c>
      <c r="I174" s="745"/>
      <c r="J174"/>
      <c r="K174"/>
      <c r="L174"/>
      <c r="M174"/>
      <c r="N174"/>
      <c r="O174"/>
      <c r="P174"/>
      <c r="Q174"/>
      <c r="R174"/>
      <c r="S174"/>
      <c r="T174"/>
      <c r="U174"/>
      <c r="X174"/>
      <c r="AB174"/>
      <c r="AC174"/>
      <c r="AF174" s="361">
        <f>IF(S.Planning.DecisionToAddToPlan="A",1,0)</f>
        <v>1</v>
      </c>
      <c r="AG174" s="58"/>
      <c r="AH174" s="60">
        <f>S.Planning.AddConceptToPlanDate</f>
        <v>41792</v>
      </c>
      <c r="AI174" s="59"/>
      <c r="AJ174" s="62"/>
      <c r="AK174" s="78" t="str">
        <f>S.Staff.Program.Mgr.FirstName&amp;", "&amp;S.Staff.Subject.Expert.FirstName&amp;" &amp; "&amp;S.Staff.RG.Lead.FirstName&amp;" decide whether to expand team  'Y' to expand &gt;"</f>
        <v>DavidC, Brian &amp; AndreaG decide whether to expand team  'Y' to expand &gt;</v>
      </c>
      <c r="AL174" s="76"/>
    </row>
    <row r="175" spans="1:39" s="23" customFormat="1" ht="14.1" customHeight="1" outlineLevel="1">
      <c r="A175" s="145"/>
      <c r="B175" s="267" t="str">
        <f>AK175</f>
        <v>DavidC works with MargaretO obtains unique Q-Time number(s)</v>
      </c>
      <c r="C175" s="199"/>
      <c r="D175" s="188"/>
      <c r="E175" s="880"/>
      <c r="F175"/>
      <c r="G175" s="90" t="s">
        <v>0</v>
      </c>
      <c r="H175" s="190">
        <f>AH175</f>
        <v>41792</v>
      </c>
      <c r="I175" s="745"/>
      <c r="J175"/>
      <c r="K175"/>
      <c r="L175"/>
      <c r="M175"/>
      <c r="N175"/>
      <c r="O175"/>
      <c r="P175"/>
      <c r="Q175"/>
      <c r="R175"/>
      <c r="S175"/>
      <c r="T175"/>
      <c r="U175"/>
      <c r="X175"/>
      <c r="AB175"/>
      <c r="AC175"/>
      <c r="AF175" s="361">
        <f>IF(S.Planning.DecisionToAddToPlan="A",1,0)</f>
        <v>1</v>
      </c>
      <c r="AG175" s="58"/>
      <c r="AH175" s="60">
        <f>S.Planning.AddConceptToPlanDate</f>
        <v>41792</v>
      </c>
      <c r="AI175" s="59"/>
      <c r="AJ175" s="62"/>
      <c r="AK175" s="63" t="str">
        <f>S.Staff.Program.Mgr.FirstName&amp;" works with "&amp;S.Staff.Budget&amp;" obtains unique Q-Time number(s)"</f>
        <v>DavidC works with MargaretO obtains unique Q-Time number(s)</v>
      </c>
      <c r="AL175" s="76"/>
    </row>
    <row r="176" spans="1:39" s="23" customFormat="1" ht="14.1" customHeight="1" outlineLevel="1">
      <c r="A176" s="145"/>
      <c r="B176" s="484" t="str">
        <f>AK176</f>
        <v>for this rulemaking fromRobertB</v>
      </c>
      <c r="C176" s="196"/>
      <c r="D176" s="706"/>
      <c r="E176" s="706"/>
      <c r="F176"/>
      <c r="G176" s="192"/>
      <c r="H176" s="193"/>
      <c r="I176" s="745"/>
      <c r="AF176" s="361">
        <f>IF(S.Planning.DecisionToAddToPlan="A",1,0)</f>
        <v>1</v>
      </c>
      <c r="AG176" s="58"/>
      <c r="AH176" s="58"/>
      <c r="AI176" s="59"/>
      <c r="AJ176" s="43"/>
      <c r="AK176" s="674" t="str">
        <f>"for this rulemaking from"&amp;S.Staff.TimeAccounting</f>
        <v>for this rulemaking fromRobertB</v>
      </c>
      <c r="AL176" s="76"/>
    </row>
    <row r="177" spans="1:38" s="23" customFormat="1" ht="14.1" customHeight="1" outlineLevel="1">
      <c r="A177" s="145"/>
      <c r="B177" s="343" t="str">
        <f>AK177</f>
        <v>DavidC is responsible for:</v>
      </c>
      <c r="C177" s="196"/>
      <c r="D177" s="706"/>
      <c r="E177" s="706"/>
      <c r="F177"/>
      <c r="G177" s="192"/>
      <c r="H177" s="193"/>
      <c r="I177" s="745"/>
      <c r="J177"/>
      <c r="K177"/>
      <c r="L177"/>
      <c r="M177"/>
      <c r="N177"/>
      <c r="O177"/>
      <c r="P177"/>
      <c r="Q177"/>
      <c r="R177"/>
      <c r="S177"/>
      <c r="T177"/>
      <c r="U177"/>
      <c r="X177"/>
      <c r="AB177"/>
      <c r="AC177"/>
      <c r="AF177" s="361">
        <f>IF(S.Planning.DecisionToAddToPlan="A",1,0)</f>
        <v>1</v>
      </c>
      <c r="AG177" s="58"/>
      <c r="AH177" s="58"/>
      <c r="AI177" s="59"/>
      <c r="AJ177" s="43"/>
      <c r="AK177" s="78" t="str">
        <f>S.Staff.Program.Mgr.FirstName&amp;" is responsible for:"</f>
        <v>DavidC is responsible for:</v>
      </c>
      <c r="AL177" s="76"/>
    </row>
    <row r="178" spans="1:38" s="23" customFormat="1" ht="14.1" customHeight="1" outlineLevel="1">
      <c r="A178" s="145"/>
      <c r="B178" s="269" t="s">
        <v>558</v>
      </c>
      <c r="C178" s="199"/>
      <c r="D178"/>
      <c r="F178"/>
      <c r="G178" s="192"/>
      <c r="H178" s="192"/>
      <c r="I178" s="745"/>
      <c r="J178"/>
      <c r="K178"/>
      <c r="L178"/>
      <c r="M178"/>
      <c r="N178"/>
      <c r="O178"/>
      <c r="P178"/>
      <c r="Q178"/>
      <c r="R178"/>
      <c r="S178"/>
      <c r="T178"/>
      <c r="U178"/>
      <c r="X178"/>
      <c r="AB178"/>
      <c r="AC178"/>
      <c r="AF178" s="361">
        <f>IF(S.Planning.ExpandTeam="N",0,IF(S.Planning.DecisionToAddToPlan="A",1,0))</f>
        <v>1</v>
      </c>
      <c r="AG178" s="58"/>
      <c r="AH178" s="58"/>
      <c r="AI178" s="59"/>
      <c r="AJ178" s="62"/>
      <c r="AK178" s="346"/>
      <c r="AL178" s="76"/>
    </row>
    <row r="179" spans="1:38" s="23" customFormat="1" ht="14.1" customHeight="1" outlineLevel="1">
      <c r="A179" s="145"/>
      <c r="B179" s="269" t="s">
        <v>556</v>
      </c>
      <c r="C179" s="199"/>
      <c r="D179"/>
      <c r="F179"/>
      <c r="G179" s="192"/>
      <c r="H179" s="192"/>
      <c r="I179" s="745"/>
      <c r="J179"/>
      <c r="K179"/>
      <c r="L179"/>
      <c r="M179"/>
      <c r="N179"/>
      <c r="O179"/>
      <c r="P179"/>
      <c r="Q179"/>
      <c r="R179"/>
      <c r="S179"/>
      <c r="T179"/>
      <c r="U179"/>
      <c r="X179"/>
      <c r="AB179"/>
      <c r="AC179"/>
      <c r="AF179" s="361">
        <f>IF(S.Planning.ExpandTeam="N",0,IF(S.Planning.DecisionToAddToPlan="A",1,0))</f>
        <v>1</v>
      </c>
      <c r="AG179" s="58"/>
      <c r="AH179" s="58"/>
      <c r="AI179" s="59"/>
      <c r="AJ179" s="62"/>
      <c r="AK179" s="346"/>
      <c r="AL179" s="76"/>
    </row>
    <row r="180" spans="1:38" s="23" customFormat="1" ht="14.1" customHeight="1" outlineLevel="1">
      <c r="A180" s="145" t="s">
        <v>0</v>
      </c>
      <c r="B180" s="302" t="s">
        <v>557</v>
      </c>
      <c r="C180" s="563"/>
      <c r="D180" s="706"/>
      <c r="E180" s="706"/>
      <c r="F180"/>
      <c r="G180" s="90" t="s">
        <v>0</v>
      </c>
      <c r="H180" s="90"/>
      <c r="I180" s="745"/>
      <c r="AF180" s="361">
        <f t="shared" ref="AF180:AF191" si="6">IF(S.Planning.DecisionToAddToPlan="A",1,0)</f>
        <v>1</v>
      </c>
      <c r="AG180" s="58"/>
      <c r="AH180" s="58"/>
      <c r="AI180" s="59"/>
      <c r="AJ180" s="62"/>
      <c r="AK180" s="72" t="s">
        <v>0</v>
      </c>
      <c r="AL180" s="76"/>
    </row>
    <row r="181" spans="1:38" s="23" customFormat="1" ht="14.1" customHeight="1" outlineLevel="1">
      <c r="A181" s="145"/>
      <c r="B181" s="267" t="str">
        <f>AK181</f>
        <v>AndreaG drafts SCHEDULE:</v>
      </c>
      <c r="C181" s="195" t="s">
        <v>0</v>
      </c>
      <c r="D181" s="188"/>
      <c r="E181" s="880"/>
      <c r="F181"/>
      <c r="G181" s="90" t="s">
        <v>0</v>
      </c>
      <c r="H181" s="190">
        <f>AH181</f>
        <v>41792</v>
      </c>
      <c r="I181" s="745"/>
      <c r="AF181" s="361">
        <f t="shared" si="6"/>
        <v>1</v>
      </c>
      <c r="AG181" s="58"/>
      <c r="AH181" s="60">
        <f>S.Planning.AddConceptToPlanDate</f>
        <v>41792</v>
      </c>
      <c r="AI181" s="59"/>
      <c r="AJ181" s="43"/>
      <c r="AK181" s="63" t="str">
        <f>S.Staff.RG.Lead.FirstName&amp;" drafts SCHEDULE:"</f>
        <v>AndreaG drafts SCHEDULE:</v>
      </c>
      <c r="AL181" s="76"/>
    </row>
    <row r="182" spans="1:38" s="23" customFormat="1" ht="14.1" customHeight="1" outlineLevel="1">
      <c r="A182" s="145"/>
      <c r="B182" s="267" t="str">
        <f>AK182</f>
        <v>Brian &amp; AndreaG refine &amp; agree on draft schedule:</v>
      </c>
      <c r="C182" s="195" t="s">
        <v>0</v>
      </c>
      <c r="D182" s="188"/>
      <c r="E182" s="880"/>
      <c r="F182"/>
      <c r="G182" s="90" t="s">
        <v>0</v>
      </c>
      <c r="H182" s="190">
        <f>AH182</f>
        <v>41792</v>
      </c>
      <c r="I182" s="745"/>
      <c r="AF182" s="361">
        <f t="shared" si="6"/>
        <v>1</v>
      </c>
      <c r="AG182" s="58"/>
      <c r="AH182" s="60">
        <f>S.Planning.AddConceptToPlanDate</f>
        <v>41792</v>
      </c>
      <c r="AI182" s="59"/>
      <c r="AJ182" s="43"/>
      <c r="AK182" s="63" t="str">
        <f>S.Staff.Subject.Expert.FirstName&amp;" &amp; "&amp;S.Staff.RG.Lead.FirstName&amp;" refine &amp; agree on draft schedule:"</f>
        <v>Brian &amp; AndreaG refine &amp; agree on draft schedule:</v>
      </c>
      <c r="AL182" s="76"/>
    </row>
    <row r="183" spans="1:38" s="23" customFormat="1" ht="14.1" customHeight="1" outlineLevel="1">
      <c r="A183" s="145"/>
      <c r="B183" s="267" t="str">
        <f>AK183</f>
        <v>Brian schedules/holds team meeting(s) for consensus on:</v>
      </c>
      <c r="C183" s="195" t="s">
        <v>0</v>
      </c>
      <c r="D183" s="188"/>
      <c r="E183" s="880"/>
      <c r="F183"/>
      <c r="G183" s="190">
        <f>AG183</f>
        <v>41792</v>
      </c>
      <c r="H183" s="190">
        <f>AH183</f>
        <v>41792</v>
      </c>
      <c r="I183" s="745"/>
      <c r="J183"/>
      <c r="K183"/>
      <c r="L183"/>
      <c r="M183"/>
      <c r="N183"/>
      <c r="O183"/>
      <c r="P183"/>
      <c r="Q183"/>
      <c r="R183"/>
      <c r="S183"/>
      <c r="T183"/>
      <c r="U183"/>
      <c r="X183"/>
      <c r="AB183"/>
      <c r="AC183"/>
      <c r="AF183" s="361">
        <f t="shared" si="6"/>
        <v>1</v>
      </c>
      <c r="AG183" s="60">
        <f>S.Planning.AddConceptToPlanDate</f>
        <v>41792</v>
      </c>
      <c r="AH183" s="60">
        <f>G183</f>
        <v>41792</v>
      </c>
      <c r="AI183" s="59"/>
      <c r="AJ183" s="43"/>
      <c r="AK183" s="63" t="str">
        <f>S.Staff.Subject.Expert.FirstName&amp;" schedules/holds team meeting(s) for consensus on:"</f>
        <v>Brian schedules/holds team meeting(s) for consensus on:</v>
      </c>
      <c r="AL183" s="76"/>
    </row>
    <row r="184" spans="1:38" s="23" customFormat="1" ht="14.1" customHeight="1" outlineLevel="1">
      <c r="A184" s="145"/>
      <c r="B184" s="302" t="s">
        <v>548</v>
      </c>
      <c r="C184" s="563"/>
      <c r="D184" s="706"/>
      <c r="E184" s="706"/>
      <c r="F184" s="89"/>
      <c r="G184" s="90" t="s">
        <v>0</v>
      </c>
      <c r="H184" s="90"/>
      <c r="I184" s="745"/>
      <c r="J184"/>
      <c r="K184"/>
      <c r="L184"/>
      <c r="M184"/>
      <c r="N184"/>
      <c r="O184"/>
      <c r="P184"/>
      <c r="Q184"/>
      <c r="R184"/>
      <c r="S184"/>
      <c r="T184"/>
      <c r="U184"/>
      <c r="X184"/>
      <c r="AB184"/>
      <c r="AC184"/>
      <c r="AF184" s="361">
        <f t="shared" si="6"/>
        <v>1</v>
      </c>
      <c r="AG184" s="58"/>
      <c r="AH184" s="58"/>
      <c r="AI184" s="59"/>
      <c r="AJ184" s="62"/>
      <c r="AK184" s="72" t="s">
        <v>0</v>
      </c>
      <c r="AL184" s="76"/>
    </row>
    <row r="185" spans="1:38" s="23" customFormat="1" ht="14.1" customHeight="1" outlineLevel="1">
      <c r="A185" s="145"/>
      <c r="B185" s="302" t="s">
        <v>550</v>
      </c>
      <c r="C185" s="563"/>
      <c r="D185" s="706"/>
      <c r="E185" s="706"/>
      <c r="F185" s="89"/>
      <c r="G185" s="90" t="s">
        <v>0</v>
      </c>
      <c r="H185" s="90"/>
      <c r="I185" s="745"/>
      <c r="J185"/>
      <c r="K185"/>
      <c r="L185"/>
      <c r="M185"/>
      <c r="N185"/>
      <c r="O185"/>
      <c r="P185"/>
      <c r="Q185"/>
      <c r="R185"/>
      <c r="S185"/>
      <c r="T185"/>
      <c r="U185"/>
      <c r="X185"/>
      <c r="AB185"/>
      <c r="AC185"/>
      <c r="AF185" s="361">
        <f t="shared" si="6"/>
        <v>1</v>
      </c>
      <c r="AG185" s="58"/>
      <c r="AH185" s="58"/>
      <c r="AI185" s="59"/>
      <c r="AJ185" s="62"/>
      <c r="AK185" s="72" t="s">
        <v>0</v>
      </c>
      <c r="AL185" s="76"/>
    </row>
    <row r="186" spans="1:38" s="23" customFormat="1" ht="14.1" customHeight="1" outlineLevel="1">
      <c r="A186" s="145" t="s">
        <v>0</v>
      </c>
      <c r="B186" s="302" t="s">
        <v>549</v>
      </c>
      <c r="C186" s="563"/>
      <c r="D186" s="706"/>
      <c r="E186" s="706"/>
      <c r="F186" s="89"/>
      <c r="G186" s="90" t="s">
        <v>0</v>
      </c>
      <c r="H186" s="90"/>
      <c r="I186" s="745"/>
      <c r="J186"/>
      <c r="K186"/>
      <c r="L186"/>
      <c r="M186"/>
      <c r="N186"/>
      <c r="O186"/>
      <c r="P186"/>
      <c r="Q186"/>
      <c r="R186"/>
      <c r="S186"/>
      <c r="T186"/>
      <c r="U186"/>
      <c r="X186"/>
      <c r="AB186"/>
      <c r="AC186"/>
      <c r="AF186" s="361">
        <f t="shared" si="6"/>
        <v>1</v>
      </c>
      <c r="AG186" s="58"/>
      <c r="AH186" s="58"/>
      <c r="AI186" s="59"/>
      <c r="AJ186" s="62"/>
      <c r="AK186" s="72" t="s">
        <v>0</v>
      </c>
      <c r="AL186" s="76"/>
    </row>
    <row r="187" spans="1:38" s="23" customFormat="1" ht="14.1" customHeight="1" outlineLevel="1">
      <c r="A187" s="145" t="s">
        <v>0</v>
      </c>
      <c r="B187" s="302" t="s">
        <v>559</v>
      </c>
      <c r="C187" s="563"/>
      <c r="D187" s="706"/>
      <c r="E187" s="706"/>
      <c r="F187" s="89"/>
      <c r="G187" s="90" t="s">
        <v>0</v>
      </c>
      <c r="H187" s="90"/>
      <c r="I187" s="745"/>
      <c r="J187"/>
      <c r="K187"/>
      <c r="L187"/>
      <c r="M187"/>
      <c r="N187"/>
      <c r="O187"/>
      <c r="P187"/>
      <c r="Q187"/>
      <c r="R187"/>
      <c r="S187"/>
      <c r="T187"/>
      <c r="U187"/>
      <c r="X187"/>
      <c r="AB187"/>
      <c r="AC187"/>
      <c r="AF187" s="361">
        <f t="shared" si="6"/>
        <v>1</v>
      </c>
      <c r="AG187" s="58"/>
      <c r="AH187" s="58"/>
      <c r="AI187" s="59"/>
      <c r="AJ187" s="62"/>
      <c r="AK187" s="72" t="s">
        <v>0</v>
      </c>
      <c r="AL187" s="76"/>
    </row>
    <row r="188" spans="1:38" s="23" customFormat="1" ht="6" customHeight="1" outlineLevel="1">
      <c r="A188" s="145"/>
      <c r="B188" s="329"/>
      <c r="C188" s="329"/>
      <c r="D188" s="693"/>
      <c r="E188" s="693"/>
      <c r="F188" s="795"/>
      <c r="G188" s="286"/>
      <c r="H188" s="331"/>
      <c r="I188" s="39"/>
      <c r="AF188" s="361">
        <v>0</v>
      </c>
      <c r="AG188" s="76"/>
      <c r="AH188" s="76"/>
      <c r="AI188" s="108" t="s">
        <v>230</v>
      </c>
      <c r="AJ188" s="344"/>
      <c r="AK188" s="77"/>
      <c r="AL188" s="76"/>
    </row>
    <row r="189" spans="1:38" s="23" customFormat="1" ht="19.5" customHeight="1" outlineLevel="1">
      <c r="A189" s="145"/>
      <c r="B189" s="793" t="s">
        <v>280</v>
      </c>
      <c r="C189" s="90"/>
      <c r="D189" s="139"/>
      <c r="E189" s="139"/>
      <c r="F189" s="89"/>
      <c r="G189" s="90" t="s">
        <v>0</v>
      </c>
      <c r="H189" s="90"/>
      <c r="I189" s="745"/>
      <c r="J189"/>
      <c r="K189"/>
      <c r="L189"/>
      <c r="M189"/>
      <c r="N189"/>
      <c r="O189"/>
      <c r="P189"/>
      <c r="Q189"/>
      <c r="R189"/>
      <c r="S189"/>
      <c r="T189"/>
      <c r="U189"/>
      <c r="X189"/>
      <c r="AB189"/>
      <c r="AC189"/>
      <c r="AF189" s="361">
        <f t="shared" si="6"/>
        <v>1</v>
      </c>
      <c r="AG189" s="58"/>
      <c r="AH189" s="58"/>
      <c r="AI189" s="59"/>
      <c r="AJ189" s="43"/>
      <c r="AK189" s="47" t="s">
        <v>0</v>
      </c>
      <c r="AL189" s="76"/>
    </row>
    <row r="190" spans="1:38" s="23" customFormat="1" ht="15.75" customHeight="1" outlineLevel="2">
      <c r="A190" s="145"/>
      <c r="B190" s="303" t="str">
        <f>AK190</f>
        <v>Brian schedules/holds meeting with team, especially DavidC,</v>
      </c>
      <c r="C190" s="527"/>
      <c r="D190" s="528" t="s">
        <v>0</v>
      </c>
      <c r="E190" s="881"/>
      <c r="F190"/>
      <c r="G190" s="190">
        <f>AG190</f>
        <v>41792</v>
      </c>
      <c r="H190" s="190">
        <f>AH190</f>
        <v>41792</v>
      </c>
      <c r="I190" s="745"/>
      <c r="J190"/>
      <c r="K190"/>
      <c r="L190"/>
      <c r="M190"/>
      <c r="N190"/>
      <c r="O190"/>
      <c r="P190"/>
      <c r="Q190"/>
      <c r="R190"/>
      <c r="S190"/>
      <c r="T190"/>
      <c r="U190"/>
      <c r="X190"/>
      <c r="AB190"/>
      <c r="AC190"/>
      <c r="AF190" s="361">
        <f t="shared" si="6"/>
        <v>1</v>
      </c>
      <c r="AG190" s="60">
        <f>S.Planning.AddConceptToPlanDate</f>
        <v>41792</v>
      </c>
      <c r="AH190" s="60">
        <f>G190</f>
        <v>41792</v>
      </c>
      <c r="AI190" s="59"/>
      <c r="AJ190" s="62"/>
      <c r="AK190" s="78" t="str">
        <f>IF(S.Planning.ExpandTeam="N",S.Staff.Subject.Expert.FirstName&amp;" schedules/holds meeting with "&amp;S.Staff.Program.Mgr.FirstName&amp;" and",S.Staff.Subject.Expert.FirstName&amp;" schedules/holds meeting with team, especially "&amp;S.Staff.Program.Mgr.FirstName&amp;",")</f>
        <v>Brian schedules/holds meeting with team, especially DavidC,</v>
      </c>
      <c r="AL190" s="76"/>
    </row>
    <row r="191" spans="1:38" s="23" customFormat="1" ht="15.75" customHeight="1" outlineLevel="2" thickBot="1">
      <c r="A191" s="145" t="s">
        <v>0</v>
      </c>
      <c r="B191" s="502" t="str">
        <f>AK191</f>
        <v>BrianW and AndreaG to discuss/determine need for:</v>
      </c>
      <c r="C191" s="199"/>
      <c r="D191" s="705"/>
      <c r="E191" s="705"/>
      <c r="F191"/>
      <c r="G191"/>
      <c r="H191"/>
      <c r="I191" s="745"/>
      <c r="J191"/>
      <c r="K191"/>
      <c r="L191"/>
      <c r="M191"/>
      <c r="N191"/>
      <c r="O191"/>
      <c r="P191"/>
      <c r="Q191"/>
      <c r="R191"/>
      <c r="S191"/>
      <c r="T191"/>
      <c r="U191"/>
      <c r="X191"/>
      <c r="AB191"/>
      <c r="AC191"/>
      <c r="AF191" s="361">
        <f t="shared" si="6"/>
        <v>1</v>
      </c>
      <c r="AG191" s="59"/>
      <c r="AH191" s="59"/>
      <c r="AI191" s="59"/>
      <c r="AJ191" s="62"/>
      <c r="AK191" s="568" t="str">
        <f>S.Staff.PublicAffairsOfficer&amp;" and "&amp;S.Staff.RG.Lead.FirstName&amp;" to discuss/determine need for:"</f>
        <v>BrianW and AndreaG to discuss/determine need for:</v>
      </c>
      <c r="AL191" s="76"/>
    </row>
    <row r="192" spans="1:38" s="23" customFormat="1" ht="15.75" hidden="1" customHeight="1" outlineLevel="2" thickBot="1">
      <c r="A192" s="145"/>
      <c r="B192" s="729" t="s">
        <v>332</v>
      </c>
      <c r="C192" s="540" t="s">
        <v>206</v>
      </c>
      <c r="D192" s="705"/>
      <c r="E192" s="705"/>
      <c r="F192"/>
      <c r="G192"/>
      <c r="H192"/>
      <c r="I192" s="745"/>
      <c r="J192"/>
      <c r="K192"/>
      <c r="L192"/>
      <c r="M192"/>
      <c r="N192"/>
      <c r="O192"/>
      <c r="P192"/>
      <c r="Q192"/>
      <c r="R192"/>
      <c r="S192"/>
      <c r="T192"/>
      <c r="U192"/>
      <c r="X192"/>
      <c r="AB192"/>
      <c r="AC192"/>
      <c r="AF192" s="361">
        <f>IF(S.Planning.CommunicationsPlan="Y",1,0)</f>
        <v>0</v>
      </c>
      <c r="AG192" s="59"/>
      <c r="AH192" s="59"/>
      <c r="AI192" s="909" t="str">
        <f>IF(AND(S.Planning.CommunicationsPlan="Y",S.Planning.MessageMap="Y",S.Notice.NewsRelease="Y"),"Y","N")</f>
        <v>N</v>
      </c>
      <c r="AJ192" s="62"/>
      <c r="AK192" s="44"/>
      <c r="AL192" s="76"/>
    </row>
    <row r="193" spans="1:39" s="23" customFormat="1" ht="15.75" hidden="1" customHeight="1" outlineLevel="2" thickBot="1">
      <c r="A193" s="145"/>
      <c r="B193" s="729" t="s">
        <v>333</v>
      </c>
      <c r="C193" s="539" t="s">
        <v>206</v>
      </c>
      <c r="D193" s="705"/>
      <c r="E193" s="705"/>
      <c r="F193"/>
      <c r="G193"/>
      <c r="H193"/>
      <c r="I193" s="745"/>
      <c r="J193"/>
      <c r="K193"/>
      <c r="L193"/>
      <c r="M193"/>
      <c r="N193"/>
      <c r="O193"/>
      <c r="P193"/>
      <c r="Q193"/>
      <c r="R193"/>
      <c r="S193"/>
      <c r="T193"/>
      <c r="U193"/>
      <c r="X193"/>
      <c r="AB193"/>
      <c r="AC193"/>
      <c r="AF193" s="361">
        <f>IF(S.Planning.MessageMap="Y",1,0)</f>
        <v>0</v>
      </c>
      <c r="AG193" s="59"/>
      <c r="AH193" s="59"/>
      <c r="AI193" s="59"/>
      <c r="AJ193" s="62"/>
      <c r="AK193" s="44"/>
      <c r="AL193" s="76"/>
    </row>
    <row r="194" spans="1:39" s="23" customFormat="1" ht="15" customHeight="1" outlineLevel="2" thickBot="1">
      <c r="A194" s="145"/>
      <c r="B194" s="729" t="s">
        <v>588</v>
      </c>
      <c r="C194" s="539" t="s">
        <v>16</v>
      </c>
      <c r="D194" s="705"/>
      <c r="E194" s="705"/>
      <c r="F194" s="257" t="s">
        <v>0</v>
      </c>
      <c r="G194" s="258"/>
      <c r="H194" s="258"/>
      <c r="I194" s="745"/>
      <c r="AF194" s="361">
        <f>IF(S.Notice.AD.Involved="Y",1,0)</f>
        <v>1</v>
      </c>
      <c r="AG194" s="58" t="s">
        <v>0</v>
      </c>
      <c r="AH194" s="58"/>
      <c r="AI194" s="58"/>
      <c r="AJ194" s="66"/>
      <c r="AK194" s="44"/>
      <c r="AL194" s="76"/>
    </row>
    <row r="195" spans="1:39" s="23" customFormat="1" ht="15" hidden="1" customHeight="1" outlineLevel="2" thickBot="1">
      <c r="A195" s="145"/>
      <c r="B195" s="729" t="s">
        <v>616</v>
      </c>
      <c r="C195" s="539" t="s">
        <v>206</v>
      </c>
      <c r="D195" s="705"/>
      <c r="E195" s="705"/>
      <c r="F195" s="257" t="s">
        <v>0</v>
      </c>
      <c r="G195" s="258"/>
      <c r="H195" s="258"/>
      <c r="I195" s="745"/>
      <c r="AF195" s="361">
        <f>IF(S.Notice.NewsRelease="Y",1,0)</f>
        <v>0</v>
      </c>
      <c r="AG195" s="58" t="s">
        <v>0</v>
      </c>
      <c r="AH195" s="58"/>
      <c r="AI195" s="58"/>
      <c r="AJ195" s="66"/>
      <c r="AK195" s="44"/>
      <c r="AL195" s="76"/>
    </row>
    <row r="196" spans="1:39" s="23" customFormat="1" ht="15" hidden="1" customHeight="1" outlineLevel="2" thickBot="1">
      <c r="A196" s="145"/>
      <c r="B196" s="729" t="s">
        <v>334</v>
      </c>
      <c r="C196" s="539" t="s">
        <v>206</v>
      </c>
      <c r="D196" s="705"/>
      <c r="E196" s="705"/>
      <c r="F196" s="257" t="s">
        <v>0</v>
      </c>
      <c r="G196" s="258"/>
      <c r="H196" s="258"/>
      <c r="I196" s="745"/>
      <c r="J196"/>
      <c r="K196"/>
      <c r="L196"/>
      <c r="M196"/>
      <c r="N196"/>
      <c r="O196"/>
      <c r="P196"/>
      <c r="Q196"/>
      <c r="R196"/>
      <c r="S196"/>
      <c r="T196"/>
      <c r="U196"/>
      <c r="X196"/>
      <c r="AB196"/>
      <c r="AC196"/>
      <c r="AF196" s="361">
        <f>IF(S.Planning.ProgramWebPage="Y",1,0)</f>
        <v>0</v>
      </c>
      <c r="AG196" s="58" t="s">
        <v>0</v>
      </c>
      <c r="AH196" s="58"/>
      <c r="AI196" s="58"/>
      <c r="AJ196" s="66"/>
      <c r="AK196" s="44"/>
      <c r="AL196" s="76"/>
    </row>
    <row r="197" spans="1:39" s="23" customFormat="1" ht="15.75" hidden="1" customHeight="1" outlineLevel="2" thickBot="1">
      <c r="A197" s="145"/>
      <c r="B197" s="735" t="s">
        <v>335</v>
      </c>
      <c r="C197" s="539" t="s">
        <v>206</v>
      </c>
      <c r="D197" s="705"/>
      <c r="E197" s="705"/>
      <c r="F197" s="262"/>
      <c r="G197" s="258" t="s">
        <v>0</v>
      </c>
      <c r="H197" s="258"/>
      <c r="I197" s="745"/>
      <c r="J197"/>
      <c r="K197"/>
      <c r="L197"/>
      <c r="M197"/>
      <c r="N197"/>
      <c r="O197"/>
      <c r="P197"/>
      <c r="Q197"/>
      <c r="R197"/>
      <c r="S197"/>
      <c r="T197"/>
      <c r="U197"/>
      <c r="X197"/>
      <c r="AB197"/>
      <c r="AC197"/>
      <c r="AF197" s="361">
        <f>IF(S.Notice.InformationMeeting="N",,1)</f>
        <v>0</v>
      </c>
      <c r="AG197" s="58"/>
      <c r="AH197" s="58"/>
      <c r="AI197" s="59"/>
      <c r="AJ197" s="43"/>
      <c r="AK197" s="381"/>
      <c r="AL197" s="76"/>
    </row>
    <row r="198" spans="1:39" s="23" customFormat="1" ht="6" customHeight="1" outlineLevel="2">
      <c r="A198" s="145"/>
      <c r="B198" s="329"/>
      <c r="C198" s="329"/>
      <c r="D198" s="693"/>
      <c r="E198" s="693"/>
      <c r="F198" s="795"/>
      <c r="G198" s="286"/>
      <c r="H198" s="331"/>
      <c r="I198" s="39"/>
      <c r="AF198" s="361">
        <v>0</v>
      </c>
      <c r="AG198" s="76"/>
      <c r="AH198" s="76"/>
      <c r="AI198" s="108" t="s">
        <v>230</v>
      </c>
      <c r="AJ198" s="344"/>
      <c r="AK198" s="77"/>
      <c r="AL198" s="76"/>
    </row>
    <row r="199" spans="1:39" s="23" customFormat="1" ht="20.25" hidden="1" customHeight="1" outlineLevel="3">
      <c r="A199" s="145"/>
      <c r="B199" s="794" t="s">
        <v>645</v>
      </c>
      <c r="C199"/>
      <c r="D199" s="271"/>
      <c r="E199" s="271"/>
      <c r="F199" s="257" t="s">
        <v>0</v>
      </c>
      <c r="G199" s="258"/>
      <c r="H199" s="258"/>
      <c r="I199" s="745"/>
      <c r="J199"/>
      <c r="K199"/>
      <c r="L199"/>
      <c r="M199"/>
      <c r="N199"/>
      <c r="O199"/>
      <c r="P199"/>
      <c r="Q199"/>
      <c r="R199"/>
      <c r="S199"/>
      <c r="T199"/>
      <c r="U199"/>
      <c r="X199"/>
      <c r="AB199"/>
      <c r="AC199"/>
      <c r="AF199" s="361">
        <f>IF(OR(S.Planning.CommunicationsPlan="Y",S.Planning.MessageMap="Y",S.Planning.ProgramWebPage="Y"),1,0)</f>
        <v>0</v>
      </c>
      <c r="AG199" s="58" t="s">
        <v>0</v>
      </c>
      <c r="AH199" s="58"/>
      <c r="AI199" s="58"/>
      <c r="AJ199" s="66"/>
      <c r="AK199" s="44"/>
      <c r="AL199" s="76"/>
    </row>
    <row r="200" spans="1:39" s="23" customFormat="1" ht="15" hidden="1" customHeight="1" outlineLevel="3">
      <c r="A200" s="145"/>
      <c r="B200" s="518" t="str">
        <f>AK200</f>
        <v>Brian leads communication option review and approval loops for:</v>
      </c>
      <c r="C200" s="195" t="s">
        <v>0</v>
      </c>
      <c r="D200"/>
      <c r="F200"/>
      <c r="G200" s="730"/>
      <c r="H200"/>
      <c r="I200" s="745"/>
      <c r="J200"/>
      <c r="K200"/>
      <c r="L200"/>
      <c r="M200"/>
      <c r="N200"/>
      <c r="O200"/>
      <c r="P200"/>
      <c r="Q200"/>
      <c r="R200"/>
      <c r="S200"/>
      <c r="T200"/>
      <c r="U200"/>
      <c r="X200"/>
      <c r="AB200"/>
      <c r="AC200"/>
      <c r="AF200" s="361">
        <f>IF(OR(S.Planning.CommunicationsPlan="Y",S.Planning.MessageMap="Y",S.Planning.ProgramWebPage="Y"),1,0)</f>
        <v>0</v>
      </c>
      <c r="AG200" s="58"/>
      <c r="AH200" s="58"/>
      <c r="AI200" s="59"/>
      <c r="AJ200" s="43"/>
      <c r="AK200" s="63" t="str">
        <f>S.Staff.Subject.Expert.FirstName&amp;" leads communication option review and approval loops for:"</f>
        <v>Brian leads communication option review and approval loops for:</v>
      </c>
      <c r="AL200" s="76"/>
    </row>
    <row r="201" spans="1:39" s="23" customFormat="1" ht="15.75" hidden="1" customHeight="1" outlineLevel="3">
      <c r="A201" s="145"/>
      <c r="B201" s="520" t="str">
        <f>AK201</f>
        <v>* drafting COMMUNICATION.PLAN with BrianW using information</v>
      </c>
      <c r="C201" s="510" t="str">
        <f>HYPERLINK("http://deq05/intranet/communication/publicinvolvement/index.htm","i")</f>
        <v>i</v>
      </c>
      <c r="D201" s="188"/>
      <c r="E201" s="880"/>
      <c r="F201"/>
      <c r="G201" s="259">
        <f>AG201</f>
        <v>41792</v>
      </c>
      <c r="H201" s="256">
        <f>AH201</f>
        <v>41792</v>
      </c>
      <c r="I201" s="745"/>
      <c r="J201"/>
      <c r="K201"/>
      <c r="L201"/>
      <c r="M201"/>
      <c r="N201"/>
      <c r="O201"/>
      <c r="P201"/>
      <c r="Q201"/>
      <c r="R201"/>
      <c r="S201"/>
      <c r="T201"/>
      <c r="U201"/>
      <c r="X201"/>
      <c r="AB201"/>
      <c r="AC201"/>
      <c r="AF201" s="361">
        <f>IF(S.Planning.CommunicationsPlan="Y",1,0)</f>
        <v>0</v>
      </c>
      <c r="AG201" s="60">
        <f>S.Planning.CommunicationMeeting</f>
        <v>41792</v>
      </c>
      <c r="AH201" s="60">
        <f>G201</f>
        <v>41792</v>
      </c>
      <c r="AI201" s="59"/>
      <c r="AJ201" s="62"/>
      <c r="AK201" s="78" t="str">
        <f>"* drafting COMMUNICATION.PLAN with "&amp;S.Staff.PublicAffairsOfficer&amp;" using information"</f>
        <v>* drafting COMMUNICATION.PLAN with BrianW using information</v>
      </c>
      <c r="AL201" s="76"/>
    </row>
    <row r="202" spans="1:39" s="23" customFormat="1" ht="15" hidden="1" customHeight="1" outlineLevel="3">
      <c r="A202" s="145"/>
      <c r="B202" s="521" t="s">
        <v>551</v>
      </c>
      <c r="C202" s="731" t="s">
        <v>0</v>
      </c>
      <c r="D202" s="732"/>
      <c r="E202" s="882"/>
      <c r="F202"/>
      <c r="G202" s="264" t="s">
        <v>0</v>
      </c>
      <c r="I202" s="745"/>
      <c r="AF202" s="361">
        <f>IF(S.Planning.CommunicationsPlan="Y",1,0)</f>
        <v>0</v>
      </c>
      <c r="AG202" s="58" t="s">
        <v>0</v>
      </c>
      <c r="AH202" s="58"/>
      <c r="AI202" s="47"/>
      <c r="AJ202" s="44"/>
      <c r="AK202" s="44"/>
      <c r="AL202" s="76"/>
    </row>
    <row r="203" spans="1:39" ht="15.75" hidden="1" customHeight="1" outlineLevel="3">
      <c r="A203" s="145"/>
      <c r="B203" s="519" t="str">
        <f>AK203</f>
        <v>* drafting MESSAGE.MAP with BrianW</v>
      </c>
      <c r="C203" s="510" t="str">
        <f>HYPERLINK("http://deq05/intranet/communication/index.htm","i")</f>
        <v>i</v>
      </c>
      <c r="D203" s="188"/>
      <c r="E203" s="880"/>
      <c r="F203"/>
      <c r="G203" s="256">
        <f>AG203</f>
        <v>41792</v>
      </c>
      <c r="H203" s="256">
        <f>AH203</f>
        <v>41792</v>
      </c>
      <c r="I203" s="745"/>
      <c r="AF203" s="362">
        <f>IF(S.Planning.MessageMap="Y",1,0)</f>
        <v>0</v>
      </c>
      <c r="AG203" s="60">
        <f>G201</f>
        <v>41792</v>
      </c>
      <c r="AH203" s="60">
        <f>G203</f>
        <v>41792</v>
      </c>
      <c r="AI203" s="59"/>
      <c r="AJ203" s="59"/>
      <c r="AK203" s="78" t="str">
        <f>"* drafting MESSAGE.MAP with "&amp;S.Staff.PublicAffairsOfficer</f>
        <v>* drafting MESSAGE.MAP with BrianW</v>
      </c>
      <c r="AL203" s="76"/>
      <c r="AM203"/>
    </row>
    <row r="204" spans="1:39" s="23" customFormat="1" ht="15" hidden="1" customHeight="1" outlineLevel="3">
      <c r="A204" s="145"/>
      <c r="B204" s="519" t="str">
        <f>AK204</f>
        <v>* drafting  PROGRAM.WEB.PAGE content with team and Michele</v>
      </c>
      <c r="C204" s="268"/>
      <c r="D204" s="188"/>
      <c r="E204" s="880"/>
      <c r="F204"/>
      <c r="G204" s="259">
        <f>AG204</f>
        <v>41792</v>
      </c>
      <c r="H204" s="256">
        <f>AH204</f>
        <v>41792</v>
      </c>
      <c r="I204" s="745"/>
      <c r="J204"/>
      <c r="K204"/>
      <c r="L204"/>
      <c r="M204"/>
      <c r="N204"/>
      <c r="O204"/>
      <c r="P204"/>
      <c r="Q204"/>
      <c r="R204"/>
      <c r="S204"/>
      <c r="T204"/>
      <c r="U204"/>
      <c r="X204"/>
      <c r="AB204"/>
      <c r="AC204"/>
      <c r="AF204" s="362">
        <f>IF(S.Planning.ProgramWebPage="Y",1,0)</f>
        <v>0</v>
      </c>
      <c r="AG204" s="60">
        <f>G203</f>
        <v>41792</v>
      </c>
      <c r="AH204" s="60">
        <f>G204</f>
        <v>41792</v>
      </c>
      <c r="AI204" s="58"/>
      <c r="AJ204" s="44"/>
      <c r="AK204" s="182" t="str">
        <f>"* drafting  PROGRAM.WEB.PAGE content with team and "&amp;S.Staff.WebMaster</f>
        <v>* drafting  PROGRAM.WEB.PAGE content with team and Michele</v>
      </c>
      <c r="AL204" s="76"/>
    </row>
    <row r="205" spans="1:39" s="23" customFormat="1" ht="15" hidden="1" customHeight="1" outlineLevel="3">
      <c r="A205" s="145"/>
      <c r="B205" s="518" t="str">
        <f>AK205</f>
        <v>DavidC:</v>
      </c>
      <c r="C205" s="195" t="s">
        <v>0</v>
      </c>
      <c r="D205" s="197"/>
      <c r="E205" s="879"/>
      <c r="F205"/>
      <c r="G205" s="351"/>
      <c r="H205" s="351"/>
      <c r="I205" s="745"/>
      <c r="J205"/>
      <c r="K205"/>
      <c r="L205"/>
      <c r="M205"/>
      <c r="N205"/>
      <c r="O205"/>
      <c r="P205"/>
      <c r="Q205"/>
      <c r="R205"/>
      <c r="S205"/>
      <c r="T205"/>
      <c r="U205"/>
      <c r="X205"/>
      <c r="AB205"/>
      <c r="AC205"/>
      <c r="AF205" s="361">
        <f>IF(OR(S.Planning.CommunicationsPlan="Y",S.Planning.MessageMap="Y",S.Planning.ProgramWebPage="Y"),1,0)</f>
        <v>0</v>
      </c>
      <c r="AG205" s="47"/>
      <c r="AH205" s="47"/>
      <c r="AI205" s="59"/>
      <c r="AJ205" s="43"/>
      <c r="AK205" s="63" t="str">
        <f>S.Staff.Program.Mgr.FirstName&amp;":"</f>
        <v>DavidC:</v>
      </c>
      <c r="AL205" s="76"/>
    </row>
    <row r="206" spans="1:39" s="23" customFormat="1" ht="15" hidden="1" customHeight="1" outlineLevel="3">
      <c r="A206" s="145"/>
      <c r="B206" s="519" t="str">
        <f>AK206</f>
        <v>* shares content with Uri and approves content:</v>
      </c>
      <c r="C206" s="268"/>
      <c r="D206" s="281"/>
      <c r="E206" s="882"/>
      <c r="F206"/>
      <c r="G206" s="256">
        <f t="shared" ref="G206:H211" si="7">AG206</f>
        <v>41792</v>
      </c>
      <c r="H206" s="256">
        <f t="shared" si="7"/>
        <v>41792</v>
      </c>
      <c r="I206" s="745"/>
      <c r="J206"/>
      <c r="K206"/>
      <c r="L206"/>
      <c r="M206"/>
      <c r="N206"/>
      <c r="O206"/>
      <c r="P206"/>
      <c r="Q206"/>
      <c r="R206"/>
      <c r="S206"/>
      <c r="T206"/>
      <c r="U206"/>
      <c r="X206"/>
      <c r="AB206"/>
      <c r="AC206"/>
      <c r="AF206" s="361">
        <f>IF(OR(S.Planning.CommunicationsPlan="Y",S.Planning.MessageMap="Y",S.Planning.ProgramWebPage="Y"),1,0)</f>
        <v>0</v>
      </c>
      <c r="AG206" s="60">
        <f>H204</f>
        <v>41792</v>
      </c>
      <c r="AH206" s="60">
        <f t="shared" ref="AH206:AH211" si="8">G206</f>
        <v>41792</v>
      </c>
      <c r="AI206" s="58"/>
      <c r="AJ206" s="44"/>
      <c r="AK206" s="182" t="str">
        <f>"* shares content with "&amp;S.Staff.Assistant.DA.ShortName&amp;" and approves content:"</f>
        <v>* shares content with Uri and approves content:</v>
      </c>
      <c r="AL206" s="76"/>
    </row>
    <row r="207" spans="1:39" s="23" customFormat="1" ht="15" hidden="1" customHeight="1" outlineLevel="3" thickBot="1">
      <c r="A207" s="145"/>
      <c r="B207" s="521" t="s">
        <v>262</v>
      </c>
      <c r="C207" s="541" t="s">
        <v>0</v>
      </c>
      <c r="D207" s="281"/>
      <c r="E207" s="882"/>
      <c r="F207"/>
      <c r="G207" s="256">
        <f t="shared" si="7"/>
        <v>41792</v>
      </c>
      <c r="H207" s="256">
        <f t="shared" si="7"/>
        <v>41792</v>
      </c>
      <c r="I207" s="745"/>
      <c r="J207"/>
      <c r="K207"/>
      <c r="L207"/>
      <c r="M207"/>
      <c r="N207"/>
      <c r="O207"/>
      <c r="P207"/>
      <c r="Q207"/>
      <c r="R207"/>
      <c r="S207"/>
      <c r="T207"/>
      <c r="U207"/>
      <c r="X207"/>
      <c r="AB207"/>
      <c r="AC207"/>
      <c r="AF207" s="361">
        <f>IF(OR(S.Planning.CommunicationsPlan="Y",S.Planning.MessageMap="Y",S.Planning.ProgramWebPage="Y"),1,0)</f>
        <v>0</v>
      </c>
      <c r="AG207" s="60">
        <f>H206</f>
        <v>41792</v>
      </c>
      <c r="AH207" s="60">
        <f t="shared" si="8"/>
        <v>41792</v>
      </c>
      <c r="AI207" s="47"/>
      <c r="AJ207" s="44"/>
      <c r="AK207" s="72"/>
      <c r="AL207" s="76"/>
    </row>
    <row r="208" spans="1:39" s="23" customFormat="1" ht="15" hidden="1" customHeight="1" outlineLevel="3" thickBot="1">
      <c r="A208" s="145"/>
      <c r="B208" s="449" t="s">
        <v>263</v>
      </c>
      <c r="C208" s="481" t="s">
        <v>206</v>
      </c>
      <c r="D208" s="281"/>
      <c r="E208" s="882"/>
      <c r="F208"/>
      <c r="G208" s="259">
        <f t="shared" si="7"/>
        <v>0</v>
      </c>
      <c r="H208" s="256">
        <f t="shared" si="7"/>
        <v>0</v>
      </c>
      <c r="I208" s="745"/>
      <c r="J208"/>
      <c r="K208"/>
      <c r="L208"/>
      <c r="M208"/>
      <c r="N208"/>
      <c r="O208"/>
      <c r="P208"/>
      <c r="Q208"/>
      <c r="R208"/>
      <c r="S208"/>
      <c r="T208"/>
      <c r="U208"/>
      <c r="X208"/>
      <c r="AB208"/>
      <c r="AC208"/>
      <c r="AF208" s="361">
        <f>IF(S.Planning.ApproveCommunicationsLoop2="N",,IF(OR(S.Planning.CommunicationsPlan="Y",S.Planning.MessageMap="Y",S.Planning.ProgramWebPage="Y"),1,0))</f>
        <v>0</v>
      </c>
      <c r="AG208" s="60">
        <f>IF(AF208=0,,H207)</f>
        <v>0</v>
      </c>
      <c r="AH208" s="60">
        <f t="shared" si="8"/>
        <v>0</v>
      </c>
      <c r="AI208" s="47"/>
      <c r="AJ208" s="44"/>
      <c r="AK208" s="72"/>
      <c r="AL208" s="76"/>
    </row>
    <row r="209" spans="1:38" s="23" customFormat="1" ht="15" hidden="1" customHeight="1" outlineLevel="3" thickBot="1">
      <c r="A209" s="145"/>
      <c r="B209" s="446" t="s">
        <v>264</v>
      </c>
      <c r="C209" s="481" t="s">
        <v>206</v>
      </c>
      <c r="D209" s="281"/>
      <c r="E209" s="882"/>
      <c r="F209"/>
      <c r="G209" s="259">
        <f t="shared" si="7"/>
        <v>0</v>
      </c>
      <c r="H209" s="256">
        <f t="shared" si="7"/>
        <v>0</v>
      </c>
      <c r="I209" s="745"/>
      <c r="J209"/>
      <c r="K209"/>
      <c r="L209"/>
      <c r="M209"/>
      <c r="N209"/>
      <c r="O209"/>
      <c r="P209"/>
      <c r="Q209"/>
      <c r="R209"/>
      <c r="S209"/>
      <c r="T209"/>
      <c r="U209"/>
      <c r="X209"/>
      <c r="AB209"/>
      <c r="AC209"/>
      <c r="AF209" s="361">
        <f>IF(S.Planning.ApproveCommunicationsLoop3="N",,IF(OR(S.Planning.CommunicationsPlan="Y",S.Planning.MessageMap="Y",S.Planning.ProgramWebPage="Y"),1,0))</f>
        <v>0</v>
      </c>
      <c r="AG209" s="60">
        <f>IF(AF209=0,,H208)</f>
        <v>0</v>
      </c>
      <c r="AH209" s="60">
        <f t="shared" si="8"/>
        <v>0</v>
      </c>
      <c r="AI209" s="47"/>
      <c r="AJ209" s="44"/>
      <c r="AK209" s="72"/>
      <c r="AL209" s="76"/>
    </row>
    <row r="210" spans="1:38" s="23" customFormat="1" ht="15" hidden="1" customHeight="1" outlineLevel="3" thickBot="1">
      <c r="A210" s="145"/>
      <c r="B210" s="522" t="s">
        <v>266</v>
      </c>
      <c r="C210" s="481" t="s">
        <v>206</v>
      </c>
      <c r="D210" s="281"/>
      <c r="E210" s="882"/>
      <c r="F210"/>
      <c r="G210" s="259">
        <f t="shared" si="7"/>
        <v>0</v>
      </c>
      <c r="H210" s="256">
        <f t="shared" si="7"/>
        <v>0</v>
      </c>
      <c r="I210" s="745"/>
      <c r="J210"/>
      <c r="K210"/>
      <c r="L210"/>
      <c r="M210"/>
      <c r="N210"/>
      <c r="O210"/>
      <c r="P210"/>
      <c r="Q210"/>
      <c r="R210"/>
      <c r="S210"/>
      <c r="T210"/>
      <c r="U210"/>
      <c r="X210"/>
      <c r="AB210"/>
      <c r="AC210"/>
      <c r="AF210" s="361">
        <f>IF(S.Planning.ApproveCommunicationsLoop4="N",,IF(OR(S.Planning.CommunicationsPlan="Y",S.Planning.MessageMap="Y",S.Planning.ProgramWebPage="Y"),1,0))</f>
        <v>0</v>
      </c>
      <c r="AG210" s="60">
        <f>IF(AF210=0,,H209)</f>
        <v>0</v>
      </c>
      <c r="AH210" s="60">
        <f t="shared" si="8"/>
        <v>0</v>
      </c>
      <c r="AI210" s="47"/>
      <c r="AJ210" s="44"/>
      <c r="AK210" s="72"/>
      <c r="AL210" s="76"/>
    </row>
    <row r="211" spans="1:38" s="23" customFormat="1" ht="15" hidden="1" customHeight="1" outlineLevel="3">
      <c r="A211" s="145"/>
      <c r="B211" s="518" t="str">
        <f>AK211</f>
        <v>Brian leads program Web page development:</v>
      </c>
      <c r="C211" s="195" t="s">
        <v>0</v>
      </c>
      <c r="D211" s="281"/>
      <c r="E211" s="882"/>
      <c r="F211"/>
      <c r="G211" s="259">
        <f t="shared" si="7"/>
        <v>41761</v>
      </c>
      <c r="H211" s="256">
        <f t="shared" si="7"/>
        <v>41761</v>
      </c>
      <c r="I211" s="745"/>
      <c r="J211"/>
      <c r="K211"/>
      <c r="L211"/>
      <c r="M211"/>
      <c r="N211"/>
      <c r="O211"/>
      <c r="P211"/>
      <c r="Q211"/>
      <c r="R211"/>
      <c r="S211"/>
      <c r="T211"/>
      <c r="U211"/>
      <c r="X211"/>
      <c r="AB211"/>
      <c r="AC211"/>
      <c r="AF211" s="361">
        <f>IF(S.Planning.ProgramWebPage="Y",1,0)</f>
        <v>0</v>
      </c>
      <c r="AG211" s="60">
        <f>S.AC.BANNER.Begin</f>
        <v>41761</v>
      </c>
      <c r="AH211" s="60">
        <f t="shared" si="8"/>
        <v>41761</v>
      </c>
      <c r="AI211" s="59"/>
      <c r="AJ211" s="43"/>
      <c r="AK211" s="63" t="str">
        <f>S.Staff.Subject.Expert.FirstName&amp;" leads program Web page development:"</f>
        <v>Brian leads program Web page development:</v>
      </c>
      <c r="AL211" s="76"/>
    </row>
    <row r="212" spans="1:38" s="23" customFormat="1" ht="15" hidden="1" customHeight="1" outlineLevel="3">
      <c r="A212" s="145"/>
      <c r="B212" s="519" t="s">
        <v>553</v>
      </c>
      <c r="C212" s="282" t="s">
        <v>0</v>
      </c>
      <c r="D212" s="281"/>
      <c r="E212" s="882"/>
      <c r="F212"/>
      <c r="G212"/>
      <c r="H212"/>
      <c r="I212" s="745"/>
      <c r="J212"/>
      <c r="K212"/>
      <c r="L212"/>
      <c r="M212"/>
      <c r="N212"/>
      <c r="O212"/>
      <c r="P212"/>
      <c r="Q212"/>
      <c r="R212"/>
      <c r="S212"/>
      <c r="T212"/>
      <c r="U212"/>
      <c r="X212"/>
      <c r="AB212"/>
      <c r="AC212"/>
      <c r="AF212" s="361">
        <f>IF(S.Planning.ProgramWebPage="Y",1,0)</f>
        <v>0</v>
      </c>
      <c r="AG212" s="59"/>
      <c r="AH212" s="59"/>
      <c r="AI212" s="47"/>
      <c r="AJ212" s="44"/>
      <c r="AK212" s="72"/>
      <c r="AL212" s="76"/>
    </row>
    <row r="213" spans="1:38" s="23" customFormat="1" ht="15" hidden="1" customHeight="1" outlineLevel="3">
      <c r="A213" s="145" t="s">
        <v>230</v>
      </c>
      <c r="B213" s="519" t="s">
        <v>265</v>
      </c>
      <c r="C213" s="282" t="s">
        <v>0</v>
      </c>
      <c r="D213" s="281"/>
      <c r="E213" s="882"/>
      <c r="F213"/>
      <c r="G213"/>
      <c r="H213"/>
      <c r="I213" s="745"/>
      <c r="J213"/>
      <c r="K213"/>
      <c r="L213"/>
      <c r="M213"/>
      <c r="N213"/>
      <c r="O213"/>
      <c r="P213"/>
      <c r="Q213"/>
      <c r="R213"/>
      <c r="S213"/>
      <c r="T213"/>
      <c r="U213"/>
      <c r="X213"/>
      <c r="AB213"/>
      <c r="AC213"/>
      <c r="AF213" s="361">
        <f>IF(S.Planning.ProgramWebPage="Y",1,0)</f>
        <v>0</v>
      </c>
      <c r="AG213" s="59"/>
      <c r="AH213" s="59"/>
      <c r="AI213" s="47"/>
      <c r="AJ213" s="44"/>
      <c r="AK213" s="72"/>
      <c r="AL213" s="76"/>
    </row>
    <row r="214" spans="1:38" s="23" customFormat="1" ht="15" hidden="1" customHeight="1" outlineLevel="3">
      <c r="A214" s="145"/>
      <c r="B214" s="520" t="str">
        <f>AK214</f>
        <v>* works with Michele to make adjustments</v>
      </c>
      <c r="C214" s="282" t="s">
        <v>0</v>
      </c>
      <c r="D214" s="281"/>
      <c r="E214" s="882"/>
      <c r="F214"/>
      <c r="G214"/>
      <c r="H214"/>
      <c r="I214" s="745"/>
      <c r="J214"/>
      <c r="K214"/>
      <c r="L214"/>
      <c r="M214"/>
      <c r="N214"/>
      <c r="O214"/>
      <c r="P214"/>
      <c r="Q214"/>
      <c r="R214"/>
      <c r="S214"/>
      <c r="T214"/>
      <c r="U214"/>
      <c r="X214"/>
      <c r="AB214"/>
      <c r="AC214"/>
      <c r="AF214" s="361">
        <f>IF(S.Planning.ProgramWebPage="Y",1,0)</f>
        <v>0</v>
      </c>
      <c r="AG214" s="59"/>
      <c r="AH214" s="59"/>
      <c r="AI214" s="47"/>
      <c r="AJ214" s="44"/>
      <c r="AK214" s="182" t="str">
        <f>"* works with "&amp;S.Staff.WebMaster&amp;" to make adjustments"</f>
        <v>* works with Michele to make adjustments</v>
      </c>
      <c r="AL214" s="76"/>
    </row>
    <row r="215" spans="1:38" s="23" customFormat="1" ht="7.5" customHeight="1" outlineLevel="2" collapsed="1">
      <c r="A215" s="145"/>
      <c r="B215" s="329"/>
      <c r="C215" s="329"/>
      <c r="D215" s="693"/>
      <c r="E215" s="693"/>
      <c r="F215" s="795"/>
      <c r="G215" s="286"/>
      <c r="H215" s="331"/>
      <c r="I215" s="39"/>
      <c r="AF215" s="361">
        <v>0</v>
      </c>
      <c r="AG215" s="76"/>
      <c r="AH215" s="76"/>
      <c r="AI215" s="108" t="s">
        <v>230</v>
      </c>
      <c r="AJ215" s="344"/>
      <c r="AK215" s="77"/>
      <c r="AL215" s="76"/>
    </row>
    <row r="216" spans="1:38" s="23" customFormat="1" ht="20.25" customHeight="1" outlineLevel="1">
      <c r="A216" s="145"/>
      <c r="B216" s="523" t="s">
        <v>573</v>
      </c>
      <c r="C216" s="82"/>
      <c r="D216" s="692"/>
      <c r="E216" s="692"/>
      <c r="F216" s="83"/>
      <c r="G216" s="82"/>
      <c r="H216" s="82"/>
      <c r="I216" s="745"/>
      <c r="AF216" s="361">
        <f>IF(S.Hearing.1stInvolve="Y",1,0)</f>
        <v>1</v>
      </c>
      <c r="AG216" s="47"/>
      <c r="AH216" s="47"/>
      <c r="AI216" s="69"/>
      <c r="AJ216" s="69"/>
      <c r="AK216" s="35"/>
      <c r="AL216" s="76"/>
    </row>
    <row r="217" spans="1:38" s="23" customFormat="1" ht="15" customHeight="1" outlineLevel="1" thickBot="1">
      <c r="A217" s="145"/>
      <c r="B217" s="267" t="str">
        <f>AK217</f>
        <v>Team identifies hearing locations, dates and times</v>
      </c>
      <c r="C217" s="549"/>
      <c r="D217" s="1007" t="s">
        <v>586</v>
      </c>
      <c r="E217" s="1007"/>
      <c r="F217" s="1007"/>
      <c r="G217" s="1007"/>
      <c r="H217" s="1007"/>
      <c r="I217" s="745"/>
      <c r="AF217" s="361">
        <f>IF(S.Hearing.1stInvolve="Y",1,0)</f>
        <v>1</v>
      </c>
      <c r="AG217" s="59"/>
      <c r="AH217" s="59"/>
      <c r="AI217" s="59"/>
      <c r="AJ217" s="59"/>
      <c r="AK217" s="63" t="str">
        <f>IF(S.Hearing.1stInvolve="Y","Team identifies hearing locations, dates and times","No hearings planned")</f>
        <v>Team identifies hearing locations, dates and times</v>
      </c>
      <c r="AL217" s="76"/>
    </row>
    <row r="218" spans="1:38" s="39" customFormat="1" ht="15" customHeight="1" outlineLevel="1" thickTop="1" thickBot="1">
      <c r="A218" s="744"/>
      <c r="B218" s="266" t="s">
        <v>0</v>
      </c>
      <c r="C218" s="762"/>
      <c r="D218" s="994" t="s">
        <v>585</v>
      </c>
      <c r="E218" s="995"/>
      <c r="F218" s="995"/>
      <c r="G218" s="749" t="s">
        <v>569</v>
      </c>
      <c r="H218" s="763" t="s">
        <v>570</v>
      </c>
      <c r="I218" s="745"/>
      <c r="AF218" s="361">
        <f>IF(S.Hearing.1stInvolve="Y",1,0)</f>
        <v>1</v>
      </c>
      <c r="AG218" s="746"/>
      <c r="AH218" s="746"/>
      <c r="AI218" s="746"/>
      <c r="AJ218" s="746"/>
      <c r="AK218" s="747" t="str">
        <f>IF(S.Hearing.1stInvolve="Y",S.Staff.Support&amp;" enters hearings locations, dates and times:","No hearings planned")</f>
        <v>Brian enters hearings locations, dates and times:</v>
      </c>
      <c r="AL218" s="565"/>
    </row>
    <row r="219" spans="1:38" s="23" customFormat="1" ht="15" customHeight="1" outlineLevel="1" thickTop="1">
      <c r="A219" s="145"/>
      <c r="B219" s="758" t="s">
        <v>531</v>
      </c>
      <c r="C219" s="962" t="s">
        <v>16</v>
      </c>
      <c r="D219" s="996">
        <v>1</v>
      </c>
      <c r="E219" s="997"/>
      <c r="F219" s="997"/>
      <c r="G219" s="253">
        <f t="shared" ref="G219:G227" si="9">AG219</f>
        <v>41899</v>
      </c>
      <c r="H219" s="760" t="s">
        <v>304</v>
      </c>
      <c r="I219" s="745"/>
      <c r="J219"/>
      <c r="K219"/>
      <c r="L219"/>
      <c r="M219"/>
      <c r="N219"/>
      <c r="O219"/>
      <c r="P219"/>
      <c r="Q219"/>
      <c r="R219"/>
      <c r="S219"/>
      <c r="T219"/>
      <c r="U219"/>
      <c r="X219"/>
      <c r="AB219"/>
      <c r="AC219"/>
      <c r="AF219" s="361">
        <f>IF(S.Hearing.1stInvolve="Y",1,0)</f>
        <v>1</v>
      </c>
      <c r="AG219" s="60">
        <f>S.Hearing.1stDate</f>
        <v>41899</v>
      </c>
      <c r="AH219" s="387" t="s">
        <v>67</v>
      </c>
      <c r="AI219" s="34"/>
      <c r="AJ219" s="43"/>
      <c r="AK219" s="43"/>
      <c r="AL219" s="76"/>
    </row>
    <row r="220" spans="1:38" s="23" customFormat="1" ht="15" customHeight="1" outlineLevel="1" thickBot="1">
      <c r="A220" s="145"/>
      <c r="B220" s="758" t="s">
        <v>791</v>
      </c>
      <c r="C220" s="963" t="s">
        <v>16</v>
      </c>
      <c r="D220" s="996">
        <v>2</v>
      </c>
      <c r="E220" s="997"/>
      <c r="F220" s="997"/>
      <c r="G220" s="253">
        <f t="shared" si="9"/>
        <v>41899</v>
      </c>
      <c r="H220" s="760" t="str">
        <f t="shared" ref="H220:H226" si="10">AH220</f>
        <v>6 p.m.</v>
      </c>
      <c r="I220" s="745"/>
      <c r="J220"/>
      <c r="K220"/>
      <c r="L220"/>
      <c r="M220"/>
      <c r="N220"/>
      <c r="O220"/>
      <c r="P220"/>
      <c r="Q220"/>
      <c r="R220"/>
      <c r="S220"/>
      <c r="T220"/>
      <c r="U220"/>
      <c r="X220"/>
      <c r="AB220"/>
      <c r="AC220"/>
      <c r="AF220" s="361">
        <f>IF(AND(S.Hearing.2ndInvolve="Y",S.Hearing.1stInvolve="Y"),1,)</f>
        <v>1</v>
      </c>
      <c r="AG220" s="60">
        <f>IF(S.Hearing.2ndInvolve="N",,S.Hearing.1stDate)</f>
        <v>41899</v>
      </c>
      <c r="AH220" s="60" t="str">
        <f>H219</f>
        <v>6 p.m.</v>
      </c>
      <c r="AI220" s="59"/>
      <c r="AJ220" s="59"/>
      <c r="AK220" s="66"/>
      <c r="AL220" s="76"/>
    </row>
    <row r="221" spans="1:38" s="23" customFormat="1" ht="15" hidden="1" customHeight="1" outlineLevel="1">
      <c r="A221" s="145"/>
      <c r="B221" s="758" t="str">
        <f t="shared" ref="B221:B226" si="11">"Enter city name"</f>
        <v>Enter city name</v>
      </c>
      <c r="C221" s="963" t="s">
        <v>206</v>
      </c>
      <c r="D221" s="996">
        <v>3</v>
      </c>
      <c r="E221" s="997"/>
      <c r="F221" s="997" t="s">
        <v>0</v>
      </c>
      <c r="G221" s="253">
        <f t="shared" si="9"/>
        <v>0</v>
      </c>
      <c r="H221" s="760" t="str">
        <f t="shared" si="10"/>
        <v>6 p.m.</v>
      </c>
      <c r="I221" s="745"/>
      <c r="J221"/>
      <c r="K221"/>
      <c r="L221"/>
      <c r="M221"/>
      <c r="N221"/>
      <c r="O221"/>
      <c r="P221"/>
      <c r="Q221"/>
      <c r="R221"/>
      <c r="S221"/>
      <c r="T221"/>
      <c r="U221"/>
      <c r="X221"/>
      <c r="AB221"/>
      <c r="AC221"/>
      <c r="AF221" s="361">
        <f>IF(AND(S.Hearing.3rdInvolve="Y",S.Hearing.1stInvolve="Y"),1,)</f>
        <v>0</v>
      </c>
      <c r="AG221" s="60">
        <f>IF(S.Hearing.3rdInvolve="N",,S.Hearing.2ndDate)</f>
        <v>0</v>
      </c>
      <c r="AH221" s="60" t="str">
        <f>H219</f>
        <v>6 p.m.</v>
      </c>
      <c r="AI221" s="59"/>
      <c r="AJ221" s="44"/>
      <c r="AK221" s="62"/>
      <c r="AL221" s="76"/>
    </row>
    <row r="222" spans="1:38" s="23" customFormat="1" ht="15" hidden="1" customHeight="1" outlineLevel="1">
      <c r="A222" s="145"/>
      <c r="B222" s="758" t="str">
        <f t="shared" si="11"/>
        <v>Enter city name</v>
      </c>
      <c r="C222" s="964" t="s">
        <v>206</v>
      </c>
      <c r="D222" s="996">
        <v>4</v>
      </c>
      <c r="E222" s="997"/>
      <c r="F222" s="997" t="s">
        <v>0</v>
      </c>
      <c r="G222" s="253">
        <f t="shared" si="9"/>
        <v>0</v>
      </c>
      <c r="H222" s="760" t="str">
        <f t="shared" si="10"/>
        <v>6 p.m.</v>
      </c>
      <c r="I222" s="745"/>
      <c r="J222"/>
      <c r="K222"/>
      <c r="L222"/>
      <c r="M222"/>
      <c r="N222"/>
      <c r="O222"/>
      <c r="P222"/>
      <c r="Q222"/>
      <c r="R222"/>
      <c r="S222"/>
      <c r="T222"/>
      <c r="U222"/>
      <c r="X222"/>
      <c r="AB222"/>
      <c r="AC222"/>
      <c r="AF222" s="361">
        <f>IF(AND(S.Hearing.4thInvolve="Y",S.Hearing.1stInvolve="Y"),1,)</f>
        <v>0</v>
      </c>
      <c r="AG222" s="60">
        <f>IF(S.Hearing.4thInvolve="N",,S.Hearing.3rdDate)</f>
        <v>0</v>
      </c>
      <c r="AH222" s="60" t="str">
        <f>H219</f>
        <v>6 p.m.</v>
      </c>
      <c r="AI222" s="59"/>
      <c r="AJ222" s="44"/>
      <c r="AK222" s="62"/>
      <c r="AL222" s="76"/>
    </row>
    <row r="223" spans="1:38" s="23" customFormat="1" ht="15" hidden="1" customHeight="1" outlineLevel="1">
      <c r="A223" s="145"/>
      <c r="B223" s="758" t="str">
        <f t="shared" si="11"/>
        <v>Enter city name</v>
      </c>
      <c r="C223" s="963" t="s">
        <v>206</v>
      </c>
      <c r="D223" s="996">
        <v>5</v>
      </c>
      <c r="E223" s="997"/>
      <c r="F223" s="997" t="s">
        <v>0</v>
      </c>
      <c r="G223" s="253">
        <f t="shared" si="9"/>
        <v>0</v>
      </c>
      <c r="H223" s="760" t="str">
        <f t="shared" si="10"/>
        <v>6 p.m.</v>
      </c>
      <c r="I223" s="745"/>
      <c r="J223"/>
      <c r="K223"/>
      <c r="L223"/>
      <c r="M223"/>
      <c r="N223"/>
      <c r="O223"/>
      <c r="P223"/>
      <c r="Q223"/>
      <c r="R223"/>
      <c r="S223"/>
      <c r="T223"/>
      <c r="U223"/>
      <c r="X223"/>
      <c r="AB223"/>
      <c r="AC223"/>
      <c r="AF223" s="361">
        <f>IF(AND(S.Hearing.5thInvolve="Y",S.Hearing.1stInvolve="Y"),1,)</f>
        <v>0</v>
      </c>
      <c r="AG223" s="60">
        <f>IF(S.Hearing.5thInvolve="N",,S.Hearing.4thDate)</f>
        <v>0</v>
      </c>
      <c r="AH223" s="60" t="str">
        <f>H219</f>
        <v>6 p.m.</v>
      </c>
      <c r="AI223" s="59"/>
      <c r="AJ223" s="44"/>
      <c r="AK223" s="62"/>
      <c r="AL223" s="76"/>
    </row>
    <row r="224" spans="1:38" s="23" customFormat="1" ht="15" hidden="1" customHeight="1" outlineLevel="1">
      <c r="A224" s="145"/>
      <c r="B224" s="758" t="str">
        <f t="shared" si="11"/>
        <v>Enter city name</v>
      </c>
      <c r="C224" s="963" t="s">
        <v>206</v>
      </c>
      <c r="D224" s="996">
        <v>6</v>
      </c>
      <c r="E224" s="997"/>
      <c r="F224" s="997" t="s">
        <v>0</v>
      </c>
      <c r="G224" s="253">
        <f t="shared" si="9"/>
        <v>0</v>
      </c>
      <c r="H224" s="760" t="str">
        <f t="shared" si="10"/>
        <v>6 p.m.</v>
      </c>
      <c r="I224" s="745"/>
      <c r="J224"/>
      <c r="K224"/>
      <c r="L224"/>
      <c r="M224"/>
      <c r="N224"/>
      <c r="O224"/>
      <c r="P224"/>
      <c r="Q224"/>
      <c r="R224"/>
      <c r="S224"/>
      <c r="T224"/>
      <c r="U224"/>
      <c r="X224"/>
      <c r="AB224"/>
      <c r="AC224"/>
      <c r="AF224" s="361">
        <f>IF(AND(S.Hearing.6thInvolve="Y",S.Hearing.1stInvolve="Y"),1,)</f>
        <v>0</v>
      </c>
      <c r="AG224" s="60">
        <f>IF(S.Hearing.6thInvolve="N",,S.Hearing.5thDate)</f>
        <v>0</v>
      </c>
      <c r="AH224" s="60" t="str">
        <f>H219</f>
        <v>6 p.m.</v>
      </c>
      <c r="AI224" s="59"/>
      <c r="AJ224" s="44"/>
      <c r="AK224" s="62"/>
      <c r="AL224" s="76"/>
    </row>
    <row r="225" spans="1:39" s="23" customFormat="1" ht="15" hidden="1" customHeight="1" outlineLevel="1">
      <c r="A225" s="145"/>
      <c r="B225" s="758" t="str">
        <f t="shared" si="11"/>
        <v>Enter city name</v>
      </c>
      <c r="C225" s="963" t="s">
        <v>206</v>
      </c>
      <c r="D225" s="996">
        <v>7</v>
      </c>
      <c r="E225" s="997"/>
      <c r="F225" s="997" t="s">
        <v>0</v>
      </c>
      <c r="G225" s="253">
        <f t="shared" si="9"/>
        <v>0</v>
      </c>
      <c r="H225" s="760" t="str">
        <f t="shared" si="10"/>
        <v>6 p.m.</v>
      </c>
      <c r="I225" s="745"/>
      <c r="J225"/>
      <c r="K225"/>
      <c r="L225"/>
      <c r="M225"/>
      <c r="N225"/>
      <c r="O225"/>
      <c r="P225"/>
      <c r="Q225"/>
      <c r="R225"/>
      <c r="S225"/>
      <c r="T225"/>
      <c r="U225"/>
      <c r="X225"/>
      <c r="AB225"/>
      <c r="AC225"/>
      <c r="AF225" s="361">
        <f>IF(AND(S.Hearing.7thInvolve="Y",S.Hearing.1stInvolve="Y"),1,)</f>
        <v>0</v>
      </c>
      <c r="AG225" s="60">
        <f>IF(S.Hearing.7thInvolve="N",,S.Hearing.6thDate)</f>
        <v>0</v>
      </c>
      <c r="AH225" s="60" t="str">
        <f>H219</f>
        <v>6 p.m.</v>
      </c>
      <c r="AI225" s="59"/>
      <c r="AJ225" s="44"/>
      <c r="AK225" s="62"/>
      <c r="AL225" s="76"/>
    </row>
    <row r="226" spans="1:39" s="23" customFormat="1" ht="15" hidden="1" customHeight="1" outlineLevel="1" thickBot="1">
      <c r="A226" s="145"/>
      <c r="B226" s="758" t="str">
        <f t="shared" si="11"/>
        <v>Enter city name</v>
      </c>
      <c r="C226" s="965" t="s">
        <v>206</v>
      </c>
      <c r="D226" s="996" t="s">
        <v>0</v>
      </c>
      <c r="E226" s="997"/>
      <c r="F226" s="997" t="s">
        <v>0</v>
      </c>
      <c r="G226" s="253">
        <f t="shared" si="9"/>
        <v>0</v>
      </c>
      <c r="H226" s="760" t="str">
        <f t="shared" si="10"/>
        <v>6 p.m.</v>
      </c>
      <c r="I226" s="745"/>
      <c r="J226"/>
      <c r="K226"/>
      <c r="L226"/>
      <c r="M226"/>
      <c r="N226"/>
      <c r="O226"/>
      <c r="P226"/>
      <c r="Q226"/>
      <c r="R226"/>
      <c r="S226"/>
      <c r="T226"/>
      <c r="U226"/>
      <c r="X226"/>
      <c r="AB226"/>
      <c r="AC226"/>
      <c r="AF226" s="361">
        <f>IF(AND(S.Hearing.8thtInvolve="Y",S.Hearing.1stInvolve="Y"),1,0)</f>
        <v>0</v>
      </c>
      <c r="AG226" s="60">
        <f>IF(S.Hearing.8thtInvolve="N",,S.Hearing.7thDate)</f>
        <v>0</v>
      </c>
      <c r="AH226" s="60" t="str">
        <f>H219</f>
        <v>6 p.m.</v>
      </c>
      <c r="AI226" s="59"/>
      <c r="AJ226" s="44"/>
      <c r="AK226" s="62"/>
      <c r="AL226" s="76"/>
    </row>
    <row r="227" spans="1:39" s="23" customFormat="1" ht="15" customHeight="1" outlineLevel="1" thickTop="1" thickBot="1">
      <c r="A227" s="145"/>
      <c r="B227" s="737" t="s">
        <v>571</v>
      </c>
      <c r="C227" s="759"/>
      <c r="D227" s="765"/>
      <c r="E227" s="883"/>
      <c r="F227" s="822" t="s">
        <v>0</v>
      </c>
      <c r="G227" s="764">
        <f t="shared" si="9"/>
        <v>41899</v>
      </c>
      <c r="H227" s="761"/>
      <c r="I227" s="745"/>
      <c r="J227"/>
      <c r="K227"/>
      <c r="L227"/>
      <c r="M227"/>
      <c r="N227"/>
      <c r="O227"/>
      <c r="P227"/>
      <c r="Q227"/>
      <c r="R227"/>
      <c r="S227"/>
      <c r="T227"/>
      <c r="U227"/>
      <c r="X227"/>
      <c r="AB227"/>
      <c r="AC227"/>
      <c r="AF227" s="361">
        <f>IF(S.Hearing.1stInvolve="Y",1,0)</f>
        <v>1</v>
      </c>
      <c r="AG227" s="60">
        <f>IF(AF227=0,,MAX(G219:G226))</f>
        <v>41899</v>
      </c>
      <c r="AH227" s="58"/>
      <c r="AI227" s="58"/>
      <c r="AJ227" s="44"/>
      <c r="AK227" s="62"/>
      <c r="AL227" s="76"/>
    </row>
    <row r="228" spans="1:39" s="23" customFormat="1" ht="6" customHeight="1" outlineLevel="1" thickTop="1">
      <c r="A228" s="145"/>
      <c r="B228" s="737"/>
      <c r="C228" s="268"/>
      <c r="D228" s="268"/>
      <c r="E228" s="268"/>
      <c r="F228"/>
      <c r="G228" s="748"/>
      <c r="H228" s="738"/>
      <c r="I228" s="745"/>
      <c r="AF228" s="361"/>
      <c r="AG228" s="60"/>
      <c r="AH228" s="58"/>
      <c r="AI228" s="58"/>
      <c r="AJ228" s="44"/>
      <c r="AK228" s="62"/>
      <c r="AL228" s="76"/>
    </row>
    <row r="229" spans="1:39" s="23" customFormat="1" ht="15" customHeight="1" outlineLevel="1">
      <c r="A229" s="145"/>
      <c r="B229" s="221" t="str">
        <f>AK229</f>
        <v>Brian reserves venues/equipment for hearings</v>
      </c>
      <c r="C229" s="545" t="s">
        <v>0</v>
      </c>
      <c r="D229" s="283"/>
      <c r="E229" s="750"/>
      <c r="F229"/>
      <c r="G229" s="256">
        <f>AG229</f>
        <v>41792</v>
      </c>
      <c r="H229" s="256">
        <f>AH229</f>
        <v>41843</v>
      </c>
      <c r="I229" s="745"/>
      <c r="J229"/>
      <c r="K229"/>
      <c r="L229"/>
      <c r="M229"/>
      <c r="N229"/>
      <c r="O229"/>
      <c r="P229"/>
      <c r="Q229"/>
      <c r="R229"/>
      <c r="S229"/>
      <c r="T229"/>
      <c r="U229"/>
      <c r="X229"/>
      <c r="AB229"/>
      <c r="AC229"/>
      <c r="AF229" s="361">
        <f>IF(S.Hearing.1stInvolve="Y",1,0)</f>
        <v>1</v>
      </c>
      <c r="AG229" s="60">
        <f>IF(AF229=0,,S.Notice.BANNER.Begin)</f>
        <v>41792</v>
      </c>
      <c r="AH229" s="60">
        <f>IF(AF239=0,,IF(S.Notice.AD.Involved="N",,WORKDAY(S.Notice.OpenComment,-18,S.DDL_DEQClosed)))</f>
        <v>41843</v>
      </c>
      <c r="AI229" s="47"/>
      <c r="AJ229" s="44"/>
      <c r="AK229" s="182" t="str">
        <f>S.Staff.Support&amp;" reserves venues/equipment for hearings"</f>
        <v>Brian reserves venues/equipment for hearings</v>
      </c>
      <c r="AL229" s="76"/>
    </row>
    <row r="230" spans="1:39" ht="15" customHeight="1" outlineLevel="1">
      <c r="A230" s="145"/>
      <c r="B230" s="221" t="str">
        <f>AK230</f>
        <v>Brian identifies hearings officer(s) on HearingAndAdDates TAB</v>
      </c>
      <c r="C230" s="752" t="s">
        <v>49</v>
      </c>
      <c r="D230" s="283"/>
      <c r="E230" s="750"/>
      <c r="F230"/>
      <c r="G230"/>
      <c r="H230"/>
      <c r="I230" s="745"/>
      <c r="AF230" s="361">
        <f>IF(S.Hearing.1stInvolve="Y",1,0)</f>
        <v>1</v>
      </c>
      <c r="AG230" s="59"/>
      <c r="AH230" s="59"/>
      <c r="AI230" s="59"/>
      <c r="AJ230" s="59"/>
      <c r="AK230" s="182" t="str">
        <f>S.Staff.Subject.Expert.FirstName&amp;" identifies hearings officer(s) on HearingAndAdDates TAB"</f>
        <v>Brian identifies hearings officer(s) on HearingAndAdDates TAB</v>
      </c>
      <c r="AL230" s="76"/>
      <c r="AM230"/>
    </row>
    <row r="231" spans="1:39" s="23" customFormat="1" ht="6" customHeight="1" outlineLevel="1">
      <c r="A231" s="145"/>
      <c r="B231" s="737"/>
      <c r="C231" s="268"/>
      <c r="D231" s="268"/>
      <c r="E231" s="268"/>
      <c r="F231"/>
      <c r="G231"/>
      <c r="H231"/>
      <c r="I231" s="745"/>
      <c r="AF231" s="361"/>
      <c r="AG231" s="59"/>
      <c r="AH231" s="58"/>
      <c r="AI231" s="58"/>
      <c r="AJ231" s="44"/>
      <c r="AK231" s="62"/>
      <c r="AL231" s="76"/>
    </row>
    <row r="232" spans="1:39" s="23" customFormat="1" ht="20.25" customHeight="1" outlineLevel="1">
      <c r="A232" s="145"/>
      <c r="B232" s="523" t="s">
        <v>584</v>
      </c>
      <c r="C232" s="545"/>
      <c r="D232" s="705"/>
      <c r="E232" s="705"/>
      <c r="I232" s="745"/>
      <c r="AF232" s="361">
        <f>IF(AND(S.Notice.Involved="Y",S.Notice.AD.Involved="Y"),1,0)</f>
        <v>1</v>
      </c>
      <c r="AG232" s="59"/>
      <c r="AH232" s="59"/>
      <c r="AI232" s="59"/>
      <c r="AJ232" s="59"/>
      <c r="AK232" s="44"/>
      <c r="AL232" s="76"/>
    </row>
    <row r="233" spans="1:39" ht="15" customHeight="1" outlineLevel="1">
      <c r="A233" s="145"/>
      <c r="B233" s="753" t="str">
        <f>AK233</f>
        <v>Brian:</v>
      </c>
      <c r="C233" s="548"/>
      <c r="D233" s="283"/>
      <c r="E233" s="750"/>
      <c r="F233"/>
      <c r="G233" s="256">
        <f t="shared" ref="G233" si="12">AG233</f>
        <v>41792</v>
      </c>
      <c r="H233" s="256">
        <f t="shared" ref="H233:H251" si="13">AH233</f>
        <v>41843</v>
      </c>
      <c r="I233" s="745"/>
      <c r="AF233" s="361">
        <f>IF(AND(S.Notice.Involved="Y",S.Notice.AD.Involved="Y"),1,0)</f>
        <v>1</v>
      </c>
      <c r="AG233" s="60">
        <f>IF(AF233=0,,IF(S.Notice.AD.Involved="N",,S.Notice.BANNER.Begin))</f>
        <v>41792</v>
      </c>
      <c r="AH233" s="60">
        <f>IF(AF233=0,,IF(S.Notice.AD.Involved="N",,WORKDAY(S.Notice.OpenComment,-18,S.DDL_DEQClosed)))</f>
        <v>41843</v>
      </c>
      <c r="AI233" s="59"/>
      <c r="AJ233" s="59"/>
      <c r="AK233" s="182" t="str">
        <f>S.Staff.Subject.Expert.FirstName&amp;":"</f>
        <v>Brian:</v>
      </c>
      <c r="AL233" s="76"/>
      <c r="AM233"/>
    </row>
    <row r="234" spans="1:39" s="23" customFormat="1" ht="15" customHeight="1" outlineLevel="1">
      <c r="A234" s="145"/>
      <c r="B234" s="220" t="s">
        <v>597</v>
      </c>
      <c r="C234" s="548"/>
      <c r="D234" s="325"/>
      <c r="E234" s="325"/>
      <c r="F234" s="257"/>
      <c r="G234" s="966"/>
      <c r="H234" s="966"/>
      <c r="I234" s="745"/>
      <c r="AF234" s="361">
        <f>IF(AND(S.Notice.Involved="Y",S.Notice.AD.Involved="Y"),1,0)</f>
        <v>1</v>
      </c>
      <c r="AG234" s="59"/>
      <c r="AH234" s="59"/>
      <c r="AI234" s="59"/>
      <c r="AJ234" s="59"/>
      <c r="AK234" s="44"/>
      <c r="AL234" s="76"/>
    </row>
    <row r="235" spans="1:39" s="23" customFormat="1" ht="15" customHeight="1" outlineLevel="1" thickBot="1">
      <c r="A235" s="145"/>
      <c r="C235" s="987" t="s">
        <v>598</v>
      </c>
      <c r="D235" s="987"/>
      <c r="E235" s="987"/>
      <c r="F235" s="987"/>
      <c r="G235" s="987"/>
      <c r="H235" s="987"/>
      <c r="I235" s="745"/>
      <c r="AF235" s="361">
        <f>IF(AND(S.Notice.Involved="Y",S.Notice.AD.Involved="Y"),1,0)</f>
        <v>1</v>
      </c>
      <c r="AG235" s="59"/>
      <c r="AH235" s="59"/>
      <c r="AI235" s="59"/>
      <c r="AJ235" s="59"/>
      <c r="AK235" s="44"/>
      <c r="AL235" s="76"/>
    </row>
    <row r="236" spans="1:39" s="23" customFormat="1" ht="15" customHeight="1" outlineLevel="1" thickTop="1">
      <c r="A236" s="145"/>
      <c r="C236" s="768" t="s">
        <v>585</v>
      </c>
      <c r="D236" s="769" t="s">
        <v>403</v>
      </c>
      <c r="E236" s="769"/>
      <c r="F236" s="769"/>
      <c r="G236" s="769"/>
      <c r="H236" s="770" t="s">
        <v>609</v>
      </c>
      <c r="I236" s="745"/>
      <c r="AF236" s="361">
        <f>IF(AND(S.Notice.Involved="Y",S.Notice.AD.Involved="Y"),1,0)</f>
        <v>1</v>
      </c>
      <c r="AG236" s="59"/>
      <c r="AH236" s="59"/>
      <c r="AI236" s="59"/>
      <c r="AJ236" s="59"/>
      <c r="AK236" s="44"/>
      <c r="AL236" s="76"/>
    </row>
    <row r="237" spans="1:39" s="23" customFormat="1" ht="15" customHeight="1" outlineLevel="1">
      <c r="A237" s="145"/>
      <c r="B237" s="754" t="str">
        <f>AK237</f>
        <v>NOTICE.AD1Oregonian</v>
      </c>
      <c r="C237" s="967">
        <v>1</v>
      </c>
      <c r="D237" s="988" t="s">
        <v>601</v>
      </c>
      <c r="E237" s="989"/>
      <c r="F237" s="989"/>
      <c r="G237" s="990"/>
      <c r="H237" s="766">
        <f t="shared" si="13"/>
        <v>41869</v>
      </c>
      <c r="I237" s="745"/>
      <c r="J237"/>
      <c r="K237"/>
      <c r="L237"/>
      <c r="M237"/>
      <c r="N237"/>
      <c r="O237"/>
      <c r="P237"/>
      <c r="Q237"/>
      <c r="R237"/>
      <c r="S237"/>
      <c r="T237"/>
      <c r="U237"/>
      <c r="X237"/>
      <c r="AB237"/>
      <c r="AC237"/>
      <c r="AF237" s="361">
        <f t="shared" ref="AF237:AF244" si="14">IF(AND(S.Notice.Involved="Y",S.Notice.AD.Involved="Y",C237&gt;0),1,0)</f>
        <v>1</v>
      </c>
      <c r="AG237" s="59"/>
      <c r="AH237" s="60">
        <f t="shared" ref="AH237:AH244" si="15">IF(AF237=0,,IF(S.Notice.AD.Involved="N",,S.Notice.OpenComment))</f>
        <v>41869</v>
      </c>
      <c r="AI237" s="59" t="s">
        <v>0</v>
      </c>
      <c r="AJ237" s="59"/>
      <c r="AK237" s="182" t="str">
        <f>"NOTICE.AD"&amp;C237&amp;D237</f>
        <v>NOTICE.AD1Oregonian</v>
      </c>
      <c r="AL237" s="76"/>
    </row>
    <row r="238" spans="1:39" s="23" customFormat="1" ht="15" customHeight="1" outlineLevel="1">
      <c r="A238" s="145"/>
      <c r="B238" s="754" t="str">
        <f t="shared" ref="B238:B244" si="16">AK238</f>
        <v>NOTICE.AD2JournalOfCommerce</v>
      </c>
      <c r="C238" s="967">
        <v>2</v>
      </c>
      <c r="D238" s="988" t="s">
        <v>606</v>
      </c>
      <c r="E238" s="989"/>
      <c r="F238" s="989"/>
      <c r="G238" s="990"/>
      <c r="H238" s="766">
        <f t="shared" si="13"/>
        <v>41869</v>
      </c>
      <c r="I238" s="745"/>
      <c r="J238"/>
      <c r="K238"/>
      <c r="L238"/>
      <c r="M238"/>
      <c r="N238"/>
      <c r="O238"/>
      <c r="P238"/>
      <c r="Q238"/>
      <c r="R238"/>
      <c r="S238"/>
      <c r="T238"/>
      <c r="U238"/>
      <c r="X238"/>
      <c r="AB238"/>
      <c r="AC238"/>
      <c r="AF238" s="361">
        <f t="shared" si="14"/>
        <v>1</v>
      </c>
      <c r="AG238" s="59"/>
      <c r="AH238" s="60">
        <f t="shared" si="15"/>
        <v>41869</v>
      </c>
      <c r="AI238" s="59"/>
      <c r="AJ238" s="59"/>
      <c r="AK238" s="182" t="str">
        <f t="shared" ref="AK238:AK244" si="17">"NOTICE.AD"&amp;C238&amp;D238</f>
        <v>NOTICE.AD2JournalOfCommerce</v>
      </c>
      <c r="AL238" s="76"/>
    </row>
    <row r="239" spans="1:39" s="23" customFormat="1" ht="15" hidden="1" customHeight="1" outlineLevel="1">
      <c r="A239" s="145"/>
      <c r="B239" s="754" t="str">
        <f t="shared" si="16"/>
        <v>NOTICE.AD3None</v>
      </c>
      <c r="C239" s="967">
        <v>3</v>
      </c>
      <c r="D239" s="988" t="s">
        <v>608</v>
      </c>
      <c r="E239" s="989"/>
      <c r="F239" s="989"/>
      <c r="G239" s="990"/>
      <c r="H239" s="766">
        <f t="shared" si="13"/>
        <v>41869</v>
      </c>
      <c r="I239" s="745"/>
      <c r="J239"/>
      <c r="K239"/>
      <c r="L239"/>
      <c r="M239"/>
      <c r="N239"/>
      <c r="O239"/>
      <c r="P239"/>
      <c r="Q239"/>
      <c r="R239"/>
      <c r="S239"/>
      <c r="T239"/>
      <c r="U239"/>
      <c r="X239"/>
      <c r="AB239"/>
      <c r="AC239"/>
      <c r="AF239" s="361">
        <f t="shared" si="14"/>
        <v>1</v>
      </c>
      <c r="AG239" s="59"/>
      <c r="AH239" s="60">
        <f t="shared" si="15"/>
        <v>41869</v>
      </c>
      <c r="AI239" s="59"/>
      <c r="AJ239" s="59"/>
      <c r="AK239" s="182" t="str">
        <f t="shared" si="17"/>
        <v>NOTICE.AD3None</v>
      </c>
      <c r="AL239" s="76"/>
    </row>
    <row r="240" spans="1:39" s="23" customFormat="1" ht="15" hidden="1" customHeight="1" outlineLevel="1">
      <c r="A240" s="145"/>
      <c r="B240" s="754" t="str">
        <f t="shared" si="16"/>
        <v>NOTICE.AD4None</v>
      </c>
      <c r="C240" s="967">
        <v>4</v>
      </c>
      <c r="D240" s="988" t="s">
        <v>608</v>
      </c>
      <c r="E240" s="989"/>
      <c r="F240" s="989"/>
      <c r="G240" s="990"/>
      <c r="H240" s="766">
        <f t="shared" si="13"/>
        <v>41869</v>
      </c>
      <c r="I240" s="745"/>
      <c r="J240"/>
      <c r="K240"/>
      <c r="L240"/>
      <c r="M240"/>
      <c r="N240"/>
      <c r="O240"/>
      <c r="P240"/>
      <c r="Q240"/>
      <c r="R240"/>
      <c r="S240"/>
      <c r="T240"/>
      <c r="U240"/>
      <c r="X240"/>
      <c r="AB240"/>
      <c r="AC240"/>
      <c r="AF240" s="361">
        <f t="shared" si="14"/>
        <v>1</v>
      </c>
      <c r="AG240" s="59"/>
      <c r="AH240" s="60">
        <f t="shared" si="15"/>
        <v>41869</v>
      </c>
      <c r="AI240" s="59"/>
      <c r="AJ240" s="59"/>
      <c r="AK240" s="182" t="str">
        <f t="shared" si="17"/>
        <v>NOTICE.AD4None</v>
      </c>
      <c r="AL240" s="76"/>
    </row>
    <row r="241" spans="1:38" s="23" customFormat="1" ht="15" hidden="1" customHeight="1" outlineLevel="1">
      <c r="A241" s="145"/>
      <c r="B241" s="754" t="str">
        <f t="shared" si="16"/>
        <v>NOTICE.AD5None</v>
      </c>
      <c r="C241" s="967">
        <v>5</v>
      </c>
      <c r="D241" s="988" t="s">
        <v>608</v>
      </c>
      <c r="E241" s="989"/>
      <c r="F241" s="989"/>
      <c r="G241" s="990"/>
      <c r="H241" s="766">
        <f t="shared" si="13"/>
        <v>41869</v>
      </c>
      <c r="I241" s="745"/>
      <c r="J241"/>
      <c r="K241"/>
      <c r="L241"/>
      <c r="M241"/>
      <c r="N241"/>
      <c r="O241"/>
      <c r="P241"/>
      <c r="Q241"/>
      <c r="R241"/>
      <c r="S241"/>
      <c r="T241"/>
      <c r="U241"/>
      <c r="X241"/>
      <c r="AB241"/>
      <c r="AC241"/>
      <c r="AF241" s="361">
        <f t="shared" si="14"/>
        <v>1</v>
      </c>
      <c r="AG241" s="59"/>
      <c r="AH241" s="60">
        <f t="shared" si="15"/>
        <v>41869</v>
      </c>
      <c r="AI241" s="59"/>
      <c r="AJ241" s="59"/>
      <c r="AK241" s="182" t="str">
        <f t="shared" si="17"/>
        <v>NOTICE.AD5None</v>
      </c>
      <c r="AL241" s="76"/>
    </row>
    <row r="242" spans="1:38" s="23" customFormat="1" ht="15" hidden="1" customHeight="1" outlineLevel="1">
      <c r="A242" s="145"/>
      <c r="B242" s="754" t="str">
        <f t="shared" si="16"/>
        <v>NOTICE.AD6None</v>
      </c>
      <c r="C242" s="967">
        <v>6</v>
      </c>
      <c r="D242" s="988" t="s">
        <v>608</v>
      </c>
      <c r="E242" s="989"/>
      <c r="F242" s="989"/>
      <c r="G242" s="990"/>
      <c r="H242" s="766">
        <f t="shared" si="13"/>
        <v>41869</v>
      </c>
      <c r="I242" s="745"/>
      <c r="J242"/>
      <c r="K242"/>
      <c r="L242"/>
      <c r="M242"/>
      <c r="N242"/>
      <c r="O242"/>
      <c r="P242"/>
      <c r="Q242"/>
      <c r="R242"/>
      <c r="S242"/>
      <c r="T242"/>
      <c r="U242"/>
      <c r="X242"/>
      <c r="AB242"/>
      <c r="AC242"/>
      <c r="AF242" s="361">
        <f t="shared" si="14"/>
        <v>1</v>
      </c>
      <c r="AG242" s="59"/>
      <c r="AH242" s="60">
        <f t="shared" si="15"/>
        <v>41869</v>
      </c>
      <c r="AI242" s="59"/>
      <c r="AJ242" s="59"/>
      <c r="AK242" s="182" t="str">
        <f t="shared" si="17"/>
        <v>NOTICE.AD6None</v>
      </c>
      <c r="AL242" s="76"/>
    </row>
    <row r="243" spans="1:38" s="23" customFormat="1" ht="15" hidden="1" customHeight="1" outlineLevel="1">
      <c r="A243" s="145"/>
      <c r="B243" s="754" t="str">
        <f t="shared" si="16"/>
        <v>NOTICE.AD7None</v>
      </c>
      <c r="C243" s="967">
        <v>7</v>
      </c>
      <c r="D243" s="988" t="s">
        <v>608</v>
      </c>
      <c r="E243" s="989"/>
      <c r="F243" s="989"/>
      <c r="G243" s="990"/>
      <c r="H243" s="766">
        <f t="shared" si="13"/>
        <v>41869</v>
      </c>
      <c r="I243" s="745"/>
      <c r="J243"/>
      <c r="K243"/>
      <c r="L243"/>
      <c r="M243"/>
      <c r="N243"/>
      <c r="O243"/>
      <c r="P243"/>
      <c r="Q243"/>
      <c r="R243"/>
      <c r="S243"/>
      <c r="T243"/>
      <c r="U243"/>
      <c r="X243"/>
      <c r="AB243"/>
      <c r="AC243"/>
      <c r="AF243" s="361">
        <f t="shared" si="14"/>
        <v>1</v>
      </c>
      <c r="AG243" s="59"/>
      <c r="AH243" s="60">
        <f t="shared" si="15"/>
        <v>41869</v>
      </c>
      <c r="AI243" s="59"/>
      <c r="AJ243" s="59"/>
      <c r="AK243" s="182" t="str">
        <f t="shared" si="17"/>
        <v>NOTICE.AD7None</v>
      </c>
      <c r="AL243" s="76"/>
    </row>
    <row r="244" spans="1:38" s="23" customFormat="1" ht="15" hidden="1" customHeight="1" outlineLevel="1" thickBot="1">
      <c r="A244" s="145"/>
      <c r="B244" s="754" t="str">
        <f t="shared" si="16"/>
        <v>NOTICE.AD8None</v>
      </c>
      <c r="C244" s="968">
        <v>8</v>
      </c>
      <c r="D244" s="1008" t="s">
        <v>608</v>
      </c>
      <c r="E244" s="1008"/>
      <c r="F244" s="1008"/>
      <c r="G244" s="1009"/>
      <c r="H244" s="767">
        <f t="shared" si="13"/>
        <v>41869</v>
      </c>
      <c r="I244" s="745"/>
      <c r="J244"/>
      <c r="K244"/>
      <c r="L244"/>
      <c r="M244"/>
      <c r="N244"/>
      <c r="O244"/>
      <c r="P244"/>
      <c r="Q244"/>
      <c r="R244"/>
      <c r="S244"/>
      <c r="T244"/>
      <c r="U244"/>
      <c r="X244"/>
      <c r="AB244"/>
      <c r="AC244"/>
      <c r="AF244" s="361">
        <f t="shared" si="14"/>
        <v>1</v>
      </c>
      <c r="AG244" s="59"/>
      <c r="AH244" s="60">
        <f t="shared" si="15"/>
        <v>41869</v>
      </c>
      <c r="AI244" s="59"/>
      <c r="AJ244" s="59"/>
      <c r="AK244" s="182" t="str">
        <f t="shared" si="17"/>
        <v>NOTICE.AD8None</v>
      </c>
      <c r="AL244" s="76"/>
    </row>
    <row r="245" spans="1:38" s="23" customFormat="1" ht="9.75" customHeight="1" outlineLevel="1">
      <c r="A245" s="145"/>
      <c r="B245" s="207"/>
      <c r="C245" s="757"/>
      <c r="D245" s="969"/>
      <c r="E245" s="969"/>
      <c r="F245" s="969"/>
      <c r="G245" s="969"/>
      <c r="H245" s="966"/>
      <c r="I245" s="745"/>
      <c r="AF245" s="361"/>
      <c r="AG245" s="59"/>
      <c r="AH245" s="60"/>
      <c r="AI245" s="59"/>
      <c r="AJ245" s="59"/>
      <c r="AK245" s="44"/>
      <c r="AL245" s="76"/>
    </row>
    <row r="246" spans="1:38" s="23" customFormat="1" ht="15" customHeight="1" outlineLevel="1">
      <c r="A246" s="145" t="s">
        <v>0</v>
      </c>
      <c r="B246" s="221" t="s">
        <v>589</v>
      </c>
      <c r="C246" s="510" t="str">
        <f>HYPERLINK("\\deqhq1\Rule_Resources\i\AD.STANDARD.docx","i")</f>
        <v>i</v>
      </c>
      <c r="D246" s="283"/>
      <c r="E246" s="750"/>
      <c r="F246"/>
      <c r="G246"/>
      <c r="H246"/>
      <c r="I246" s="745"/>
      <c r="J246"/>
      <c r="K246"/>
      <c r="L246"/>
      <c r="M246"/>
      <c r="N246"/>
      <c r="O246"/>
      <c r="P246"/>
      <c r="Q246"/>
      <c r="R246"/>
      <c r="S246"/>
      <c r="T246"/>
      <c r="U246"/>
      <c r="X246"/>
      <c r="AB246"/>
      <c r="AC246"/>
      <c r="AF246" s="361">
        <f t="shared" ref="AF246:AF251" si="18">IF(AND(S.Notice.Involved="Y",S.Notice.AD.Involved="Y"),1,0)</f>
        <v>1</v>
      </c>
      <c r="AG246" s="59"/>
      <c r="AH246" s="59"/>
      <c r="AI246" s="59"/>
      <c r="AJ246" s="59"/>
      <c r="AK246" s="44" t="s">
        <v>0</v>
      </c>
      <c r="AL246" s="76"/>
    </row>
    <row r="247" spans="1:38" s="23" customFormat="1" ht="15" customHeight="1" outlineLevel="1">
      <c r="A247" s="145" t="s">
        <v>0</v>
      </c>
      <c r="B247" s="221" t="s">
        <v>590</v>
      </c>
      <c r="C247" s="510" t="str">
        <f>HYPERLINK("\\deqhq1\Rule_Resources\i\AD.LEGAL.docx","i")</f>
        <v>i</v>
      </c>
      <c r="D247" s="283"/>
      <c r="E247" s="750"/>
      <c r="F247"/>
      <c r="G247" s="40"/>
      <c r="H247"/>
      <c r="I247" s="745"/>
      <c r="J247"/>
      <c r="K247"/>
      <c r="L247"/>
      <c r="M247"/>
      <c r="N247"/>
      <c r="O247"/>
      <c r="P247"/>
      <c r="Q247"/>
      <c r="R247"/>
      <c r="S247"/>
      <c r="T247"/>
      <c r="U247"/>
      <c r="X247"/>
      <c r="AB247"/>
      <c r="AC247"/>
      <c r="AF247" s="361">
        <f t="shared" si="18"/>
        <v>1</v>
      </c>
      <c r="AG247" s="59"/>
      <c r="AH247" s="59"/>
      <c r="AI247" s="59"/>
      <c r="AJ247" s="59"/>
      <c r="AK247" s="44"/>
      <c r="AL247" s="76"/>
    </row>
    <row r="248" spans="1:38" s="23" customFormat="1" ht="15" customHeight="1" outlineLevel="1">
      <c r="A248" s="145" t="s">
        <v>0</v>
      </c>
      <c r="B248" s="221" t="s">
        <v>591</v>
      </c>
      <c r="C248" s="542"/>
      <c r="D248" s="283"/>
      <c r="E248" s="750"/>
      <c r="F248"/>
      <c r="G248" s="40"/>
      <c r="H248"/>
      <c r="I248" s="745"/>
      <c r="J248"/>
      <c r="K248"/>
      <c r="L248"/>
      <c r="M248"/>
      <c r="N248"/>
      <c r="O248"/>
      <c r="P248"/>
      <c r="Q248"/>
      <c r="R248"/>
      <c r="S248"/>
      <c r="T248"/>
      <c r="U248"/>
      <c r="X248"/>
      <c r="AB248"/>
      <c r="AC248"/>
      <c r="AF248" s="361">
        <f t="shared" si="18"/>
        <v>1</v>
      </c>
      <c r="AG248" s="59"/>
      <c r="AH248" s="59"/>
      <c r="AI248" s="59"/>
      <c r="AJ248" s="59"/>
      <c r="AK248" s="44"/>
      <c r="AL248" s="76"/>
    </row>
    <row r="249" spans="1:38" s="23" customFormat="1" ht="15" customHeight="1" outlineLevel="1">
      <c r="A249" s="145"/>
      <c r="B249" s="221" t="s">
        <v>592</v>
      </c>
      <c r="C249" s="1024" t="s">
        <v>617</v>
      </c>
      <c r="D249" s="1024"/>
      <c r="E249" s="1024"/>
      <c r="F249" s="1024"/>
      <c r="G249" s="1025"/>
      <c r="H249" s="256">
        <f>AH249</f>
        <v>41855</v>
      </c>
      <c r="I249" s="745"/>
      <c r="J249"/>
      <c r="K249"/>
      <c r="L249"/>
      <c r="M249"/>
      <c r="N249"/>
      <c r="O249"/>
      <c r="P249"/>
      <c r="Q249"/>
      <c r="R249"/>
      <c r="S249"/>
      <c r="T249"/>
      <c r="U249"/>
      <c r="X249"/>
      <c r="AB249"/>
      <c r="AC249"/>
      <c r="AF249" s="361">
        <f t="shared" si="18"/>
        <v>1</v>
      </c>
      <c r="AG249" s="48"/>
      <c r="AH249" s="60">
        <f>IF(AF249=0,,IF(S.Notice.AD.Involved="N",,WORKDAY(S.Notice.OpenComment,-10,S.DDL_DEQClosed)))</f>
        <v>41855</v>
      </c>
      <c r="AI249" s="59"/>
      <c r="AJ249" s="59"/>
      <c r="AK249" s="74"/>
      <c r="AL249" s="76"/>
    </row>
    <row r="250" spans="1:38" s="23" customFormat="1" ht="15" customHeight="1" outlineLevel="1">
      <c r="A250" s="145" t="s">
        <v>0</v>
      </c>
      <c r="B250" s="753" t="str">
        <f>AK250</f>
        <v>* shares contents of HearingAndAdDates TAB with DavidC</v>
      </c>
      <c r="C250" s="513" t="s">
        <v>49</v>
      </c>
      <c r="D250" s="357"/>
      <c r="E250" s="750"/>
      <c r="F250"/>
      <c r="G250" s="256">
        <f t="shared" ref="G250" si="19">AG250</f>
        <v>41792</v>
      </c>
      <c r="H250" s="256">
        <f t="shared" si="13"/>
        <v>41849</v>
      </c>
      <c r="I250" s="745"/>
      <c r="J250"/>
      <c r="K250"/>
      <c r="L250"/>
      <c r="M250"/>
      <c r="N250"/>
      <c r="O250"/>
      <c r="P250"/>
      <c r="Q250"/>
      <c r="R250"/>
      <c r="S250"/>
      <c r="T250"/>
      <c r="U250"/>
      <c r="X250"/>
      <c r="AB250"/>
      <c r="AC250"/>
      <c r="AF250" s="361">
        <f t="shared" si="18"/>
        <v>1</v>
      </c>
      <c r="AG250" s="60">
        <f>IF(AF250=0,,IF(S.Notice.AD.Involved="N",,S.Notice.BANNER.Begin))</f>
        <v>41792</v>
      </c>
      <c r="AH250" s="60">
        <f>IF(AF250=0,,IF(S.Notice.AD.Involved="N",,WORKDAY(MIN(S.Notice.OpenComment,S.Notice.SubmitToSOS),-13,S.DDL_DEQClosed)))</f>
        <v>41849</v>
      </c>
      <c r="AI250" s="59"/>
      <c r="AJ250" s="59"/>
      <c r="AK250" s="182" t="str">
        <f>"* shares contents of HearingAndAdDates TAB with "&amp;S.Staff.Program.Mgr.FirstName</f>
        <v>* shares contents of HearingAndAdDates TAB with DavidC</v>
      </c>
      <c r="AL250" s="76"/>
    </row>
    <row r="251" spans="1:38" s="23" customFormat="1" ht="15" customHeight="1" outlineLevel="1">
      <c r="A251" s="145" t="s">
        <v>0</v>
      </c>
      <c r="B251" s="753" t="str">
        <f>AK251</f>
        <v>* obtains DavidC's email approval</v>
      </c>
      <c r="C251" s="282"/>
      <c r="D251" s="283"/>
      <c r="E251" s="750"/>
      <c r="F251"/>
      <c r="G251" s="256">
        <f t="shared" ref="G251" si="20">AG251</f>
        <v>41792</v>
      </c>
      <c r="H251" s="256">
        <f t="shared" si="13"/>
        <v>41849</v>
      </c>
      <c r="I251" s="745"/>
      <c r="J251"/>
      <c r="K251"/>
      <c r="L251"/>
      <c r="M251"/>
      <c r="N251"/>
      <c r="O251"/>
      <c r="P251"/>
      <c r="Q251"/>
      <c r="R251"/>
      <c r="S251"/>
      <c r="T251"/>
      <c r="U251"/>
      <c r="X251"/>
      <c r="AB251"/>
      <c r="AC251"/>
      <c r="AF251" s="361">
        <f t="shared" si="18"/>
        <v>1</v>
      </c>
      <c r="AG251" s="60">
        <f>IF(AF251=0,,IF(S.Notice.AD.Involved="N",,S.Notice.BANNER.Begin))</f>
        <v>41792</v>
      </c>
      <c r="AH251" s="60">
        <f>IF(AF251=0,,IF(S.Notice.AD.Involved="N",,WORKDAY(MIN(S.Notice.OpenComment,S.Notice.SubmitToSOS),-13,S.DDL_DEQClosed)))</f>
        <v>41849</v>
      </c>
      <c r="AI251" s="59"/>
      <c r="AJ251" s="59"/>
      <c r="AK251" s="182" t="str">
        <f>"* obtains "&amp;S.Staff.Program.Mgr.FirstName&amp;"'s email approval"</f>
        <v>* obtains DavidC's email approval</v>
      </c>
      <c r="AL251" s="76"/>
    </row>
    <row r="252" spans="1:38" s="23" customFormat="1" ht="6" customHeight="1" outlineLevel="1">
      <c r="A252" s="145"/>
      <c r="B252" s="329"/>
      <c r="C252" s="329"/>
      <c r="D252" s="693"/>
      <c r="E252" s="693"/>
      <c r="F252" s="795"/>
      <c r="G252" s="286"/>
      <c r="H252" s="331"/>
      <c r="I252" s="39"/>
      <c r="AF252" s="361">
        <v>0</v>
      </c>
      <c r="AG252" s="76"/>
      <c r="AH252" s="76"/>
      <c r="AI252" s="108" t="s">
        <v>230</v>
      </c>
      <c r="AJ252" s="344"/>
      <c r="AK252" s="77"/>
      <c r="AL252" s="76"/>
    </row>
    <row r="253" spans="1:38" s="23" customFormat="1" ht="19.5" hidden="1" customHeight="1" outlineLevel="1">
      <c r="A253" s="145"/>
      <c r="B253" s="523" t="s">
        <v>587</v>
      </c>
      <c r="D253" s="705"/>
      <c r="E253" s="705"/>
      <c r="F253"/>
      <c r="I253" s="745"/>
      <c r="AF253" s="361">
        <f>IF(AND(S.Hearing.1stInvolve="Y",S.EQC.FacHearing="Y"),1,0)</f>
        <v>0</v>
      </c>
      <c r="AG253" s="59"/>
      <c r="AH253" s="59"/>
      <c r="AI253" s="59"/>
      <c r="AJ253" s="62"/>
      <c r="AK253" s="346"/>
      <c r="AL253" s="76"/>
    </row>
    <row r="254" spans="1:38" s="23" customFormat="1" ht="15" hidden="1" customHeight="1" outlineLevel="1">
      <c r="A254" s="145"/>
      <c r="B254" s="221" t="str">
        <f t="shared" ref="B254" si="21">AK254</f>
        <v>Brian:</v>
      </c>
      <c r="C254" s="545" t="s">
        <v>0</v>
      </c>
      <c r="D254" s="283"/>
      <c r="E254" s="750"/>
      <c r="F254"/>
      <c r="G254" s="192"/>
      <c r="H254" s="193"/>
      <c r="I254" s="745"/>
      <c r="AF254" s="361">
        <f>IF(AND(S.Hearing.1stInvolve="Y",S.EQC.FacHearing="Y"),1,0)</f>
        <v>0</v>
      </c>
      <c r="AG254" s="58"/>
      <c r="AH254" s="58"/>
      <c r="AI254" s="47"/>
      <c r="AJ254" s="44"/>
      <c r="AK254" s="182" t="str">
        <f>S.Staff.Subject.Expert.FirstName&amp;":"</f>
        <v>Brian:</v>
      </c>
      <c r="AL254" s="76"/>
    </row>
    <row r="255" spans="1:38" s="23" customFormat="1" ht="15.75" hidden="1" customHeight="1" outlineLevel="1">
      <c r="A255" s="145"/>
      <c r="B255" s="319" t="s">
        <v>572</v>
      </c>
      <c r="C255" s="510" t="str">
        <f>HYPERLINK("http://www.oregonlaws.org/ors/192.630","i")</f>
        <v>i</v>
      </c>
      <c r="D255" s="283"/>
      <c r="E255" s="750"/>
      <c r="F255" s="191"/>
      <c r="G255" s="192"/>
      <c r="H255" s="193"/>
      <c r="I255" s="745"/>
      <c r="J255"/>
      <c r="K255"/>
      <c r="L255"/>
      <c r="M255"/>
      <c r="N255"/>
      <c r="O255"/>
      <c r="P255"/>
      <c r="Q255"/>
      <c r="R255"/>
      <c r="S255"/>
      <c r="T255"/>
      <c r="U255"/>
      <c r="X255"/>
      <c r="AB255"/>
      <c r="AC255"/>
      <c r="AF255" s="361">
        <f>IF(AND(S.Hearing.1stInvolve="Y",S.EQC.FacHearing="Y"),1,0)</f>
        <v>0</v>
      </c>
      <c r="AG255" s="58"/>
      <c r="AH255" s="58"/>
      <c r="AI255" s="59"/>
      <c r="AJ255" s="43"/>
      <c r="AK255" s="44"/>
      <c r="AL255" s="76"/>
    </row>
    <row r="256" spans="1:38" s="23" customFormat="1" ht="15.75" hidden="1" customHeight="1" outlineLevel="1" thickBot="1">
      <c r="A256" s="145"/>
      <c r="B256" s="318" t="s">
        <v>579</v>
      </c>
      <c r="C256" s="196"/>
      <c r="D256" s="706"/>
      <c r="E256" s="706"/>
      <c r="F256" s="191"/>
      <c r="G256" s="192"/>
      <c r="H256" s="193"/>
      <c r="I256" s="745"/>
      <c r="J256"/>
      <c r="K256"/>
      <c r="L256"/>
      <c r="M256"/>
      <c r="N256"/>
      <c r="O256"/>
      <c r="P256"/>
      <c r="Q256"/>
      <c r="R256"/>
      <c r="S256"/>
      <c r="T256"/>
      <c r="U256"/>
      <c r="X256"/>
      <c r="AB256"/>
      <c r="AC256"/>
      <c r="AF256" s="361">
        <f>IF(AND(S.Hearing.1stInvolve="Y",S.EQC.FacHearing="Y"),1,0)</f>
        <v>0</v>
      </c>
      <c r="AG256" s="58"/>
      <c r="AH256" s="58"/>
      <c r="AI256" s="59"/>
      <c r="AJ256" s="43"/>
      <c r="AK256" s="44"/>
      <c r="AL256" s="76"/>
    </row>
    <row r="257" spans="1:38" s="23" customFormat="1" ht="15.75" hidden="1" customHeight="1" outlineLevel="1" thickBot="1">
      <c r="A257" s="145"/>
      <c r="B257" s="739" t="s">
        <v>349</v>
      </c>
      <c r="C257" s="481" t="s">
        <v>206</v>
      </c>
      <c r="D257" s="283"/>
      <c r="E257" s="884"/>
      <c r="F257" s="991" t="str">
        <f>AK259</f>
        <v/>
      </c>
      <c r="G257" s="992"/>
      <c r="H257" s="256">
        <v>41927</v>
      </c>
      <c r="I257" s="745"/>
      <c r="J257"/>
      <c r="K257"/>
      <c r="L257"/>
      <c r="M257"/>
      <c r="N257"/>
      <c r="O257"/>
      <c r="P257"/>
      <c r="Q257"/>
      <c r="R257"/>
      <c r="S257"/>
      <c r="T257"/>
      <c r="U257"/>
      <c r="X257"/>
      <c r="AB257"/>
      <c r="AC257"/>
      <c r="AF257" s="361">
        <f>IF(AND(S.Hearing.1stInvolve="Y",S.EQC.FacHearing="Y",C257="Y"),1,0)</f>
        <v>0</v>
      </c>
      <c r="AG257" s="58"/>
      <c r="AH257" s="60">
        <f>IF(AF257=0,,IF(S.Notice.AD.Involved="N",,WORKDAY(MIN(S.Notice.OpenComment,S.Notice.SubmitToSOS),-2,S.DDL_DEQClosed)))</f>
        <v>0</v>
      </c>
      <c r="AI257" s="47"/>
      <c r="AJ257" s="44"/>
      <c r="AK257" s="44"/>
      <c r="AL257" s="76"/>
    </row>
    <row r="258" spans="1:38" s="23" customFormat="1" ht="15.75" hidden="1" customHeight="1" outlineLevel="1" thickBot="1">
      <c r="A258" s="145"/>
      <c r="B258" s="739" t="s">
        <v>296</v>
      </c>
      <c r="C258" s="481" t="s">
        <v>206</v>
      </c>
      <c r="D258" s="283"/>
      <c r="E258" s="750"/>
      <c r="F258" s="991"/>
      <c r="G258" s="992"/>
      <c r="H258" s="256">
        <v>41927</v>
      </c>
      <c r="I258" s="745"/>
      <c r="J258"/>
      <c r="K258"/>
      <c r="L258"/>
      <c r="M258"/>
      <c r="N258"/>
      <c r="O258"/>
      <c r="P258"/>
      <c r="Q258"/>
      <c r="R258"/>
      <c r="S258"/>
      <c r="T258"/>
      <c r="U258"/>
      <c r="X258"/>
      <c r="AB258"/>
      <c r="AC258"/>
      <c r="AF258" s="361">
        <f>IF(AND(S.Hearing.1stInvolve="Y",S.EQC.FacHearing="Y",C258="Y"),1,0)</f>
        <v>0</v>
      </c>
      <c r="AG258" s="58"/>
      <c r="AH258" s="47"/>
      <c r="AI258" s="47"/>
      <c r="AJ258" s="44"/>
      <c r="AK258" s="44"/>
      <c r="AL258" s="76"/>
    </row>
    <row r="259" spans="1:38" s="23" customFormat="1" ht="15.75" hidden="1" customHeight="1" outlineLevel="1" thickBot="1">
      <c r="A259" s="145"/>
      <c r="B259" s="739" t="s">
        <v>297</v>
      </c>
      <c r="C259" s="481" t="s">
        <v>206</v>
      </c>
      <c r="D259" s="283"/>
      <c r="E259" s="750"/>
      <c r="F259" s="991"/>
      <c r="G259" s="992"/>
      <c r="H259" s="256">
        <v>41934</v>
      </c>
      <c r="I259" s="745"/>
      <c r="J259"/>
      <c r="K259"/>
      <c r="L259"/>
      <c r="M259"/>
      <c r="N259"/>
      <c r="O259"/>
      <c r="P259"/>
      <c r="Q259"/>
      <c r="R259"/>
      <c r="S259"/>
      <c r="T259"/>
      <c r="U259"/>
      <c r="X259"/>
      <c r="AB259"/>
      <c r="AC259"/>
      <c r="AF259" s="361">
        <f>IF(AND(S.Hearing.1stInvolve="Y",S.EQC.FacHearing="Y",C259="Y"),1,0)</f>
        <v>0</v>
      </c>
      <c r="AG259" s="58"/>
      <c r="AH259" s="47"/>
      <c r="AI259" s="47"/>
      <c r="AJ259" s="44"/>
      <c r="AK259" s="182" t="str">
        <f>IF(SUM(AF257:AF261)&gt;2,"You may be convening an EQC quorum.","")</f>
        <v/>
      </c>
      <c r="AL259" s="76"/>
    </row>
    <row r="260" spans="1:38" s="23" customFormat="1" ht="15.75" hidden="1" customHeight="1" outlineLevel="1" thickBot="1">
      <c r="A260" s="145"/>
      <c r="B260" s="739" t="s">
        <v>298</v>
      </c>
      <c r="C260" s="481" t="s">
        <v>206</v>
      </c>
      <c r="D260" s="283"/>
      <c r="E260" s="750"/>
      <c r="F260" s="991"/>
      <c r="G260" s="992"/>
      <c r="H260" s="256">
        <v>41934</v>
      </c>
      <c r="I260" s="745"/>
      <c r="J260"/>
      <c r="K260"/>
      <c r="L260"/>
      <c r="M260"/>
      <c r="N260"/>
      <c r="O260"/>
      <c r="P260"/>
      <c r="Q260"/>
      <c r="R260"/>
      <c r="S260"/>
      <c r="T260"/>
      <c r="U260"/>
      <c r="X260"/>
      <c r="AB260"/>
      <c r="AC260"/>
      <c r="AF260" s="361">
        <f>IF(AND(S.Hearing.1stInvolve="Y",S.EQC.FacHearing="Y",C260="Y"),1,0)</f>
        <v>0</v>
      </c>
      <c r="AG260" s="58"/>
      <c r="AH260" s="47"/>
      <c r="AI260" s="47"/>
      <c r="AJ260" s="44"/>
      <c r="AK260" s="44"/>
      <c r="AL260" s="76"/>
    </row>
    <row r="261" spans="1:38" s="23" customFormat="1" ht="15.75" hidden="1" customHeight="1" outlineLevel="1" thickBot="1">
      <c r="A261" s="145"/>
      <c r="B261" s="740" t="s">
        <v>299</v>
      </c>
      <c r="C261" s="481" t="s">
        <v>206</v>
      </c>
      <c r="D261" s="283"/>
      <c r="E261" s="750"/>
      <c r="F261" s="991"/>
      <c r="G261" s="992"/>
      <c r="H261" s="256">
        <v>41934</v>
      </c>
      <c r="I261" s="745"/>
      <c r="AF261" s="361">
        <f>IF(AND(S.Hearing.1stInvolve="Y",S.EQC.FacHearing="Y",C261="Y"),1,0)</f>
        <v>0</v>
      </c>
      <c r="AG261" s="58"/>
      <c r="AH261" s="47"/>
      <c r="AI261" s="59"/>
      <c r="AJ261" s="44"/>
      <c r="AK261" s="44"/>
      <c r="AL261" s="76"/>
    </row>
    <row r="262" spans="1:38" s="23" customFormat="1" ht="6" customHeight="1" outlineLevel="1">
      <c r="A262" s="145"/>
      <c r="B262" s="329"/>
      <c r="C262" s="329"/>
      <c r="D262" s="693"/>
      <c r="E262" s="693"/>
      <c r="F262" s="795"/>
      <c r="G262" s="286"/>
      <c r="H262" s="331"/>
      <c r="I262" s="39"/>
      <c r="AF262" s="361">
        <v>0</v>
      </c>
      <c r="AG262" s="76"/>
      <c r="AH262" s="76"/>
      <c r="AI262" s="108" t="s">
        <v>230</v>
      </c>
      <c r="AJ262" s="344"/>
      <c r="AK262" s="77"/>
      <c r="AL262" s="76"/>
    </row>
    <row r="263" spans="1:38" s="23" customFormat="1" ht="19.5" customHeight="1" outlineLevel="1">
      <c r="A263" s="145"/>
      <c r="B263" s="523" t="s">
        <v>552</v>
      </c>
      <c r="C263"/>
      <c r="D263" s="705"/>
      <c r="E263" s="705"/>
      <c r="F263"/>
      <c r="G263"/>
      <c r="H263"/>
      <c r="I263" s="745"/>
      <c r="J263"/>
      <c r="K263"/>
      <c r="L263"/>
      <c r="M263"/>
      <c r="N263"/>
      <c r="O263"/>
      <c r="P263"/>
      <c r="Q263"/>
      <c r="R263"/>
      <c r="S263"/>
      <c r="T263"/>
      <c r="U263"/>
      <c r="X263"/>
      <c r="AB263"/>
      <c r="AC263"/>
      <c r="AF263" s="361">
        <f t="shared" ref="AF263:AF282" si="22">IF(S.Planning.DecisionToAddToPlan="A",1,0)</f>
        <v>1</v>
      </c>
      <c r="AG263" s="59"/>
      <c r="AH263" s="59"/>
      <c r="AI263" s="59"/>
      <c r="AJ263" s="62"/>
      <c r="AK263" s="44"/>
      <c r="AL263" s="76"/>
    </row>
    <row r="264" spans="1:38" s="23" customFormat="1" ht="15.75" customHeight="1" outlineLevel="1">
      <c r="A264" s="145"/>
      <c r="B264" s="343" t="str">
        <f>AK264</f>
        <v>Brian coordinates with Team to:</v>
      </c>
      <c r="C264" s="196"/>
      <c r="D264" s="188"/>
      <c r="E264" s="880"/>
      <c r="F264"/>
      <c r="G264" s="190">
        <f>AG264</f>
        <v>41792</v>
      </c>
      <c r="H264" s="256">
        <f>AH264</f>
        <v>41792</v>
      </c>
      <c r="I264" s="745"/>
      <c r="J264"/>
      <c r="K264"/>
      <c r="L264"/>
      <c r="M264"/>
      <c r="N264"/>
      <c r="O264"/>
      <c r="P264"/>
      <c r="Q264"/>
      <c r="R264"/>
      <c r="S264"/>
      <c r="T264"/>
      <c r="U264"/>
      <c r="X264"/>
      <c r="AB264"/>
      <c r="AC264"/>
      <c r="AF264" s="361">
        <f t="shared" si="22"/>
        <v>1</v>
      </c>
      <c r="AG264" s="60">
        <f>S.Planning.AddConceptToPlanDate</f>
        <v>41792</v>
      </c>
      <c r="AH264" s="60">
        <f>G264</f>
        <v>41792</v>
      </c>
      <c r="AI264" s="59"/>
      <c r="AJ264" s="43"/>
      <c r="AK264" s="78" t="str">
        <f>S.Staff.Subject.Expert.FirstName&amp;" coordinates with Team to:"</f>
        <v>Brian coordinates with Team to:</v>
      </c>
      <c r="AL264" s="76"/>
    </row>
    <row r="265" spans="1:38" s="23" customFormat="1" ht="15.75" customHeight="1" outlineLevel="1">
      <c r="A265" s="145"/>
      <c r="B265" s="269" t="s">
        <v>561</v>
      </c>
      <c r="C265" s="196"/>
      <c r="D265" s="188"/>
      <c r="E265" s="880"/>
      <c r="I265" s="745"/>
      <c r="AF265" s="361">
        <f t="shared" si="22"/>
        <v>1</v>
      </c>
      <c r="AG265" s="59"/>
      <c r="AH265" s="59"/>
      <c r="AI265" s="59"/>
      <c r="AJ265" s="43"/>
      <c r="AK265" s="58" t="s">
        <v>0</v>
      </c>
      <c r="AL265" s="76"/>
    </row>
    <row r="266" spans="1:38" s="23" customFormat="1" ht="15.75" customHeight="1" outlineLevel="1">
      <c r="A266" s="145"/>
      <c r="B266" s="269" t="s">
        <v>555</v>
      </c>
      <c r="C266" s="196"/>
      <c r="D266" s="188"/>
      <c r="E266" s="880"/>
      <c r="I266" s="745"/>
      <c r="AF266" s="361">
        <f t="shared" si="22"/>
        <v>1</v>
      </c>
      <c r="AG266" s="59"/>
      <c r="AH266" s="59"/>
      <c r="AI266" s="59"/>
      <c r="AJ266" s="43"/>
      <c r="AK266" s="58" t="s">
        <v>0</v>
      </c>
      <c r="AL266" s="76"/>
    </row>
    <row r="267" spans="1:38" s="23" customFormat="1" ht="15.75" customHeight="1" outlineLevel="1">
      <c r="A267" s="145"/>
      <c r="B267" s="269" t="s">
        <v>560</v>
      </c>
      <c r="C267" s="196"/>
      <c r="D267" s="188"/>
      <c r="E267" s="880"/>
      <c r="I267" s="745"/>
      <c r="AF267" s="361">
        <f t="shared" si="22"/>
        <v>1</v>
      </c>
      <c r="AG267" s="59"/>
      <c r="AH267" s="59"/>
      <c r="AI267" s="59"/>
      <c r="AJ267" s="43"/>
      <c r="AK267" s="58" t="s">
        <v>0</v>
      </c>
      <c r="AL267" s="76"/>
    </row>
    <row r="268" spans="1:38" s="23" customFormat="1" ht="15.75" customHeight="1" outlineLevel="1">
      <c r="A268" s="145"/>
      <c r="B268" s="269" t="s">
        <v>261</v>
      </c>
      <c r="C268" s="510" t="str">
        <f>HYPERLINK("http://arcweb.sos.state.or.us/pages/rules/oars_300/oar_340/340_018.html","i")</f>
        <v>i</v>
      </c>
      <c r="D268" s="355"/>
      <c r="E268" s="885"/>
      <c r="I268" s="745"/>
      <c r="AF268" s="361">
        <f t="shared" si="22"/>
        <v>1</v>
      </c>
      <c r="AG268" s="59"/>
      <c r="AH268" s="59"/>
      <c r="AI268" s="59"/>
      <c r="AJ268" s="43"/>
      <c r="AK268" s="58" t="s">
        <v>0</v>
      </c>
      <c r="AL268" s="76"/>
    </row>
    <row r="269" spans="1:38" s="23" customFormat="1" ht="15.75" customHeight="1" outlineLevel="1">
      <c r="A269" s="145"/>
      <c r="B269" s="269" t="s">
        <v>554</v>
      </c>
      <c r="C269" s="510" t="str">
        <f>HYPERLINK("http://arcweb.sos.state.or.us/pages/rules/oars_300/oar_340/340_018.html","i")</f>
        <v>i</v>
      </c>
      <c r="D269" s="355"/>
      <c r="E269" s="885"/>
      <c r="I269" s="745"/>
      <c r="AF269" s="361">
        <f t="shared" si="22"/>
        <v>1</v>
      </c>
      <c r="AG269" s="59"/>
      <c r="AH269" s="59"/>
      <c r="AI269" s="59"/>
      <c r="AJ269" s="43"/>
      <c r="AK269" s="58" t="s">
        <v>0</v>
      </c>
      <c r="AL269" s="76"/>
    </row>
    <row r="270" spans="1:38" s="23" customFormat="1" ht="15.75" customHeight="1" outlineLevel="1">
      <c r="A270" s="145"/>
      <c r="B270" s="343" t="str">
        <f>AK270</f>
        <v>Brian:</v>
      </c>
      <c r="D270" s="706"/>
      <c r="E270" s="880"/>
      <c r="F270" s="191"/>
      <c r="I270" s="745"/>
      <c r="AF270" s="361">
        <f t="shared" si="22"/>
        <v>1</v>
      </c>
      <c r="AG270" s="59"/>
      <c r="AH270" s="59"/>
      <c r="AI270" s="59"/>
      <c r="AJ270" s="43"/>
      <c r="AK270" s="78" t="str">
        <f>S.Staff.Subject.Expert.FirstName&amp;":"</f>
        <v>Brian:</v>
      </c>
      <c r="AL270" s="76"/>
    </row>
    <row r="271" spans="1:38" s="23" customFormat="1" ht="15.75" customHeight="1" outlineLevel="1">
      <c r="A271" s="145"/>
      <c r="B271" s="318" t="s">
        <v>185</v>
      </c>
      <c r="C271" s="510" t="str">
        <f>HYPERLINK("http://arcweb.sos.state.or.us/pages/rules/oars_300/oar_340/340_tofc.html","i")</f>
        <v>i</v>
      </c>
      <c r="D271" s="188"/>
      <c r="E271" s="880"/>
      <c r="F271" s="191"/>
      <c r="H271" s="190">
        <f>AH271</f>
        <v>41792</v>
      </c>
      <c r="I271" s="745"/>
      <c r="AF271" s="361">
        <f t="shared" si="22"/>
        <v>1</v>
      </c>
      <c r="AG271" s="59"/>
      <c r="AH271" s="60">
        <f>S.Planning.AddConceptToPlanDate</f>
        <v>41792</v>
      </c>
      <c r="AI271" s="59"/>
      <c r="AJ271" s="43"/>
      <c r="AK271" s="346"/>
      <c r="AL271" s="76"/>
    </row>
    <row r="272" spans="1:38" s="23" customFormat="1" ht="15.75" customHeight="1" outlineLevel="1">
      <c r="A272" s="145"/>
      <c r="B272" s="318" t="s">
        <v>657</v>
      </c>
      <c r="C272" s="196"/>
      <c r="D272" s="706"/>
      <c r="E272" s="706"/>
      <c r="F272" s="191"/>
      <c r="H272" s="193"/>
      <c r="I272" s="745"/>
      <c r="J272"/>
      <c r="K272"/>
      <c r="L272"/>
      <c r="M272"/>
      <c r="N272"/>
      <c r="O272"/>
      <c r="P272"/>
      <c r="Q272"/>
      <c r="R272"/>
      <c r="S272"/>
      <c r="T272"/>
      <c r="U272"/>
      <c r="X272"/>
      <c r="AB272"/>
      <c r="AC272"/>
      <c r="AF272" s="361">
        <f t="shared" si="22"/>
        <v>1</v>
      </c>
      <c r="AG272" s="59"/>
      <c r="AH272" s="58"/>
      <c r="AI272" s="59"/>
      <c r="AJ272" s="43"/>
      <c r="AK272" s="346"/>
      <c r="AL272" s="76"/>
    </row>
    <row r="273" spans="1:39" ht="15.75" customHeight="1" outlineLevel="1">
      <c r="A273" s="145"/>
      <c r="B273" s="359" t="s">
        <v>563</v>
      </c>
      <c r="C273" s="184" t="s">
        <v>0</v>
      </c>
      <c r="D273" s="706"/>
      <c r="E273" s="706"/>
      <c r="F273"/>
      <c r="G273"/>
      <c r="H273"/>
      <c r="I273" s="745"/>
      <c r="AF273" s="361">
        <f t="shared" si="22"/>
        <v>1</v>
      </c>
      <c r="AG273" s="58"/>
      <c r="AH273" s="58"/>
      <c r="AI273" s="59"/>
      <c r="AJ273" s="49"/>
      <c r="AK273" s="346"/>
      <c r="AL273" s="76"/>
      <c r="AM273"/>
    </row>
    <row r="274" spans="1:39" s="23" customFormat="1" ht="15.75" customHeight="1" outlineLevel="1">
      <c r="A274" s="145"/>
      <c r="B274" s="736" t="str">
        <f>AK274</f>
        <v xml:space="preserve">only Brian works on rules at this location to ensure the </v>
      </c>
      <c r="C274" s="196"/>
      <c r="D274" s="706"/>
      <c r="E274" s="706"/>
      <c r="F274" s="191"/>
      <c r="G274" s="192"/>
      <c r="H274" s="193"/>
      <c r="I274" s="745"/>
      <c r="J274"/>
      <c r="K274"/>
      <c r="L274"/>
      <c r="M274"/>
      <c r="N274"/>
      <c r="O274"/>
      <c r="P274"/>
      <c r="Q274"/>
      <c r="R274"/>
      <c r="S274"/>
      <c r="T274"/>
      <c r="U274"/>
      <c r="X274"/>
      <c r="AB274"/>
      <c r="AC274"/>
      <c r="AF274" s="361">
        <f t="shared" si="22"/>
        <v>1</v>
      </c>
      <c r="AG274" s="58"/>
      <c r="AH274" s="58"/>
      <c r="AI274" s="59"/>
      <c r="AJ274" s="43"/>
      <c r="AK274" s="78" t="str">
        <f>"only "&amp;S.Staff.Subject.Expert.FirstName&amp;" works on rules at this location to ensure the "</f>
        <v xml:space="preserve">only Brian works on rules at this location to ensure the </v>
      </c>
      <c r="AL274" s="76"/>
    </row>
    <row r="275" spans="1:39" s="23" customFormat="1" ht="15.75" customHeight="1" outlineLevel="1">
      <c r="A275" s="145"/>
      <c r="B275" s="318" t="s">
        <v>562</v>
      </c>
      <c r="C275" s="196"/>
      <c r="D275" s="706"/>
      <c r="E275" s="706"/>
      <c r="F275" s="191"/>
      <c r="G275" s="192"/>
      <c r="H275" s="193"/>
      <c r="I275" s="745"/>
      <c r="J275"/>
      <c r="K275"/>
      <c r="L275"/>
      <c r="M275"/>
      <c r="N275"/>
      <c r="O275"/>
      <c r="P275"/>
      <c r="Q275"/>
      <c r="R275"/>
      <c r="S275"/>
      <c r="T275"/>
      <c r="U275"/>
      <c r="X275"/>
      <c r="AB275"/>
      <c r="AC275"/>
      <c r="AF275" s="361">
        <f t="shared" si="22"/>
        <v>1</v>
      </c>
      <c r="AG275" s="58"/>
      <c r="AH275" s="58"/>
      <c r="AI275" s="59"/>
      <c r="AJ275" s="43"/>
      <c r="AK275" s="346"/>
      <c r="AL275" s="76"/>
    </row>
    <row r="276" spans="1:39" s="23" customFormat="1" ht="15.75" customHeight="1" outlineLevel="1">
      <c r="A276" s="145"/>
      <c r="B276" s="475" t="s">
        <v>775</v>
      </c>
      <c r="C276" s="196"/>
      <c r="D276" s="706"/>
      <c r="E276" s="706"/>
      <c r="F276" s="191"/>
      <c r="G276" s="192"/>
      <c r="H276" s="193"/>
      <c r="I276" s="745"/>
      <c r="J276"/>
      <c r="K276"/>
      <c r="L276"/>
      <c r="M276"/>
      <c r="N276"/>
      <c r="O276"/>
      <c r="P276"/>
      <c r="Q276"/>
      <c r="R276"/>
      <c r="S276"/>
      <c r="T276"/>
      <c r="U276"/>
      <c r="X276"/>
      <c r="AB276"/>
      <c r="AC276"/>
      <c r="AF276" s="361">
        <f t="shared" si="22"/>
        <v>1</v>
      </c>
      <c r="AG276" s="58"/>
      <c r="AH276" s="58"/>
      <c r="AI276" s="59"/>
      <c r="AJ276" s="43"/>
      <c r="AK276" s="346"/>
      <c r="AL276" s="76"/>
    </row>
    <row r="277" spans="1:39" s="23" customFormat="1" ht="15.75" customHeight="1" outlineLevel="1">
      <c r="A277" s="145"/>
      <c r="B277" s="269" t="s">
        <v>564</v>
      </c>
      <c r="C277" s="184" t="s">
        <v>0</v>
      </c>
      <c r="D277" s="187"/>
      <c r="E277" s="885"/>
      <c r="F277" s="191"/>
      <c r="G277" s="192"/>
      <c r="H277" s="193"/>
      <c r="I277" s="745"/>
      <c r="J277"/>
      <c r="K277"/>
      <c r="L277"/>
      <c r="M277"/>
      <c r="N277"/>
      <c r="O277"/>
      <c r="P277"/>
      <c r="Q277"/>
      <c r="R277"/>
      <c r="S277"/>
      <c r="T277"/>
      <c r="U277"/>
      <c r="X277"/>
      <c r="AB277"/>
      <c r="AC277"/>
      <c r="AF277" s="361">
        <f t="shared" si="22"/>
        <v>1</v>
      </c>
      <c r="AG277" s="58"/>
      <c r="AH277" s="58"/>
      <c r="AI277" s="59"/>
      <c r="AJ277" s="49"/>
      <c r="AK277" s="346"/>
      <c r="AL277" s="76"/>
    </row>
    <row r="278" spans="1:39" s="23" customFormat="1" ht="15.75" customHeight="1" outlineLevel="1">
      <c r="A278" s="145"/>
      <c r="B278" s="343" t="s">
        <v>565</v>
      </c>
      <c r="C278" s="196"/>
      <c r="D278" s="706"/>
      <c r="E278" s="706"/>
      <c r="F278" s="191"/>
      <c r="G278" s="192"/>
      <c r="H278" s="193"/>
      <c r="I278" s="745"/>
      <c r="J278"/>
      <c r="K278"/>
      <c r="L278"/>
      <c r="M278"/>
      <c r="N278"/>
      <c r="O278"/>
      <c r="P278"/>
      <c r="Q278"/>
      <c r="R278"/>
      <c r="S278"/>
      <c r="T278"/>
      <c r="U278"/>
      <c r="X278"/>
      <c r="AB278"/>
      <c r="AC278"/>
      <c r="AF278" s="361">
        <f t="shared" si="22"/>
        <v>1</v>
      </c>
      <c r="AG278" s="58"/>
      <c r="AH278" s="58"/>
      <c r="AI278" s="59"/>
      <c r="AJ278" s="43"/>
      <c r="AK278" s="346"/>
      <c r="AL278" s="76"/>
    </row>
    <row r="279" spans="1:39" s="23" customFormat="1" ht="15.75" customHeight="1" outlineLevel="1">
      <c r="A279" s="145"/>
      <c r="B279" s="269" t="str">
        <f>AK279</f>
        <v>* requests Maggie provide numbers for new rules/divisions</v>
      </c>
      <c r="C279" s="184" t="s">
        <v>0</v>
      </c>
      <c r="D279" s="187"/>
      <c r="E279" s="885"/>
      <c r="F279" s="191"/>
      <c r="G279"/>
      <c r="H279" s="190">
        <f>AH279</f>
        <v>41792</v>
      </c>
      <c r="I279" s="745"/>
      <c r="J279"/>
      <c r="K279"/>
      <c r="L279"/>
      <c r="M279"/>
      <c r="N279"/>
      <c r="O279"/>
      <c r="P279"/>
      <c r="Q279"/>
      <c r="R279"/>
      <c r="S279"/>
      <c r="T279"/>
      <c r="U279"/>
      <c r="X279"/>
      <c r="AB279"/>
      <c r="AC279"/>
      <c r="AF279" s="361">
        <f t="shared" si="22"/>
        <v>1</v>
      </c>
      <c r="AG279" s="58"/>
      <c r="AH279" s="60">
        <f>S.Planning.AddConceptToPlanDate</f>
        <v>41792</v>
      </c>
      <c r="AI279" s="59"/>
      <c r="AJ279" s="49"/>
      <c r="AK279" s="78" t="str">
        <f>"* requests "&amp;S.Staff.AgencyRulesCoordinator&amp;" provide numbers for new rules/divisions"</f>
        <v>* requests Maggie provide numbers for new rules/divisions</v>
      </c>
      <c r="AL279" s="76"/>
    </row>
    <row r="280" spans="1:39" s="23" customFormat="1" ht="15.75" customHeight="1" outlineLevel="1">
      <c r="A280" s="145"/>
      <c r="B280" s="267" t="str">
        <f>AK280</f>
        <v>Maggie:</v>
      </c>
      <c r="C280" s="184" t="s">
        <v>0</v>
      </c>
      <c r="D280" s="706"/>
      <c r="E280" s="885"/>
      <c r="F280" s="191"/>
      <c r="I280" s="745"/>
      <c r="AF280" s="361">
        <f t="shared" si="22"/>
        <v>1</v>
      </c>
      <c r="AG280" s="58"/>
      <c r="AH280" s="58"/>
      <c r="AI280" s="59"/>
      <c r="AJ280" s="49"/>
      <c r="AK280" s="78" t="str">
        <f>S.Staff.AgencyRulesCoordinator&amp;":"</f>
        <v>Maggie:</v>
      </c>
      <c r="AL280" s="76"/>
    </row>
    <row r="281" spans="1:39" s="23" customFormat="1" ht="15.75" customHeight="1" outlineLevel="1">
      <c r="A281" s="145"/>
      <c r="B281" s="269" t="s">
        <v>567</v>
      </c>
      <c r="C281" s="184" t="s">
        <v>0</v>
      </c>
      <c r="D281" s="187"/>
      <c r="E281" s="885"/>
      <c r="F281" s="191"/>
      <c r="G281"/>
      <c r="H281" s="190">
        <f>AH281</f>
        <v>41792</v>
      </c>
      <c r="I281" s="745"/>
      <c r="J281"/>
      <c r="K281"/>
      <c r="L281"/>
      <c r="M281"/>
      <c r="N281"/>
      <c r="O281"/>
      <c r="P281"/>
      <c r="Q281"/>
      <c r="R281"/>
      <c r="S281"/>
      <c r="T281"/>
      <c r="U281"/>
      <c r="X281"/>
      <c r="AB281"/>
      <c r="AC281"/>
      <c r="AF281" s="361">
        <f t="shared" si="22"/>
        <v>1</v>
      </c>
      <c r="AG281" s="58"/>
      <c r="AH281" s="60">
        <f>S.Planning.AddConceptToPlanDate</f>
        <v>41792</v>
      </c>
      <c r="AI281" s="59"/>
      <c r="AJ281" s="49"/>
      <c r="AK281" s="78" t="str">
        <f>S.Staff.AgencyRulesCoordinator&amp;" obtains, verifies, provides previously unused numbers"</f>
        <v>Maggie obtains, verifies, provides previously unused numbers</v>
      </c>
      <c r="AL281" s="76"/>
    </row>
    <row r="282" spans="1:39" s="23" customFormat="1" ht="15.75" customHeight="1" outlineLevel="1">
      <c r="A282" s="145"/>
      <c r="B282" s="269" t="s">
        <v>566</v>
      </c>
      <c r="C282" s="184" t="s">
        <v>0</v>
      </c>
      <c r="D282" s="187"/>
      <c r="E282" s="885"/>
      <c r="F282"/>
      <c r="H282" s="190">
        <f>AH282</f>
        <v>41792</v>
      </c>
      <c r="I282" s="745"/>
      <c r="J282"/>
      <c r="K282"/>
      <c r="L282"/>
      <c r="M282"/>
      <c r="N282"/>
      <c r="O282"/>
      <c r="P282"/>
      <c r="Q282"/>
      <c r="R282"/>
      <c r="S282"/>
      <c r="T282"/>
      <c r="U282"/>
      <c r="X282"/>
      <c r="AB282"/>
      <c r="AC282"/>
      <c r="AF282" s="361">
        <f t="shared" si="22"/>
        <v>1</v>
      </c>
      <c r="AG282" s="58"/>
      <c r="AH282" s="60">
        <f>S.Planning.AddConceptToPlanDate</f>
        <v>41792</v>
      </c>
      <c r="AI282" s="59"/>
      <c r="AJ282" s="49"/>
      <c r="AK282" s="78" t="str">
        <f>S.Staff.AgencyRulesCoordinator&amp;" identifies rules that may be involved in other rulemakings "</f>
        <v xml:space="preserve">Maggie identifies rules that may be involved in other rulemakings </v>
      </c>
      <c r="AL282" s="76"/>
    </row>
    <row r="283" spans="1:39" s="23" customFormat="1" ht="15.75" customHeight="1" outlineLevel="1">
      <c r="A283" s="145"/>
      <c r="B283" s="269" t="str">
        <f>AK283</f>
        <v>* coordinates with AndreaG to identify SIP rules</v>
      </c>
      <c r="C283" s="185"/>
      <c r="D283" s="187"/>
      <c r="E283" s="885"/>
      <c r="F283"/>
      <c r="H283" s="190">
        <f>AH283</f>
        <v>0</v>
      </c>
      <c r="I283" s="745"/>
      <c r="J283"/>
      <c r="K283"/>
      <c r="L283"/>
      <c r="M283"/>
      <c r="N283"/>
      <c r="O283"/>
      <c r="P283"/>
      <c r="Q283"/>
      <c r="R283"/>
      <c r="S283"/>
      <c r="T283"/>
      <c r="U283"/>
      <c r="X283"/>
      <c r="AB283"/>
      <c r="AC283"/>
      <c r="AF283" s="361">
        <f>IF(AND(S.Planning.DecisionToAddToPlan="A",S.SIP.Involved="Y"),1,0)</f>
        <v>1</v>
      </c>
      <c r="AG283" s="60">
        <f>IF(S.SIP.Involved="Y",S.DIRECTOR.Approves.ForDEQRulemakingPlan,)</f>
        <v>41792</v>
      </c>
      <c r="AH283" s="60">
        <f>G283</f>
        <v>0</v>
      </c>
      <c r="AI283" s="59"/>
      <c r="AJ283" s="59"/>
      <c r="AK283" s="78" t="str">
        <f>"* coordinates with "&amp;S.Staff.SIPCo&amp;" to identify SIP rules"</f>
        <v>* coordinates with AndreaG to identify SIP rules</v>
      </c>
      <c r="AL283" s="76"/>
    </row>
    <row r="284" spans="1:39" s="23" customFormat="1" ht="15.75" customHeight="1" outlineLevel="1">
      <c r="A284" s="145"/>
      <c r="B284" s="269" t="s">
        <v>568</v>
      </c>
      <c r="C284" s="509" t="str">
        <f>HYPERLINK("\\deqhq1\Rule_Development\Currrent Plan","i")</f>
        <v>i</v>
      </c>
      <c r="D284" s="187"/>
      <c r="E284" s="885"/>
      <c r="F284"/>
      <c r="H284" s="190">
        <f>AH284</f>
        <v>41792</v>
      </c>
      <c r="I284" s="745"/>
      <c r="J284"/>
      <c r="K284"/>
      <c r="L284"/>
      <c r="M284"/>
      <c r="N284"/>
      <c r="O284"/>
      <c r="P284"/>
      <c r="Q284"/>
      <c r="R284"/>
      <c r="S284"/>
      <c r="T284"/>
      <c r="U284"/>
      <c r="X284"/>
      <c r="AB284"/>
      <c r="AC284"/>
      <c r="AF284" s="361">
        <f>IF(S.Planning.DecisionToAddToPlan="A",1,0)</f>
        <v>1</v>
      </c>
      <c r="AG284" s="58"/>
      <c r="AH284" s="60">
        <f>S.Planning.AddConceptToPlanDate</f>
        <v>41792</v>
      </c>
      <c r="AI284" s="59"/>
      <c r="AJ284" s="59"/>
      <c r="AK284" s="78" t="str">
        <f>S.Staff.Subject.Expert.FirstName&amp;" gathers all planning emails for the Rule Record and saves as:"</f>
        <v>Brian gathers all planning emails for the Rule Record and saves as:</v>
      </c>
      <c r="AL284" s="76"/>
    </row>
    <row r="285" spans="1:39" s="23" customFormat="1" ht="15.75" customHeight="1" outlineLevel="1">
      <c r="A285" s="145"/>
      <c r="B285" s="342" t="s">
        <v>135</v>
      </c>
      <c r="C285" s="97"/>
      <c r="D285" s="218"/>
      <c r="E285" s="218"/>
      <c r="F285"/>
      <c r="G285" s="138"/>
      <c r="H285" s="138"/>
      <c r="I285" s="745"/>
      <c r="J285"/>
      <c r="K285"/>
      <c r="L285"/>
      <c r="M285"/>
      <c r="N285"/>
      <c r="O285"/>
      <c r="P285"/>
      <c r="Q285"/>
      <c r="R285"/>
      <c r="S285"/>
      <c r="T285"/>
      <c r="U285"/>
      <c r="X285"/>
      <c r="AB285"/>
      <c r="AC285"/>
      <c r="AF285" s="361">
        <f>IF(S.Planning.DecisionToAddToPlan="A",1,0)</f>
        <v>1</v>
      </c>
      <c r="AG285" s="58"/>
      <c r="AH285" s="58"/>
      <c r="AI285" s="58"/>
      <c r="AJ285" s="44"/>
      <c r="AK285" s="58" t="s">
        <v>0</v>
      </c>
      <c r="AL285" s="76"/>
    </row>
    <row r="286" spans="1:39" ht="6" customHeight="1">
      <c r="A286" s="145"/>
      <c r="B286" s="140"/>
      <c r="C286" s="91"/>
      <c r="D286" s="170"/>
      <c r="E286" s="170"/>
      <c r="F286" s="92"/>
      <c r="G286" s="91"/>
      <c r="H286" s="91"/>
      <c r="I286" s="745"/>
      <c r="AF286" s="361" t="s">
        <v>0</v>
      </c>
      <c r="AG286" s="58"/>
      <c r="AH286" s="58"/>
      <c r="AI286" s="59"/>
      <c r="AJ286" s="43"/>
      <c r="AK286" s="346"/>
      <c r="AL286" s="76"/>
      <c r="AM286"/>
    </row>
    <row r="287" spans="1:39" s="23" customFormat="1" ht="20.25" customHeight="1">
      <c r="A287" s="145"/>
      <c r="B287" s="1018" t="str">
        <f>AK12</f>
        <v>Advisory Committee - not involved</v>
      </c>
      <c r="C287" s="1018"/>
      <c r="D287" s="1018"/>
      <c r="E287" s="1018"/>
      <c r="F287" s="1018"/>
      <c r="G287" s="1018"/>
      <c r="H287" s="1018"/>
      <c r="I287" s="745"/>
      <c r="J287"/>
      <c r="K287"/>
      <c r="L287"/>
      <c r="M287"/>
      <c r="N287"/>
      <c r="O287"/>
      <c r="P287"/>
      <c r="Q287"/>
      <c r="R287"/>
      <c r="S287"/>
      <c r="T287"/>
      <c r="U287"/>
      <c r="X287"/>
      <c r="AB287"/>
      <c r="AC287"/>
      <c r="AF287" s="361" t="s">
        <v>0</v>
      </c>
      <c r="AG287" s="76"/>
      <c r="AH287" s="76"/>
      <c r="AI287" s="59"/>
      <c r="AJ287" s="68"/>
      <c r="AK287" s="346"/>
      <c r="AL287" s="76"/>
    </row>
    <row r="288" spans="1:39" s="376" customFormat="1" ht="14.1" hidden="1" customHeight="1" outlineLevel="1">
      <c r="A288" s="373"/>
      <c r="B288" s="455" t="str">
        <f>S.General.CodeName</f>
        <v>GPLMP</v>
      </c>
      <c r="C288" s="374" t="s">
        <v>0</v>
      </c>
      <c r="D288" s="374"/>
      <c r="E288" s="374"/>
      <c r="F288" s="382" t="s">
        <v>0</v>
      </c>
      <c r="G288" s="375" t="s">
        <v>57</v>
      </c>
      <c r="H288" s="375" t="s">
        <v>172</v>
      </c>
      <c r="I288" s="745"/>
      <c r="J288"/>
      <c r="K288"/>
      <c r="L288"/>
      <c r="M288"/>
      <c r="N288"/>
      <c r="O288"/>
      <c r="P288"/>
      <c r="Q288"/>
      <c r="R288"/>
      <c r="S288"/>
      <c r="T288"/>
      <c r="U288"/>
      <c r="V288" s="23"/>
      <c r="W288" s="23"/>
      <c r="X288"/>
      <c r="Y288" s="23"/>
      <c r="Z288" s="23"/>
      <c r="AA288" s="23"/>
      <c r="AB288"/>
      <c r="AC288"/>
      <c r="AD288" s="23"/>
      <c r="AE288" s="23"/>
      <c r="AF288" s="378" t="s">
        <v>59</v>
      </c>
      <c r="AG288" s="377"/>
      <c r="AH288" s="377"/>
      <c r="AI288" s="379"/>
      <c r="AJ288" s="380"/>
      <c r="AK288" s="381"/>
      <c r="AL288" s="377"/>
    </row>
    <row r="289" spans="1:39" ht="14.1" hidden="1" customHeight="1" outlineLevel="1">
      <c r="A289" s="145"/>
      <c r="B289" s="384" t="s">
        <v>0</v>
      </c>
      <c r="C289" s="116" t="s">
        <v>0</v>
      </c>
      <c r="D289" s="707"/>
      <c r="E289" s="707"/>
      <c r="F289" s="116"/>
      <c r="G289" s="198">
        <f>AG289</f>
        <v>41761</v>
      </c>
      <c r="H289" s="198">
        <f>S.AC.BANNER.End</f>
        <v>0</v>
      </c>
      <c r="I289" s="745"/>
      <c r="AF289" s="361" t="s">
        <v>59</v>
      </c>
      <c r="AG289" s="60">
        <f>S.AC.BANNER.Begin</f>
        <v>41761</v>
      </c>
      <c r="AH289" s="60">
        <f>S.AC.BANNER.End</f>
        <v>0</v>
      </c>
      <c r="AI289" s="47"/>
      <c r="AJ289" s="61"/>
      <c r="AK289" s="346"/>
      <c r="AL289" s="76"/>
      <c r="AM289"/>
    </row>
    <row r="290" spans="1:39" ht="6" hidden="1" customHeight="1" outlineLevel="1">
      <c r="A290" s="145"/>
      <c r="B290" s="106"/>
      <c r="C290" s="98"/>
      <c r="D290" s="691"/>
      <c r="E290" s="691"/>
      <c r="F290" s="99"/>
      <c r="G290" s="98"/>
      <c r="H290" s="98"/>
      <c r="I290" s="745"/>
      <c r="AF290" s="362" t="s">
        <v>16</v>
      </c>
      <c r="AG290" s="47"/>
      <c r="AH290" s="47"/>
      <c r="AI290" s="47"/>
      <c r="AJ290" s="43"/>
      <c r="AK290" s="346"/>
      <c r="AL290" s="76"/>
      <c r="AM290"/>
    </row>
    <row r="291" spans="1:39" s="23" customFormat="1" ht="14.1" hidden="1" customHeight="1" outlineLevel="1">
      <c r="A291" s="145"/>
      <c r="B291" s="538" t="s">
        <v>336</v>
      </c>
      <c r="C291" s="509" t="str">
        <f>HYPERLINK("\\deqhq1\Rule_Resources\i\0-VersionHistory.pdf","i")</f>
        <v>i</v>
      </c>
      <c r="D291" s="283"/>
      <c r="E291" s="750"/>
      <c r="F291"/>
      <c r="G291" s="82"/>
      <c r="H291" s="82"/>
      <c r="I291" s="745"/>
      <c r="J291"/>
      <c r="K291"/>
      <c r="L291"/>
      <c r="M291"/>
      <c r="N291"/>
      <c r="O291"/>
      <c r="P291"/>
      <c r="Q291"/>
      <c r="R291"/>
      <c r="S291"/>
      <c r="T291"/>
      <c r="U291"/>
      <c r="X291"/>
      <c r="AB291"/>
      <c r="AC291"/>
      <c r="AF291" s="362" t="s">
        <v>20</v>
      </c>
      <c r="AG291" s="47"/>
      <c r="AH291" s="47"/>
      <c r="AI291" s="69"/>
      <c r="AJ291" s="69"/>
      <c r="AK291" s="35"/>
      <c r="AL291" s="76"/>
    </row>
    <row r="292" spans="1:39" s="23" customFormat="1" ht="14.1" hidden="1" customHeight="1" outlineLevel="1">
      <c r="A292" s="145"/>
      <c r="B292" s="316" t="str">
        <f>AK292</f>
        <v xml:space="preserve">Brian holds/leads team meeting to: </v>
      </c>
      <c r="C292" s="324" t="s">
        <v>0</v>
      </c>
      <c r="D292" s="283"/>
      <c r="E292" s="283"/>
      <c r="F292"/>
      <c r="G292" s="525">
        <f>AG292</f>
        <v>41761</v>
      </c>
      <c r="H292" s="525">
        <f>AH292</f>
        <v>41761</v>
      </c>
      <c r="I292" s="745"/>
      <c r="J292"/>
      <c r="K292"/>
      <c r="L292"/>
      <c r="M292"/>
      <c r="N292"/>
      <c r="O292"/>
      <c r="P292"/>
      <c r="Q292"/>
      <c r="R292"/>
      <c r="S292"/>
      <c r="T292"/>
      <c r="U292"/>
      <c r="X292"/>
      <c r="AB292"/>
      <c r="AC292"/>
      <c r="AF292" s="362">
        <f t="shared" ref="AF292:AF317" si="23">IF(S.AC.CommitteeInvolved="Y",1,0)</f>
        <v>0</v>
      </c>
      <c r="AG292" s="60">
        <f>S.AC.BANNER.Begin</f>
        <v>41761</v>
      </c>
      <c r="AH292" s="60">
        <f>G292</f>
        <v>41761</v>
      </c>
      <c r="AI292" s="59"/>
      <c r="AJ292" s="59"/>
      <c r="AK292" s="78" t="str">
        <f>S.Staff.Subject.Expert.FirstName&amp;" holds/leads team meeting to: "</f>
        <v xml:space="preserve">Brian holds/leads team meeting to: </v>
      </c>
      <c r="AL292" s="76"/>
    </row>
    <row r="293" spans="1:39" s="23" customFormat="1" ht="14.1" hidden="1" customHeight="1" outlineLevel="1">
      <c r="A293" s="145"/>
      <c r="B293" s="432" t="s">
        <v>705</v>
      </c>
      <c r="C293" s="543"/>
      <c r="D293" s="283"/>
      <c r="E293" s="750"/>
      <c r="F293"/>
      <c r="G293" s="280"/>
      <c r="H293" s="280"/>
      <c r="I293" s="745"/>
      <c r="AF293" s="362">
        <f t="shared" si="23"/>
        <v>0</v>
      </c>
      <c r="AG293" s="34"/>
      <c r="AH293" s="34" t="s">
        <v>0</v>
      </c>
      <c r="AI293" s="47"/>
      <c r="AJ293" s="43"/>
      <c r="AK293" s="346"/>
      <c r="AL293" s="76"/>
    </row>
    <row r="294" spans="1:39" s="23" customFormat="1" ht="14.1" hidden="1" customHeight="1" outlineLevel="1">
      <c r="A294" s="145"/>
      <c r="B294" s="871" t="s">
        <v>706</v>
      </c>
      <c r="C294" s="509" t="str">
        <f>HYPERLINK("\\deqhq1\Rule_Resources\i\2-AdvisoryCommittee.pdf","i")</f>
        <v>i</v>
      </c>
      <c r="D294" s="283"/>
      <c r="E294" s="750"/>
      <c r="F294"/>
      <c r="G294" s="280"/>
      <c r="H294" s="280"/>
      <c r="I294" s="745"/>
      <c r="J294"/>
      <c r="K294"/>
      <c r="L294"/>
      <c r="M294"/>
      <c r="N294"/>
      <c r="O294"/>
      <c r="P294"/>
      <c r="Q294"/>
      <c r="R294"/>
      <c r="S294"/>
      <c r="T294"/>
      <c r="U294"/>
      <c r="X294"/>
      <c r="AB294"/>
      <c r="AC294"/>
      <c r="AF294" s="362">
        <f t="shared" si="23"/>
        <v>0</v>
      </c>
      <c r="AG294" s="34"/>
      <c r="AH294" s="34" t="s">
        <v>0</v>
      </c>
      <c r="AI294" s="59"/>
      <c r="AJ294" s="59"/>
      <c r="AK294" s="346"/>
      <c r="AL294" s="76"/>
    </row>
    <row r="295" spans="1:39" ht="14.1" hidden="1" customHeight="1" outlineLevel="1">
      <c r="A295" s="145"/>
      <c r="B295" s="736" t="str">
        <f>AK295</f>
        <v>- Public Involvement Resources, discuss when to engage BrianW</v>
      </c>
      <c r="C295" s="509" t="str">
        <f>HYPERLINK("http://deq05/intranet/communication/publicinvolvement/index.htm","i")</f>
        <v>i</v>
      </c>
      <c r="D295" s="283"/>
      <c r="E295" s="750"/>
      <c r="F295"/>
      <c r="G295" s="280"/>
      <c r="H295" s="280"/>
      <c r="I295" s="745"/>
      <c r="AF295" s="362">
        <f t="shared" si="23"/>
        <v>0</v>
      </c>
      <c r="AG295" s="34"/>
      <c r="AH295" s="34" t="s">
        <v>0</v>
      </c>
      <c r="AI295" s="59"/>
      <c r="AJ295" s="59"/>
      <c r="AK295" s="78" t="str">
        <f>"- Public Involvement Resources, discuss when to engage "&amp;S.Staff.PublicAffairsOfficer</f>
        <v>- Public Involvement Resources, discuss when to engage BrianW</v>
      </c>
      <c r="AL295" s="76"/>
      <c r="AM295"/>
    </row>
    <row r="296" spans="1:39" s="23" customFormat="1" ht="14.1" hidden="1" customHeight="1" outlineLevel="1">
      <c r="A296" s="145"/>
      <c r="B296" s="871" t="s">
        <v>708</v>
      </c>
      <c r="C296" s="544"/>
      <c r="D296" s="283"/>
      <c r="E296" s="750"/>
      <c r="F296"/>
      <c r="G296" s="280"/>
      <c r="H296" s="280"/>
      <c r="I296" s="745"/>
      <c r="AF296" s="362">
        <f t="shared" si="23"/>
        <v>0</v>
      </c>
      <c r="AG296" s="34"/>
      <c r="AH296" s="34" t="s">
        <v>0</v>
      </c>
      <c r="AI296" s="47"/>
      <c r="AJ296" s="43"/>
      <c r="AK296" s="346"/>
      <c r="AL296" s="76"/>
    </row>
    <row r="297" spans="1:39" s="23" customFormat="1" ht="14.1" hidden="1" customHeight="1" outlineLevel="1">
      <c r="A297" s="145"/>
      <c r="B297" s="872" t="s">
        <v>707</v>
      </c>
      <c r="C297" s="268" t="s">
        <v>0</v>
      </c>
      <c r="D297" s="283"/>
      <c r="E297" s="750"/>
      <c r="F297"/>
      <c r="G297" s="280"/>
      <c r="H297" s="280"/>
      <c r="I297" s="745"/>
      <c r="J297"/>
      <c r="K297"/>
      <c r="L297"/>
      <c r="M297"/>
      <c r="N297"/>
      <c r="O297"/>
      <c r="P297"/>
      <c r="Q297"/>
      <c r="R297"/>
      <c r="S297"/>
      <c r="T297"/>
      <c r="U297"/>
      <c r="X297"/>
      <c r="AB297"/>
      <c r="AC297"/>
      <c r="AF297" s="362">
        <f t="shared" si="23"/>
        <v>0</v>
      </c>
      <c r="AG297" s="34"/>
      <c r="AH297" s="34" t="s">
        <v>0</v>
      </c>
      <c r="AI297" s="59"/>
      <c r="AJ297" s="59"/>
      <c r="AK297" s="346"/>
      <c r="AL297" s="76"/>
    </row>
    <row r="298" spans="1:39" s="23" customFormat="1" ht="14.1" hidden="1" customHeight="1" outlineLevel="1">
      <c r="A298" s="145"/>
      <c r="B298" s="432" t="s">
        <v>699</v>
      </c>
      <c r="C298" s="543"/>
      <c r="D298" s="283"/>
      <c r="E298" s="750"/>
      <c r="F298"/>
      <c r="G298" s="280"/>
      <c r="H298" s="280"/>
      <c r="I298" s="745"/>
      <c r="J298"/>
      <c r="K298"/>
      <c r="L298"/>
      <c r="M298"/>
      <c r="N298"/>
      <c r="O298"/>
      <c r="P298"/>
      <c r="Q298"/>
      <c r="R298"/>
      <c r="S298"/>
      <c r="T298"/>
      <c r="U298"/>
      <c r="X298"/>
      <c r="AB298"/>
      <c r="AC298"/>
      <c r="AF298" s="362">
        <f t="shared" si="23"/>
        <v>0</v>
      </c>
      <c r="AG298" s="34"/>
      <c r="AH298" s="34" t="s">
        <v>0</v>
      </c>
      <c r="AI298" s="47"/>
      <c r="AJ298" s="43"/>
      <c r="AK298" s="346"/>
      <c r="AL298" s="76"/>
    </row>
    <row r="299" spans="1:39" ht="14.1" hidden="1" customHeight="1" outlineLevel="1" thickBot="1">
      <c r="A299" s="145"/>
      <c r="B299" s="871" t="s">
        <v>697</v>
      </c>
      <c r="C299" s="509" t="str">
        <f>HYPERLINK("http://www.doj.state.or.us/pdf/public_records_and_meetings_manual.pdf","i")</f>
        <v>i</v>
      </c>
      <c r="D299" s="283"/>
      <c r="E299" s="750"/>
      <c r="F299"/>
      <c r="G299" s="280"/>
      <c r="H299" s="280"/>
      <c r="I299" s="745"/>
      <c r="AF299" s="362">
        <f t="shared" si="23"/>
        <v>0</v>
      </c>
      <c r="AG299" s="34"/>
      <c r="AH299" s="34" t="s">
        <v>0</v>
      </c>
      <c r="AI299" s="47"/>
      <c r="AJ299" s="43"/>
      <c r="AK299" s="34" t="s">
        <v>214</v>
      </c>
      <c r="AL299" s="76"/>
      <c r="AM299"/>
    </row>
    <row r="300" spans="1:39" ht="14.1" hidden="1" customHeight="1" outlineLevel="1" thickBot="1">
      <c r="A300" s="145"/>
      <c r="B300" s="871" t="s">
        <v>698</v>
      </c>
      <c r="C300" s="509" t="str">
        <f>HYPERLINK("http://www.oregonlaws.org/ors/192.630","i")</f>
        <v>i</v>
      </c>
      <c r="D300" s="283"/>
      <c r="E300" s="750"/>
      <c r="F300"/>
      <c r="G300" s="280"/>
      <c r="H300" s="280"/>
      <c r="I300" s="745"/>
      <c r="AF300" s="362">
        <f t="shared" si="23"/>
        <v>0</v>
      </c>
      <c r="AG300" s="34"/>
      <c r="AH300" s="34" t="s">
        <v>0</v>
      </c>
      <c r="AI300" s="47"/>
      <c r="AJ300" s="43"/>
      <c r="AK300" s="443" t="s">
        <v>208</v>
      </c>
      <c r="AL300" s="356" t="s">
        <v>49</v>
      </c>
      <c r="AM300"/>
    </row>
    <row r="301" spans="1:39" s="23" customFormat="1" ht="14.1" hidden="1" customHeight="1" outlineLevel="1">
      <c r="A301" s="145"/>
      <c r="B301" s="871" t="s">
        <v>700</v>
      </c>
      <c r="C301" s="544"/>
      <c r="D301" s="283"/>
      <c r="E301" s="750"/>
      <c r="F301"/>
      <c r="G301" s="280"/>
      <c r="H301" s="280"/>
      <c r="I301" s="745"/>
      <c r="J301"/>
      <c r="K301"/>
      <c r="L301"/>
      <c r="M301"/>
      <c r="N301"/>
      <c r="O301"/>
      <c r="P301"/>
      <c r="Q301"/>
      <c r="R301"/>
      <c r="S301"/>
      <c r="T301"/>
      <c r="U301"/>
      <c r="X301"/>
      <c r="AB301"/>
      <c r="AC301"/>
      <c r="AF301" s="362">
        <f t="shared" si="23"/>
        <v>0</v>
      </c>
      <c r="AG301" s="34"/>
      <c r="AH301" s="34" t="s">
        <v>0</v>
      </c>
      <c r="AI301" s="47"/>
      <c r="AJ301" s="43"/>
      <c r="AK301" s="346"/>
      <c r="AL301" s="76"/>
    </row>
    <row r="302" spans="1:39" s="23" customFormat="1" ht="14.1" hidden="1" customHeight="1" outlineLevel="1">
      <c r="A302" s="145"/>
      <c r="B302" s="871" t="s">
        <v>701</v>
      </c>
      <c r="C302" s="544"/>
      <c r="D302" s="283"/>
      <c r="E302" s="750"/>
      <c r="F302"/>
      <c r="G302" s="280"/>
      <c r="H302" s="280"/>
      <c r="I302" s="745"/>
      <c r="J302"/>
      <c r="K302"/>
      <c r="L302"/>
      <c r="M302"/>
      <c r="N302"/>
      <c r="O302"/>
      <c r="P302"/>
      <c r="Q302"/>
      <c r="R302"/>
      <c r="S302"/>
      <c r="T302"/>
      <c r="U302"/>
      <c r="X302"/>
      <c r="AB302"/>
      <c r="AC302"/>
      <c r="AF302" s="362">
        <f t="shared" si="23"/>
        <v>0</v>
      </c>
      <c r="AG302" s="34"/>
      <c r="AH302" s="34" t="s">
        <v>0</v>
      </c>
      <c r="AI302" s="47"/>
      <c r="AJ302" s="43"/>
      <c r="AK302" s="346"/>
      <c r="AL302" s="76"/>
    </row>
    <row r="303" spans="1:39" s="23" customFormat="1" ht="14.1" hidden="1" customHeight="1" outlineLevel="1">
      <c r="A303" s="145"/>
      <c r="B303" s="432" t="s">
        <v>702</v>
      </c>
      <c r="C303" s="543"/>
      <c r="D303" s="283"/>
      <c r="E303" s="750"/>
      <c r="F303"/>
      <c r="G303" s="280"/>
      <c r="H303" s="280"/>
      <c r="I303" s="745"/>
      <c r="AF303" s="362">
        <f t="shared" si="23"/>
        <v>0</v>
      </c>
      <c r="AG303" s="34"/>
      <c r="AH303" s="34" t="s">
        <v>0</v>
      </c>
      <c r="AI303" s="47"/>
      <c r="AJ303" s="43"/>
      <c r="AK303" s="346"/>
      <c r="AL303" s="76"/>
    </row>
    <row r="304" spans="1:39" s="23" customFormat="1" ht="14.1" hidden="1" customHeight="1" outlineLevel="1">
      <c r="A304" s="145"/>
      <c r="B304" s="871" t="s">
        <v>709</v>
      </c>
      <c r="C304" s="509" t="str">
        <f>HYPERLINK("\\deqhq1\Rule_Resources\i\2-AdvisoryCommittee.pdf","i")</f>
        <v>i</v>
      </c>
      <c r="D304" s="283"/>
      <c r="E304" s="750"/>
      <c r="F304"/>
      <c r="G304" s="280"/>
      <c r="H304" s="280"/>
      <c r="I304" s="745"/>
      <c r="J304"/>
      <c r="K304"/>
      <c r="L304"/>
      <c r="M304"/>
      <c r="N304"/>
      <c r="O304"/>
      <c r="P304"/>
      <c r="Q304"/>
      <c r="R304"/>
      <c r="S304"/>
      <c r="T304"/>
      <c r="U304"/>
      <c r="X304"/>
      <c r="AB304"/>
      <c r="AC304"/>
      <c r="AF304" s="362">
        <f>IF(S.AC.CommitteeInvolved="Y",1,0)</f>
        <v>0</v>
      </c>
      <c r="AG304" s="34"/>
      <c r="AH304" s="34" t="s">
        <v>0</v>
      </c>
      <c r="AI304" s="47"/>
      <c r="AJ304" s="43"/>
      <c r="AK304" s="346"/>
      <c r="AL304" s="76"/>
    </row>
    <row r="305" spans="1:39" s="23" customFormat="1" ht="14.1" hidden="1" customHeight="1" outlineLevel="1">
      <c r="A305" s="145"/>
      <c r="B305" s="871" t="s">
        <v>710</v>
      </c>
      <c r="C305" s="544"/>
      <c r="D305" s="283"/>
      <c r="E305" s="750"/>
      <c r="F305"/>
      <c r="G305" s="280"/>
      <c r="H305" s="280"/>
      <c r="I305" s="745"/>
      <c r="J305"/>
      <c r="K305"/>
      <c r="L305"/>
      <c r="M305"/>
      <c r="N305"/>
      <c r="O305"/>
      <c r="P305"/>
      <c r="Q305"/>
      <c r="R305"/>
      <c r="S305"/>
      <c r="T305"/>
      <c r="U305"/>
      <c r="X305"/>
      <c r="AB305"/>
      <c r="AC305"/>
      <c r="AF305" s="362">
        <f>IF(S.AC.CommitteeInvolved="Y",1,0)</f>
        <v>0</v>
      </c>
      <c r="AG305" s="34"/>
      <c r="AH305" s="34" t="s">
        <v>0</v>
      </c>
      <c r="AI305" s="47"/>
      <c r="AJ305" s="43"/>
      <c r="AK305" s="346"/>
      <c r="AL305" s="76"/>
    </row>
    <row r="306" spans="1:39" s="23" customFormat="1" ht="14.1" hidden="1" customHeight="1" outlineLevel="1">
      <c r="A306" s="145"/>
      <c r="B306" s="871" t="s">
        <v>703</v>
      </c>
      <c r="C306" s="544"/>
      <c r="D306" s="283"/>
      <c r="E306" s="750"/>
      <c r="F306"/>
      <c r="G306" s="280"/>
      <c r="H306" s="280"/>
      <c r="I306" s="745"/>
      <c r="J306"/>
      <c r="K306"/>
      <c r="L306"/>
      <c r="M306"/>
      <c r="N306"/>
      <c r="O306"/>
      <c r="P306"/>
      <c r="Q306"/>
      <c r="R306"/>
      <c r="S306"/>
      <c r="T306"/>
      <c r="U306"/>
      <c r="X306"/>
      <c r="AB306"/>
      <c r="AC306"/>
      <c r="AF306" s="362">
        <f t="shared" si="23"/>
        <v>0</v>
      </c>
      <c r="AG306" s="34"/>
      <c r="AH306" s="34" t="s">
        <v>0</v>
      </c>
      <c r="AI306" s="47"/>
      <c r="AJ306" s="43"/>
      <c r="AK306" s="346"/>
      <c r="AL306" s="76"/>
    </row>
    <row r="307" spans="1:39" s="23" customFormat="1" ht="14.1" hidden="1" customHeight="1" outlineLevel="1">
      <c r="A307" s="145"/>
      <c r="B307" s="872" t="s">
        <v>704</v>
      </c>
      <c r="C307" s="268" t="s">
        <v>0</v>
      </c>
      <c r="D307" s="283"/>
      <c r="E307" s="750"/>
      <c r="F307"/>
      <c r="G307" s="280"/>
      <c r="H307" s="280"/>
      <c r="I307" s="745"/>
      <c r="J307"/>
      <c r="K307"/>
      <c r="L307"/>
      <c r="M307"/>
      <c r="N307"/>
      <c r="O307"/>
      <c r="P307"/>
      <c r="Q307"/>
      <c r="R307"/>
      <c r="S307"/>
      <c r="T307"/>
      <c r="U307"/>
      <c r="X307"/>
      <c r="AB307"/>
      <c r="AC307"/>
      <c r="AF307" s="362">
        <f t="shared" si="23"/>
        <v>0</v>
      </c>
      <c r="AG307" s="34"/>
      <c r="AH307" s="34" t="s">
        <v>0</v>
      </c>
      <c r="AI307" s="59"/>
      <c r="AJ307" s="59"/>
      <c r="AK307" s="346"/>
      <c r="AL307" s="76"/>
    </row>
    <row r="308" spans="1:39" s="23" customFormat="1" ht="14.1" hidden="1" customHeight="1" outlineLevel="1">
      <c r="A308" s="145"/>
      <c r="B308" s="317" t="str">
        <f>AK308</f>
        <v>Brian coordinates with team to:</v>
      </c>
      <c r="C308" s="268" t="s">
        <v>0</v>
      </c>
      <c r="D308" s="283"/>
      <c r="E308" s="283"/>
      <c r="F308"/>
      <c r="G308" s="572">
        <f>AG308</f>
        <v>41761</v>
      </c>
      <c r="H308" s="572">
        <f>AH308</f>
        <v>41761</v>
      </c>
      <c r="I308" s="745"/>
      <c r="J308"/>
      <c r="K308"/>
      <c r="L308"/>
      <c r="M308"/>
      <c r="N308"/>
      <c r="O308"/>
      <c r="P308"/>
      <c r="Q308"/>
      <c r="R308"/>
      <c r="S308"/>
      <c r="T308"/>
      <c r="U308"/>
      <c r="X308"/>
      <c r="AB308"/>
      <c r="AC308"/>
      <c r="AF308" s="362">
        <f t="shared" si="23"/>
        <v>0</v>
      </c>
      <c r="AG308" s="60">
        <f>S.AC.BANNER.Begin</f>
        <v>41761</v>
      </c>
      <c r="AH308" s="60">
        <f>G308</f>
        <v>41761</v>
      </c>
      <c r="AI308" s="59"/>
      <c r="AJ308" s="59"/>
      <c r="AK308" s="78" t="str">
        <f>S.Staff.Subject.Expert.FirstName&amp;" coordinates with team to:"</f>
        <v>Brian coordinates with team to:</v>
      </c>
      <c r="AL308" s="76"/>
    </row>
    <row r="309" spans="1:39" ht="14.1" hidden="1" customHeight="1" outlineLevel="1">
      <c r="A309" s="145"/>
      <c r="B309" s="433" t="s">
        <v>210</v>
      </c>
      <c r="C309" s="268" t="s">
        <v>0</v>
      </c>
      <c r="D309" s="283"/>
      <c r="E309" s="750"/>
      <c r="F309"/>
      <c r="I309" s="745"/>
      <c r="AF309" s="362">
        <f t="shared" si="23"/>
        <v>0</v>
      </c>
      <c r="AG309" s="34"/>
      <c r="AH309" s="34" t="s">
        <v>0</v>
      </c>
      <c r="AI309" s="59"/>
      <c r="AJ309" s="59"/>
      <c r="AK309" s="346"/>
      <c r="AL309" s="76"/>
      <c r="AM309"/>
    </row>
    <row r="310" spans="1:39" s="23" customFormat="1" ht="14.1" hidden="1" customHeight="1" outlineLevel="1">
      <c r="A310" s="145"/>
      <c r="B310" s="433" t="s">
        <v>300</v>
      </c>
      <c r="C310" s="268" t="s">
        <v>0</v>
      </c>
      <c r="D310" s="283"/>
      <c r="E310" s="750"/>
      <c r="F310"/>
      <c r="G310" s="279"/>
      <c r="H310" s="279"/>
      <c r="I310" s="745"/>
      <c r="J310"/>
      <c r="K310"/>
      <c r="L310"/>
      <c r="M310"/>
      <c r="N310"/>
      <c r="O310"/>
      <c r="P310"/>
      <c r="Q310"/>
      <c r="R310"/>
      <c r="S310"/>
      <c r="T310"/>
      <c r="U310"/>
      <c r="X310"/>
      <c r="AB310"/>
      <c r="AC310"/>
      <c r="AF310" s="362">
        <f t="shared" si="23"/>
        <v>0</v>
      </c>
      <c r="AG310" s="34"/>
      <c r="AH310" s="34" t="s">
        <v>0</v>
      </c>
      <c r="AI310" s="59"/>
      <c r="AJ310" s="59"/>
      <c r="AK310" s="346"/>
      <c r="AL310" s="76"/>
    </row>
    <row r="311" spans="1:39" s="23" customFormat="1" ht="14.1" hidden="1" customHeight="1" outlineLevel="1">
      <c r="A311" s="145"/>
      <c r="B311" s="569" t="s">
        <v>349</v>
      </c>
      <c r="C311" s="545"/>
      <c r="D311" s="705"/>
      <c r="E311" s="705"/>
      <c r="F311"/>
      <c r="I311" s="745"/>
      <c r="J311"/>
      <c r="K311"/>
      <c r="L311"/>
      <c r="M311"/>
      <c r="N311"/>
      <c r="O311"/>
      <c r="P311"/>
      <c r="Q311"/>
      <c r="R311"/>
      <c r="S311"/>
      <c r="T311"/>
      <c r="U311"/>
      <c r="X311"/>
      <c r="AB311"/>
      <c r="AC311"/>
      <c r="AF311" s="362">
        <f t="shared" si="23"/>
        <v>0</v>
      </c>
      <c r="AG311" s="80"/>
      <c r="AH311" s="80"/>
      <c r="AI311" s="59"/>
      <c r="AJ311" s="44"/>
      <c r="AK311" s="44"/>
      <c r="AL311" s="76"/>
    </row>
    <row r="312" spans="1:39" s="23" customFormat="1" ht="14.1" hidden="1" customHeight="1" outlineLevel="1">
      <c r="A312" s="145"/>
      <c r="B312" s="569" t="s">
        <v>296</v>
      </c>
      <c r="C312" s="545"/>
      <c r="D312" s="705"/>
      <c r="E312" s="705"/>
      <c r="F312"/>
      <c r="I312" s="745"/>
      <c r="J312"/>
      <c r="K312"/>
      <c r="L312"/>
      <c r="M312"/>
      <c r="N312"/>
      <c r="O312"/>
      <c r="P312"/>
      <c r="Q312"/>
      <c r="R312"/>
      <c r="S312"/>
      <c r="T312"/>
      <c r="U312"/>
      <c r="X312"/>
      <c r="AB312"/>
      <c r="AC312"/>
      <c r="AF312" s="362">
        <f t="shared" si="23"/>
        <v>0</v>
      </c>
      <c r="AG312" s="80"/>
      <c r="AH312" s="80"/>
      <c r="AI312" s="59"/>
      <c r="AJ312" s="44"/>
      <c r="AK312" s="44"/>
      <c r="AL312" s="76"/>
    </row>
    <row r="313" spans="1:39" s="23" customFormat="1" ht="14.1" hidden="1" customHeight="1" outlineLevel="1">
      <c r="A313" s="145"/>
      <c r="B313" s="569" t="s">
        <v>297</v>
      </c>
      <c r="C313" s="545"/>
      <c r="D313" s="705"/>
      <c r="E313" s="705"/>
      <c r="F313"/>
      <c r="I313" s="745"/>
      <c r="J313"/>
      <c r="K313"/>
      <c r="L313"/>
      <c r="M313"/>
      <c r="N313"/>
      <c r="O313"/>
      <c r="P313"/>
      <c r="Q313"/>
      <c r="R313"/>
      <c r="S313"/>
      <c r="T313"/>
      <c r="U313"/>
      <c r="X313"/>
      <c r="AB313"/>
      <c r="AC313"/>
      <c r="AF313" s="362">
        <f t="shared" si="23"/>
        <v>0</v>
      </c>
      <c r="AG313" s="80"/>
      <c r="AH313" s="80"/>
      <c r="AI313" s="59"/>
      <c r="AJ313" s="44"/>
      <c r="AK313" s="44"/>
      <c r="AL313" s="76"/>
    </row>
    <row r="314" spans="1:39" s="23" customFormat="1" ht="14.1" hidden="1" customHeight="1" outlineLevel="1">
      <c r="A314" s="145"/>
      <c r="B314" s="569" t="s">
        <v>298</v>
      </c>
      <c r="C314" s="545"/>
      <c r="D314" s="705"/>
      <c r="E314" s="705"/>
      <c r="F314"/>
      <c r="I314" s="745"/>
      <c r="J314"/>
      <c r="K314"/>
      <c r="L314"/>
      <c r="M314"/>
      <c r="N314"/>
      <c r="O314"/>
      <c r="P314"/>
      <c r="Q314"/>
      <c r="R314"/>
      <c r="S314"/>
      <c r="T314"/>
      <c r="U314"/>
      <c r="X314"/>
      <c r="AB314"/>
      <c r="AC314"/>
      <c r="AF314" s="362">
        <f t="shared" si="23"/>
        <v>0</v>
      </c>
      <c r="AG314" s="80"/>
      <c r="AH314" s="80"/>
      <c r="AI314" s="59"/>
      <c r="AJ314" s="44"/>
      <c r="AK314" s="44"/>
      <c r="AL314" s="76"/>
    </row>
    <row r="315" spans="1:39" s="23" customFormat="1" ht="14.1" hidden="1" customHeight="1" outlineLevel="1">
      <c r="A315" s="145"/>
      <c r="B315" s="569" t="s">
        <v>299</v>
      </c>
      <c r="C315" s="545"/>
      <c r="D315" s="705"/>
      <c r="E315" s="705"/>
      <c r="F315"/>
      <c r="I315" s="745"/>
      <c r="J315"/>
      <c r="K315"/>
      <c r="L315"/>
      <c r="M315"/>
      <c r="N315"/>
      <c r="O315"/>
      <c r="P315"/>
      <c r="Q315"/>
      <c r="R315"/>
      <c r="S315"/>
      <c r="T315"/>
      <c r="U315"/>
      <c r="X315"/>
      <c r="AB315"/>
      <c r="AC315"/>
      <c r="AF315" s="362">
        <f t="shared" si="23"/>
        <v>0</v>
      </c>
      <c r="AG315" s="80"/>
      <c r="AH315" s="80"/>
      <c r="AI315" s="59"/>
      <c r="AJ315" s="44"/>
      <c r="AK315" s="44"/>
      <c r="AL315" s="76"/>
    </row>
    <row r="316" spans="1:39" ht="14.1" hidden="1" customHeight="1" outlineLevel="1">
      <c r="A316" s="145"/>
      <c r="B316" s="434" t="s">
        <v>211</v>
      </c>
      <c r="C316" s="268" t="s">
        <v>0</v>
      </c>
      <c r="D316" s="283"/>
      <c r="E316" s="750"/>
      <c r="F316"/>
      <c r="G316" s="23"/>
      <c r="H316" s="23"/>
      <c r="I316" s="745"/>
      <c r="AF316" s="362">
        <f t="shared" si="23"/>
        <v>0</v>
      </c>
      <c r="AG316" s="80"/>
      <c r="AH316" s="80"/>
      <c r="AI316" s="59"/>
      <c r="AJ316" s="59"/>
      <c r="AK316" s="346"/>
      <c r="AL316" s="76"/>
      <c r="AM316"/>
    </row>
    <row r="317" spans="1:39" ht="14.1" hidden="1" customHeight="1" outlineLevel="1" thickBot="1">
      <c r="A317" s="145"/>
      <c r="B317" s="434" t="s">
        <v>212</v>
      </c>
      <c r="C317" s="268" t="s">
        <v>0</v>
      </c>
      <c r="D317" s="283"/>
      <c r="E317" s="283"/>
      <c r="F317"/>
      <c r="G317" s="323">
        <f t="shared" ref="G317:H319" si="24">AG317</f>
        <v>41761</v>
      </c>
      <c r="H317" s="256">
        <f t="shared" si="24"/>
        <v>41761</v>
      </c>
      <c r="I317" s="745"/>
      <c r="AF317" s="362">
        <f t="shared" si="23"/>
        <v>0</v>
      </c>
      <c r="AG317" s="60">
        <f>H308</f>
        <v>41761</v>
      </c>
      <c r="AH317" s="60">
        <f>G317</f>
        <v>41761</v>
      </c>
      <c r="AI317" s="59"/>
      <c r="AJ317" s="59"/>
      <c r="AK317" s="346"/>
      <c r="AL317" s="76"/>
      <c r="AM317"/>
    </row>
    <row r="318" spans="1:39" ht="14.1" hidden="1" customHeight="1" outlineLevel="1" thickBot="1">
      <c r="A318" s="145"/>
      <c r="B318" s="442" t="s">
        <v>250</v>
      </c>
      <c r="C318" s="539" t="s">
        <v>16</v>
      </c>
      <c r="D318" s="283"/>
      <c r="E318" s="283"/>
      <c r="F318"/>
      <c r="G318" s="322">
        <f t="shared" si="24"/>
        <v>41761</v>
      </c>
      <c r="H318" s="259">
        <f t="shared" si="24"/>
        <v>41761</v>
      </c>
      <c r="I318" s="745"/>
      <c r="AF318" s="362">
        <f>IF(AND(S.AC.WebPage="Y",S.AC.CommitteeInvolved="Y"),1,0)</f>
        <v>0</v>
      </c>
      <c r="AG318" s="60">
        <f>G317</f>
        <v>41761</v>
      </c>
      <c r="AH318" s="60">
        <f>G318</f>
        <v>41761</v>
      </c>
      <c r="AI318" s="59"/>
      <c r="AJ318" s="59"/>
      <c r="AK318" s="346"/>
      <c r="AL318" s="76"/>
      <c r="AM318"/>
    </row>
    <row r="319" spans="1:39" ht="14.1" hidden="1" customHeight="1" outlineLevel="1" thickBot="1">
      <c r="A319" s="145"/>
      <c r="B319" s="516" t="s">
        <v>213</v>
      </c>
      <c r="C319" s="539" t="s">
        <v>16</v>
      </c>
      <c r="D319" s="283"/>
      <c r="E319" s="283"/>
      <c r="F319"/>
      <c r="G319" s="322">
        <f t="shared" si="24"/>
        <v>41761</v>
      </c>
      <c r="H319" s="259">
        <f t="shared" si="24"/>
        <v>41761</v>
      </c>
      <c r="I319" s="745"/>
      <c r="AF319" s="362">
        <f>IF(AND(S.AC.Charter="Y",S.AC.CommitteeInvolved="Y"),1,0)</f>
        <v>0</v>
      </c>
      <c r="AG319" s="60">
        <f>G318</f>
        <v>41761</v>
      </c>
      <c r="AH319" s="60">
        <f>G319</f>
        <v>41761</v>
      </c>
      <c r="AI319" s="59"/>
      <c r="AJ319" s="59"/>
      <c r="AK319" s="346"/>
      <c r="AL319" s="76"/>
      <c r="AM319"/>
    </row>
    <row r="320" spans="1:39" s="23" customFormat="1" ht="14.1" hidden="1" customHeight="1" outlineLevel="1">
      <c r="A320" s="145"/>
      <c r="B320" s="442" t="s">
        <v>348</v>
      </c>
      <c r="C320" s="512" t="str">
        <f>HYPERLINK("http://deq05/intranet/communication/WebRequests.htm","i")</f>
        <v>i</v>
      </c>
      <c r="D320" s="283"/>
      <c r="E320" s="750"/>
      <c r="F320"/>
      <c r="I320" s="745"/>
      <c r="J320"/>
      <c r="K320"/>
      <c r="L320"/>
      <c r="M320"/>
      <c r="N320"/>
      <c r="O320"/>
      <c r="P320"/>
      <c r="Q320"/>
      <c r="R320"/>
      <c r="S320"/>
      <c r="T320"/>
      <c r="U320"/>
      <c r="X320"/>
      <c r="AB320"/>
      <c r="AC320"/>
      <c r="AF320" s="362">
        <f>IF(AND(S.AC.WebPage="Y",S.AC.CommitteeInvolved="Y"),1,0)</f>
        <v>0</v>
      </c>
      <c r="AG320" s="58"/>
      <c r="AH320" s="58"/>
      <c r="AI320" s="47"/>
      <c r="AJ320" s="43"/>
      <c r="AK320" s="34" t="s">
        <v>0</v>
      </c>
      <c r="AL320" s="76"/>
    </row>
    <row r="321" spans="1:39" s="23" customFormat="1" ht="14.1" hidden="1" customHeight="1" outlineLevel="1">
      <c r="A321" s="145"/>
      <c r="B321" s="343" t="str">
        <f>AK321</f>
        <v>DavidC shares draft roster and invitation with Uri</v>
      </c>
      <c r="C321" s="268" t="s">
        <v>0</v>
      </c>
      <c r="D321" s="283"/>
      <c r="E321" s="283"/>
      <c r="F321"/>
      <c r="G321" s="256">
        <f t="shared" ref="G321:H323" si="25">AG321</f>
        <v>41761</v>
      </c>
      <c r="H321" s="256">
        <f t="shared" si="25"/>
        <v>41761</v>
      </c>
      <c r="I321" s="745"/>
      <c r="J321"/>
      <c r="K321"/>
      <c r="L321"/>
      <c r="M321"/>
      <c r="N321"/>
      <c r="O321"/>
      <c r="P321"/>
      <c r="Q321"/>
      <c r="R321"/>
      <c r="S321"/>
      <c r="T321"/>
      <c r="U321"/>
      <c r="X321"/>
      <c r="AB321"/>
      <c r="AC321"/>
      <c r="AF321" s="362">
        <f t="shared" ref="AF321:AF327" si="26">IF(S.AC.CommitteeInvolved="Y",1,0)</f>
        <v>0</v>
      </c>
      <c r="AG321" s="60">
        <f>S.AC.BANNER.Begin</f>
        <v>41761</v>
      </c>
      <c r="AH321" s="60">
        <f>G321</f>
        <v>41761</v>
      </c>
      <c r="AI321" s="47"/>
      <c r="AJ321" s="43"/>
      <c r="AK321" s="78" t="str">
        <f>S.Staff.Program.Mgr.FirstName&amp;" shares draft roster and invitation with "&amp;S.Staff.Assistant.DA.ShortName</f>
        <v>DavidC shares draft roster and invitation with Uri</v>
      </c>
      <c r="AL321" s="76"/>
    </row>
    <row r="322" spans="1:39" s="23" customFormat="1" ht="14.1" hidden="1" customHeight="1" outlineLevel="1">
      <c r="A322" s="145"/>
      <c r="B322" s="343" t="s">
        <v>182</v>
      </c>
      <c r="C322" s="268" t="s">
        <v>0</v>
      </c>
      <c r="D322" s="283"/>
      <c r="E322" s="283"/>
      <c r="F322"/>
      <c r="G322" s="323">
        <f t="shared" si="25"/>
        <v>41761</v>
      </c>
      <c r="H322" s="256">
        <f t="shared" si="25"/>
        <v>41761</v>
      </c>
      <c r="I322" s="745"/>
      <c r="J322"/>
      <c r="K322"/>
      <c r="L322"/>
      <c r="M322"/>
      <c r="N322"/>
      <c r="O322"/>
      <c r="P322"/>
      <c r="Q322"/>
      <c r="R322"/>
      <c r="S322"/>
      <c r="T322"/>
      <c r="U322"/>
      <c r="X322"/>
      <c r="AB322"/>
      <c r="AC322"/>
      <c r="AF322" s="362">
        <f t="shared" si="26"/>
        <v>0</v>
      </c>
      <c r="AG322" s="60">
        <f>H321</f>
        <v>41761</v>
      </c>
      <c r="AH322" s="60">
        <f>G322</f>
        <v>41761</v>
      </c>
      <c r="AI322" s="47"/>
      <c r="AJ322" s="43"/>
      <c r="AK322" s="34"/>
      <c r="AL322" s="76"/>
    </row>
    <row r="323" spans="1:39" s="23" customFormat="1" ht="14.1" hidden="1" customHeight="1" outlineLevel="1">
      <c r="A323" s="145"/>
      <c r="B323" s="343" t="str">
        <f>AK323</f>
        <v>DavidC approves potential advisory committee roster</v>
      </c>
      <c r="C323" s="196"/>
      <c r="D323" s="283"/>
      <c r="E323" s="283"/>
      <c r="F323"/>
      <c r="G323" s="323">
        <f t="shared" si="25"/>
        <v>41761</v>
      </c>
      <c r="H323" s="256">
        <f t="shared" si="25"/>
        <v>41761</v>
      </c>
      <c r="I323" s="745"/>
      <c r="J323"/>
      <c r="K323"/>
      <c r="L323"/>
      <c r="M323"/>
      <c r="N323"/>
      <c r="O323"/>
      <c r="P323"/>
      <c r="Q323"/>
      <c r="R323"/>
      <c r="S323"/>
      <c r="T323"/>
      <c r="U323"/>
      <c r="X323"/>
      <c r="AB323"/>
      <c r="AC323"/>
      <c r="AF323" s="362">
        <f t="shared" si="26"/>
        <v>0</v>
      </c>
      <c r="AG323" s="60">
        <f>H321</f>
        <v>41761</v>
      </c>
      <c r="AH323" s="60">
        <f>G323</f>
        <v>41761</v>
      </c>
      <c r="AI323" s="59"/>
      <c r="AJ323" s="43"/>
      <c r="AK323" s="78" t="str">
        <f>S.Staff.Program.Mgr.FirstName&amp;" approves potential advisory committee roster"</f>
        <v>DavidC approves potential advisory committee roster</v>
      </c>
      <c r="AL323" s="76"/>
    </row>
    <row r="324" spans="1:39" s="23" customFormat="1" ht="14.1" hidden="1" customHeight="1" outlineLevel="1">
      <c r="A324" s="145"/>
      <c r="B324" s="343" t="s">
        <v>132</v>
      </c>
      <c r="C324" s="196"/>
      <c r="D324" s="706"/>
      <c r="E324" s="706"/>
      <c r="F324"/>
      <c r="G324" s="192"/>
      <c r="H324" s="193"/>
      <c r="I324" s="745"/>
      <c r="J324"/>
      <c r="K324"/>
      <c r="L324"/>
      <c r="M324"/>
      <c r="N324"/>
      <c r="O324"/>
      <c r="P324"/>
      <c r="Q324"/>
      <c r="R324"/>
      <c r="S324"/>
      <c r="T324"/>
      <c r="U324"/>
      <c r="X324"/>
      <c r="AB324"/>
      <c r="AC324"/>
      <c r="AF324" s="362">
        <f t="shared" si="26"/>
        <v>0</v>
      </c>
      <c r="AG324" s="58"/>
      <c r="AH324" s="58"/>
      <c r="AI324" s="59"/>
      <c r="AJ324" s="43"/>
      <c r="AK324" s="34"/>
      <c r="AL324" s="76"/>
    </row>
    <row r="325" spans="1:39" ht="14.1" hidden="1" customHeight="1" outlineLevel="1">
      <c r="A325" s="145"/>
      <c r="B325" s="319" t="s">
        <v>181</v>
      </c>
      <c r="C325" s="268" t="s">
        <v>0</v>
      </c>
      <c r="D325" s="283"/>
      <c r="E325" s="283"/>
      <c r="F325"/>
      <c r="G325" s="323">
        <f>AG325</f>
        <v>41761</v>
      </c>
      <c r="H325" s="256">
        <f>AH325</f>
        <v>41761</v>
      </c>
      <c r="I325" s="745"/>
      <c r="AF325" s="362">
        <f t="shared" si="26"/>
        <v>0</v>
      </c>
      <c r="AG325" s="60">
        <f>H323</f>
        <v>41761</v>
      </c>
      <c r="AH325" s="60">
        <f>G325</f>
        <v>41761</v>
      </c>
      <c r="AI325" s="47"/>
      <c r="AJ325" s="43"/>
      <c r="AK325" s="34"/>
      <c r="AL325" s="76"/>
      <c r="AM325"/>
    </row>
    <row r="326" spans="1:39" s="23" customFormat="1" ht="14.1" hidden="1" customHeight="1" outlineLevel="1">
      <c r="A326" s="145"/>
      <c r="B326" s="319" t="s">
        <v>209</v>
      </c>
      <c r="C326" s="268" t="s">
        <v>0</v>
      </c>
      <c r="D326" s="283"/>
      <c r="E326" s="283"/>
      <c r="F326"/>
      <c r="G326" s="323">
        <f>AG326</f>
        <v>41761</v>
      </c>
      <c r="H326" s="256">
        <f>AH326</f>
        <v>41761</v>
      </c>
      <c r="I326" s="745"/>
      <c r="J326"/>
      <c r="K326"/>
      <c r="L326"/>
      <c r="M326"/>
      <c r="N326"/>
      <c r="O326"/>
      <c r="P326"/>
      <c r="Q326"/>
      <c r="R326"/>
      <c r="S326"/>
      <c r="T326"/>
      <c r="U326"/>
      <c r="X326"/>
      <c r="AB326"/>
      <c r="AC326"/>
      <c r="AF326" s="362">
        <f t="shared" si="26"/>
        <v>0</v>
      </c>
      <c r="AG326" s="60">
        <f>H325</f>
        <v>41761</v>
      </c>
      <c r="AH326" s="60">
        <f>G326</f>
        <v>41761</v>
      </c>
      <c r="AI326" s="47"/>
      <c r="AJ326" s="43"/>
      <c r="AK326" s="34"/>
      <c r="AL326" s="76"/>
    </row>
    <row r="327" spans="1:39" s="23" customFormat="1" ht="14.1" hidden="1" customHeight="1" outlineLevel="1">
      <c r="A327" s="145"/>
      <c r="B327" s="417" t="str">
        <f>AK327</f>
        <v>Brian:</v>
      </c>
      <c r="C327" s="268" t="s">
        <v>0</v>
      </c>
      <c r="D327" s="708"/>
      <c r="E327" s="708"/>
      <c r="F327"/>
      <c r="G327" s="279"/>
      <c r="H327" s="279"/>
      <c r="I327" s="745"/>
      <c r="J327"/>
      <c r="K327"/>
      <c r="L327"/>
      <c r="M327"/>
      <c r="N327"/>
      <c r="O327"/>
      <c r="P327"/>
      <c r="Q327"/>
      <c r="R327"/>
      <c r="S327"/>
      <c r="T327"/>
      <c r="U327"/>
      <c r="X327"/>
      <c r="AB327"/>
      <c r="AC327"/>
      <c r="AF327" s="362">
        <f t="shared" si="26"/>
        <v>0</v>
      </c>
      <c r="AG327" s="34"/>
      <c r="AH327" s="34" t="s">
        <v>0</v>
      </c>
      <c r="AI327" s="59"/>
      <c r="AJ327" s="59"/>
      <c r="AK327" s="78" t="str">
        <f>S.Staff.Subject.Expert.FirstName&amp;":"</f>
        <v>Brian:</v>
      </c>
      <c r="AL327" s="76"/>
    </row>
    <row r="328" spans="1:39" s="23" customFormat="1" ht="14.1" hidden="1" customHeight="1" outlineLevel="1">
      <c r="A328" s="145"/>
      <c r="B328" s="318" t="s">
        <v>711</v>
      </c>
      <c r="C328" s="512" t="str">
        <f>HYPERLINK("http://deq05/intranet/communication/WebRequests.htm","i")</f>
        <v>i</v>
      </c>
      <c r="D328" s="283"/>
      <c r="E328" s="283"/>
      <c r="F328"/>
      <c r="G328" s="323">
        <f>AG328</f>
        <v>41761</v>
      </c>
      <c r="H328" s="256">
        <f>AH328</f>
        <v>41761</v>
      </c>
      <c r="I328" s="745"/>
      <c r="J328"/>
      <c r="K328"/>
      <c r="L328"/>
      <c r="M328"/>
      <c r="N328"/>
      <c r="O328"/>
      <c r="P328"/>
      <c r="Q328"/>
      <c r="R328"/>
      <c r="S328"/>
      <c r="T328"/>
      <c r="U328"/>
      <c r="X328"/>
      <c r="AB328"/>
      <c r="AC328"/>
      <c r="AF328" s="362">
        <f>IF(AND(S.AC.WebPage="Y",S.AC.CommitteeInvolved="Y"),1,0)</f>
        <v>0</v>
      </c>
      <c r="AG328" s="60">
        <f>S.AC.BANNER.Begin</f>
        <v>41761</v>
      </c>
      <c r="AH328" s="60">
        <f>G328</f>
        <v>41761</v>
      </c>
      <c r="AI328" s="47"/>
      <c r="AJ328" s="43"/>
      <c r="AK328" s="34" t="s">
        <v>0</v>
      </c>
      <c r="AL328" s="76"/>
    </row>
    <row r="329" spans="1:39" ht="14.1" hidden="1" customHeight="1" outlineLevel="1">
      <c r="A329" s="145"/>
      <c r="B329" s="316" t="s">
        <v>712</v>
      </c>
      <c r="C329" s="268" t="s">
        <v>0</v>
      </c>
      <c r="D329" s="708"/>
      <c r="E329" s="708"/>
      <c r="F329"/>
      <c r="G329"/>
      <c r="H329"/>
      <c r="I329" s="745"/>
      <c r="AF329" s="362">
        <f>IF(AND(S.AC.WebPage="Y",S.AC.CommitteeInvolved="Y"),1,0)</f>
        <v>0</v>
      </c>
      <c r="AG329" s="34"/>
      <c r="AH329" s="34" t="s">
        <v>0</v>
      </c>
      <c r="AI329" s="47"/>
      <c r="AJ329" s="43"/>
      <c r="AK329" s="34" t="s">
        <v>0</v>
      </c>
      <c r="AL329" s="76"/>
      <c r="AM329"/>
    </row>
    <row r="330" spans="1:39" ht="14.1" hidden="1" customHeight="1" outlineLevel="1">
      <c r="A330" s="145"/>
      <c r="B330" s="318" t="s">
        <v>117</v>
      </c>
      <c r="C330" s="268" t="s">
        <v>0</v>
      </c>
      <c r="D330" s="283"/>
      <c r="E330" s="283"/>
      <c r="F330"/>
      <c r="G330" s="323">
        <f>AG330</f>
        <v>41761</v>
      </c>
      <c r="H330" s="256">
        <f>AH330</f>
        <v>41761</v>
      </c>
      <c r="I330" s="745"/>
      <c r="AF330" s="362">
        <f>IF(S.AC.CommitteeInvolved="Y",1,0)</f>
        <v>0</v>
      </c>
      <c r="AG330" s="60">
        <f>S.AC.BANNER.Begin</f>
        <v>41761</v>
      </c>
      <c r="AH330" s="60">
        <f>G330</f>
        <v>41761</v>
      </c>
      <c r="AI330" s="47"/>
      <c r="AJ330" s="43"/>
      <c r="AK330" s="34" t="s">
        <v>0</v>
      </c>
      <c r="AL330" s="76"/>
      <c r="AM330"/>
    </row>
    <row r="331" spans="1:39" s="23" customFormat="1" ht="14.1" hidden="1" customHeight="1" outlineLevel="1" thickBot="1">
      <c r="A331" s="145"/>
      <c r="B331" s="203" t="s">
        <v>118</v>
      </c>
      <c r="C331" s="268" t="s">
        <v>0</v>
      </c>
      <c r="D331" s="283"/>
      <c r="E331" s="750"/>
      <c r="F331"/>
      <c r="I331" s="745"/>
      <c r="J331"/>
      <c r="K331"/>
      <c r="L331"/>
      <c r="M331"/>
      <c r="N331"/>
      <c r="O331"/>
      <c r="P331"/>
      <c r="Q331"/>
      <c r="R331"/>
      <c r="S331"/>
      <c r="T331"/>
      <c r="U331"/>
      <c r="X331"/>
      <c r="AB331"/>
      <c r="AC331"/>
      <c r="AF331" s="362">
        <f>IF(S.AC.CommitteeInvolved="Y",1,0)</f>
        <v>0</v>
      </c>
      <c r="AG331" s="34"/>
      <c r="AH331" s="34" t="s">
        <v>0</v>
      </c>
      <c r="AI331" s="47"/>
      <c r="AJ331" s="43"/>
      <c r="AK331" s="34"/>
      <c r="AL331" s="76"/>
    </row>
    <row r="332" spans="1:39" ht="14.1" hidden="1" customHeight="1" outlineLevel="1" thickBot="1">
      <c r="A332" s="145"/>
      <c r="B332" s="368" t="s">
        <v>24</v>
      </c>
      <c r="C332" s="539" t="s">
        <v>16</v>
      </c>
      <c r="D332" s="708"/>
      <c r="E332" s="708"/>
      <c r="F332"/>
      <c r="G332" s="254">
        <v>41795</v>
      </c>
      <c r="H332" s="253" t="s">
        <v>774</v>
      </c>
      <c r="I332" s="745"/>
      <c r="AF332" s="362">
        <f t="shared" ref="AF332:AF345" si="27">IF(AND(S.AC.InvolveMeeting1="Y",S.AC.CommitteeInvolved="Y"),1,0)</f>
        <v>0</v>
      </c>
      <c r="AG332" s="60">
        <f>WORKDAY(S.AC.SendInvitation+13,1,S.DDL_DEQClosed)</f>
        <v>41775</v>
      </c>
      <c r="AH332" s="34" t="s">
        <v>0</v>
      </c>
      <c r="AI332" s="34"/>
      <c r="AJ332" s="43"/>
      <c r="AK332" s="34"/>
      <c r="AL332" s="76"/>
      <c r="AM332"/>
    </row>
    <row r="333" spans="1:39" ht="14.1" hidden="1" customHeight="1" outlineLevel="2">
      <c r="A333" s="145"/>
      <c r="B333" s="416" t="s">
        <v>119</v>
      </c>
      <c r="C333" s="970"/>
      <c r="D333" s="283"/>
      <c r="E333" s="750"/>
      <c r="F333"/>
      <c r="G333" s="258"/>
      <c r="H333" s="300"/>
      <c r="I333" s="745"/>
      <c r="AF333" s="362">
        <f t="shared" si="27"/>
        <v>0</v>
      </c>
      <c r="AG333" s="34"/>
      <c r="AH333" s="34" t="s">
        <v>0</v>
      </c>
      <c r="AI333" s="47"/>
      <c r="AJ333" s="43"/>
      <c r="AK333" s="34"/>
      <c r="AL333" s="76"/>
      <c r="AM333"/>
    </row>
    <row r="334" spans="1:39" s="23" customFormat="1" ht="14.1" hidden="1" customHeight="1" outlineLevel="2">
      <c r="A334" s="145"/>
      <c r="B334" s="284" t="str">
        <f>AK334</f>
        <v>Brian coordinates or drafts:</v>
      </c>
      <c r="C334" s="970"/>
      <c r="D334" s="283"/>
      <c r="E334" s="283"/>
      <c r="F334"/>
      <c r="G334" s="323">
        <f>AG334</f>
        <v>41761</v>
      </c>
      <c r="H334" s="256">
        <f>AH334</f>
        <v>41761</v>
      </c>
      <c r="I334" s="745"/>
      <c r="J334"/>
      <c r="K334"/>
      <c r="L334"/>
      <c r="M334"/>
      <c r="N334"/>
      <c r="O334"/>
      <c r="P334"/>
      <c r="Q334"/>
      <c r="R334"/>
      <c r="S334"/>
      <c r="T334"/>
      <c r="U334"/>
      <c r="X334"/>
      <c r="AB334"/>
      <c r="AC334"/>
      <c r="AF334" s="362">
        <f t="shared" si="27"/>
        <v>0</v>
      </c>
      <c r="AG334" s="60">
        <f>S.AC.SendInvitation</f>
        <v>41761</v>
      </c>
      <c r="AH334" s="60">
        <f>G334</f>
        <v>41761</v>
      </c>
      <c r="AI334" s="58"/>
      <c r="AJ334" s="43"/>
      <c r="AK334" s="67" t="str">
        <f>S.Staff.Subject.Expert.FirstName&amp;" coordinates or drafts:"</f>
        <v>Brian coordinates or drafts:</v>
      </c>
      <c r="AL334" s="76"/>
    </row>
    <row r="335" spans="1:39" ht="14.1" hidden="1" customHeight="1" outlineLevel="2">
      <c r="A335" s="145"/>
      <c r="B335" s="316" t="str">
        <f>AK335</f>
        <v>* AC.AGENDA.06.05.14</v>
      </c>
      <c r="C335" s="971" t="str">
        <f>HYPERLINK("\\deq000\templates\General\Agenda Template.dotx","i")</f>
        <v>i</v>
      </c>
      <c r="D335" s="357"/>
      <c r="E335" s="750"/>
      <c r="F335"/>
      <c r="G335" s="258"/>
      <c r="H335" s="300"/>
      <c r="I335" s="745"/>
      <c r="AF335" s="362">
        <f t="shared" si="27"/>
        <v>0</v>
      </c>
      <c r="AG335" s="34"/>
      <c r="AH335" s="34" t="s">
        <v>0</v>
      </c>
      <c r="AI335" s="59"/>
      <c r="AJ335" s="61"/>
      <c r="AK335" s="67" t="str">
        <f>"* AC.AGENDA."&amp;TEXT(S.AC.DateMeeting1,"mm.dd.yy")</f>
        <v>* AC.AGENDA.06.05.14</v>
      </c>
      <c r="AL335" s="76"/>
      <c r="AM335"/>
    </row>
    <row r="336" spans="1:39" ht="14.1" hidden="1" customHeight="1" outlineLevel="2">
      <c r="A336" s="145"/>
      <c r="B336" s="316" t="str">
        <f>AK336</f>
        <v>* AC.NOTIFICATION.06.05.14</v>
      </c>
      <c r="C336" s="972" t="s">
        <v>0</v>
      </c>
      <c r="D336" s="283"/>
      <c r="E336" s="750"/>
      <c r="F336"/>
      <c r="G336" s="258"/>
      <c r="H336" s="300"/>
      <c r="I336" s="745"/>
      <c r="AF336" s="362">
        <f t="shared" si="27"/>
        <v>0</v>
      </c>
      <c r="AG336" s="34"/>
      <c r="AH336" s="34" t="s">
        <v>0</v>
      </c>
      <c r="AI336" s="59"/>
      <c r="AJ336" s="59"/>
      <c r="AK336" s="67" t="str">
        <f>"* AC.NOTIFICATION."&amp;TEXT(S.AC.DateMeeting1,"mm.dd.yy")</f>
        <v>* AC.NOTIFICATION.06.05.14</v>
      </c>
      <c r="AL336" s="76"/>
      <c r="AM336"/>
    </row>
    <row r="337" spans="1:39" s="23" customFormat="1" ht="14.1" hidden="1" customHeight="1" outlineLevel="2">
      <c r="A337" s="145"/>
      <c r="B337" s="284" t="str">
        <f>AK337</f>
        <v>Brian obtains team approval of agenda and notification</v>
      </c>
      <c r="C337" s="970"/>
      <c r="D337" s="283"/>
      <c r="E337" s="283"/>
      <c r="F337"/>
      <c r="G337" s="323">
        <f>AG337</f>
        <v>41761</v>
      </c>
      <c r="H337" s="256">
        <f>AH337</f>
        <v>41761</v>
      </c>
      <c r="I337" s="745"/>
      <c r="J337"/>
      <c r="K337"/>
      <c r="L337"/>
      <c r="M337"/>
      <c r="N337"/>
      <c r="O337"/>
      <c r="P337"/>
      <c r="Q337"/>
      <c r="R337"/>
      <c r="S337"/>
      <c r="T337"/>
      <c r="U337"/>
      <c r="X337"/>
      <c r="AB337"/>
      <c r="AC337"/>
      <c r="AF337" s="362">
        <f t="shared" si="27"/>
        <v>0</v>
      </c>
      <c r="AG337" s="60">
        <f>S.AC.SendInvitation</f>
        <v>41761</v>
      </c>
      <c r="AH337" s="60">
        <f>G337</f>
        <v>41761</v>
      </c>
      <c r="AI337" s="58"/>
      <c r="AJ337" s="43"/>
      <c r="AK337" s="67" t="str">
        <f>S.Staff.Subject.Expert.FirstName&amp;" obtains team approval of agenda and notification"</f>
        <v>Brian obtains team approval of agenda and notification</v>
      </c>
      <c r="AL337" s="76"/>
    </row>
    <row r="338" spans="1:39" s="23" customFormat="1" ht="14.1" hidden="1" customHeight="1" outlineLevel="2">
      <c r="A338" s="145"/>
      <c r="B338" s="284" t="str">
        <f>AK338</f>
        <v>Brian (about 14 working days before meeting:)</v>
      </c>
      <c r="C338" s="970"/>
      <c r="D338" s="283"/>
      <c r="E338" s="283"/>
      <c r="F338"/>
      <c r="G338" s="323">
        <f>AG338</f>
        <v>41761</v>
      </c>
      <c r="H338" s="256">
        <f>AH338</f>
        <v>41761</v>
      </c>
      <c r="I338" s="745"/>
      <c r="J338"/>
      <c r="K338"/>
      <c r="L338"/>
      <c r="M338"/>
      <c r="N338"/>
      <c r="O338"/>
      <c r="P338"/>
      <c r="Q338"/>
      <c r="R338"/>
      <c r="S338"/>
      <c r="T338"/>
      <c r="U338"/>
      <c r="X338"/>
      <c r="AB338"/>
      <c r="AC338"/>
      <c r="AF338" s="362">
        <f t="shared" si="27"/>
        <v>0</v>
      </c>
      <c r="AG338" s="60">
        <f>S.AC.SendInvitation</f>
        <v>41761</v>
      </c>
      <c r="AH338" s="60">
        <f>G338</f>
        <v>41761</v>
      </c>
      <c r="AI338" s="58"/>
      <c r="AJ338" s="43"/>
      <c r="AK338" s="67" t="str">
        <f>S.Staff.Support&amp;" (about 14 working days before meeting:)"</f>
        <v>Brian (about 14 working days before meeting:)</v>
      </c>
      <c r="AL338" s="76"/>
    </row>
    <row r="339" spans="1:39" ht="14.1" hidden="1" customHeight="1" outlineLevel="2">
      <c r="A339" s="145"/>
      <c r="B339" s="564" t="s">
        <v>215</v>
      </c>
      <c r="C339" s="971" t="str">
        <f>HYPERLINK("http://deq05/intranet/contentmanagement/login.asp","i")</f>
        <v>i</v>
      </c>
      <c r="D339" s="709"/>
      <c r="E339" s="886"/>
      <c r="F339"/>
      <c r="G339" s="258"/>
      <c r="H339" s="300"/>
      <c r="I339" s="745"/>
      <c r="AF339" s="362">
        <f t="shared" si="27"/>
        <v>0</v>
      </c>
      <c r="AG339" s="34"/>
      <c r="AH339" s="34" t="s">
        <v>0</v>
      </c>
      <c r="AI339" s="47"/>
      <c r="AJ339" s="43"/>
      <c r="AK339" s="43"/>
      <c r="AL339" s="76"/>
      <c r="AM339"/>
    </row>
    <row r="340" spans="1:39" s="23" customFormat="1" ht="14.1" hidden="1" customHeight="1" outlineLevel="2">
      <c r="A340" s="145"/>
      <c r="B340" s="564" t="s">
        <v>685</v>
      </c>
      <c r="C340" s="972" t="s">
        <v>0</v>
      </c>
      <c r="D340" s="709"/>
      <c r="E340" s="886"/>
      <c r="F340"/>
      <c r="G340" s="258"/>
      <c r="H340" s="300"/>
      <c r="I340" s="745"/>
      <c r="J340"/>
      <c r="K340"/>
      <c r="L340"/>
      <c r="M340"/>
      <c r="N340"/>
      <c r="O340"/>
      <c r="P340"/>
      <c r="Q340"/>
      <c r="R340"/>
      <c r="S340"/>
      <c r="T340"/>
      <c r="U340"/>
      <c r="X340"/>
      <c r="AB340"/>
      <c r="AC340"/>
      <c r="AF340" s="362">
        <f t="shared" si="27"/>
        <v>0</v>
      </c>
      <c r="AG340" s="34"/>
      <c r="AH340" s="34" t="s">
        <v>0</v>
      </c>
      <c r="AI340" s="47"/>
      <c r="AJ340" s="43"/>
      <c r="AK340" s="43"/>
      <c r="AL340" s="76"/>
    </row>
    <row r="341" spans="1:39" ht="14.1" hidden="1" customHeight="1" outlineLevel="2">
      <c r="A341" s="145"/>
      <c r="B341" s="298" t="s">
        <v>184</v>
      </c>
      <c r="C341" s="972" t="s">
        <v>0</v>
      </c>
      <c r="D341" s="283"/>
      <c r="E341" s="750"/>
      <c r="F341"/>
      <c r="G341" s="258"/>
      <c r="H341" s="300"/>
      <c r="I341" s="745"/>
      <c r="AF341" s="362">
        <f t="shared" si="27"/>
        <v>0</v>
      </c>
      <c r="AG341" s="34"/>
      <c r="AH341" s="34" t="s">
        <v>0</v>
      </c>
      <c r="AI341" s="47"/>
      <c r="AJ341" s="43"/>
      <c r="AK341" s="43" t="s">
        <v>347</v>
      </c>
      <c r="AL341" s="76"/>
      <c r="AM341"/>
    </row>
    <row r="342" spans="1:39" ht="14.1" hidden="1" customHeight="1" outlineLevel="2">
      <c r="A342" s="145"/>
      <c r="B342" s="418" t="s">
        <v>120</v>
      </c>
      <c r="C342" s="972" t="s">
        <v>0</v>
      </c>
      <c r="D342" s="283"/>
      <c r="E342" s="283"/>
      <c r="F342"/>
      <c r="G342" s="323">
        <f t="shared" ref="G342:H345" si="28">AG342</f>
        <v>41761</v>
      </c>
      <c r="H342" s="256">
        <f t="shared" si="28"/>
        <v>41761</v>
      </c>
      <c r="I342" s="745"/>
      <c r="AF342" s="362">
        <f t="shared" si="27"/>
        <v>0</v>
      </c>
      <c r="AG342" s="60">
        <f>S.AC.SendInvitation</f>
        <v>41761</v>
      </c>
      <c r="AH342" s="60">
        <f>G342</f>
        <v>41761</v>
      </c>
      <c r="AI342" s="47"/>
      <c r="AJ342" s="43"/>
      <c r="AK342" s="43"/>
      <c r="AL342" s="76"/>
      <c r="AM342"/>
    </row>
    <row r="343" spans="1:39" ht="14.1" hidden="1" customHeight="1" outlineLevel="2">
      <c r="A343" s="145"/>
      <c r="B343" s="418" t="s">
        <v>120</v>
      </c>
      <c r="C343" s="972" t="s">
        <v>0</v>
      </c>
      <c r="D343" s="283"/>
      <c r="E343" s="283"/>
      <c r="F343"/>
      <c r="G343" s="323">
        <f t="shared" si="28"/>
        <v>41761</v>
      </c>
      <c r="H343" s="256">
        <f t="shared" si="28"/>
        <v>41761</v>
      </c>
      <c r="I343" s="745"/>
      <c r="AF343" s="362">
        <f t="shared" si="27"/>
        <v>0</v>
      </c>
      <c r="AG343" s="60">
        <f>S.AC.SendInvitation</f>
        <v>41761</v>
      </c>
      <c r="AH343" s="60">
        <f>G343</f>
        <v>41761</v>
      </c>
      <c r="AI343" s="47"/>
      <c r="AJ343" s="43"/>
      <c r="AK343" s="43"/>
      <c r="AL343" s="76"/>
      <c r="AM343"/>
    </row>
    <row r="344" spans="1:39" ht="14.1" hidden="1" customHeight="1" outlineLevel="2">
      <c r="A344" s="145"/>
      <c r="B344" s="418" t="s">
        <v>120</v>
      </c>
      <c r="C344" s="972" t="s">
        <v>0</v>
      </c>
      <c r="D344" s="283"/>
      <c r="E344" s="283"/>
      <c r="F344"/>
      <c r="G344" s="323">
        <f t="shared" si="28"/>
        <v>41761</v>
      </c>
      <c r="H344" s="256">
        <f t="shared" si="28"/>
        <v>41761</v>
      </c>
      <c r="I344" s="745"/>
      <c r="AF344" s="362">
        <f t="shared" si="27"/>
        <v>0</v>
      </c>
      <c r="AG344" s="60">
        <f>S.AC.SendInvitation</f>
        <v>41761</v>
      </c>
      <c r="AH344" s="60">
        <f>G344</f>
        <v>41761</v>
      </c>
      <c r="AI344" s="47"/>
      <c r="AJ344" s="43"/>
      <c r="AK344" s="43"/>
      <c r="AL344" s="76"/>
      <c r="AM344"/>
    </row>
    <row r="345" spans="1:39" ht="14.1" hidden="1" customHeight="1" outlineLevel="2" thickBot="1">
      <c r="A345" s="145"/>
      <c r="B345" s="418" t="s">
        <v>120</v>
      </c>
      <c r="C345" s="972" t="s">
        <v>0</v>
      </c>
      <c r="D345" s="283"/>
      <c r="E345" s="283"/>
      <c r="F345"/>
      <c r="G345" s="323">
        <f t="shared" si="28"/>
        <v>41761</v>
      </c>
      <c r="H345" s="256">
        <f t="shared" si="28"/>
        <v>41761</v>
      </c>
      <c r="I345" s="745"/>
      <c r="AF345" s="362">
        <f t="shared" si="27"/>
        <v>0</v>
      </c>
      <c r="AG345" s="60">
        <f>S.AC.SendInvitation</f>
        <v>41761</v>
      </c>
      <c r="AH345" s="60">
        <f>G345</f>
        <v>41761</v>
      </c>
      <c r="AI345" s="47"/>
      <c r="AJ345" s="43"/>
      <c r="AK345" s="43"/>
      <c r="AL345" s="76"/>
      <c r="AM345"/>
    </row>
    <row r="346" spans="1:39" s="23" customFormat="1" ht="14.1" hidden="1" customHeight="1" outlineLevel="2" thickBot="1">
      <c r="A346" s="145"/>
      <c r="B346" s="444" t="s">
        <v>169</v>
      </c>
      <c r="C346" s="539" t="s">
        <v>16</v>
      </c>
      <c r="D346" s="710"/>
      <c r="E346" s="710"/>
      <c r="F346"/>
      <c r="G346" s="324"/>
      <c r="H346" s="324"/>
      <c r="I346" s="745"/>
      <c r="J346"/>
      <c r="K346"/>
      <c r="L346"/>
      <c r="M346"/>
      <c r="N346"/>
      <c r="O346"/>
      <c r="P346"/>
      <c r="Q346"/>
      <c r="R346"/>
      <c r="S346"/>
      <c r="T346"/>
      <c r="U346"/>
      <c r="X346"/>
      <c r="AB346"/>
      <c r="AC346"/>
      <c r="AF346" s="362">
        <f t="shared" ref="AF346:AF353" si="29">IF(AND(S.AC.InvolveMeeting1="Y",S.AC.CommitteeInvolved="Y",S.AC.Presentation1="Y"),1,0)</f>
        <v>0</v>
      </c>
      <c r="AG346" s="34"/>
      <c r="AH346" s="34"/>
      <c r="AI346" s="34"/>
      <c r="AJ346" s="43"/>
      <c r="AK346" s="43"/>
      <c r="AL346" s="76"/>
    </row>
    <row r="347" spans="1:39" s="23" customFormat="1" ht="14.1" hidden="1" customHeight="1" outlineLevel="2">
      <c r="A347" s="145"/>
      <c r="B347" s="445" t="s">
        <v>121</v>
      </c>
      <c r="C347" s="972" t="s">
        <v>0</v>
      </c>
      <c r="D347" s="325"/>
      <c r="E347" s="325"/>
      <c r="F347"/>
      <c r="G347" s="321"/>
      <c r="H347" s="321"/>
      <c r="I347" s="745"/>
      <c r="J347"/>
      <c r="K347"/>
      <c r="L347"/>
      <c r="M347"/>
      <c r="N347"/>
      <c r="O347"/>
      <c r="P347"/>
      <c r="Q347"/>
      <c r="R347"/>
      <c r="S347"/>
      <c r="T347"/>
      <c r="U347"/>
      <c r="X347"/>
      <c r="AB347"/>
      <c r="AC347"/>
      <c r="AF347" s="362">
        <f t="shared" si="29"/>
        <v>0</v>
      </c>
      <c r="AG347" s="34"/>
      <c r="AH347" s="34"/>
      <c r="AI347" s="47"/>
      <c r="AJ347" s="43"/>
      <c r="AK347" s="43"/>
      <c r="AL347" s="76"/>
    </row>
    <row r="348" spans="1:39" ht="14.1" hidden="1" customHeight="1" outlineLevel="2">
      <c r="A348" s="145"/>
      <c r="B348" s="446" t="str">
        <f>AK348</f>
        <v>* drafts optional AC.PRESENTATION.06.05.14</v>
      </c>
      <c r="C348" s="971" t="str">
        <f>HYPERLINK("http://deq05/intranet/communication/docs/DEQAgencyTemplate1.potx","i")</f>
        <v>i</v>
      </c>
      <c r="D348" s="357"/>
      <c r="E348" s="357"/>
      <c r="F348"/>
      <c r="G348" s="323">
        <f>AG348</f>
        <v>41761</v>
      </c>
      <c r="H348" s="256">
        <f>AH348</f>
        <v>41761</v>
      </c>
      <c r="I348" s="745"/>
      <c r="AF348" s="362">
        <f t="shared" si="29"/>
        <v>0</v>
      </c>
      <c r="AG348" s="60">
        <f>G345</f>
        <v>41761</v>
      </c>
      <c r="AH348" s="60">
        <f>G348</f>
        <v>41761</v>
      </c>
      <c r="AI348" s="47"/>
      <c r="AJ348" s="43"/>
      <c r="AK348" s="78" t="str">
        <f>"* drafts optional AC.PRESENTATION."&amp;TEXT($G$332,"mm.dd.yy")</f>
        <v>* drafts optional AC.PRESENTATION.06.05.14</v>
      </c>
      <c r="AL348" s="76"/>
      <c r="AM348"/>
    </row>
    <row r="349" spans="1:39" s="23" customFormat="1" ht="14.1" hidden="1" customHeight="1" outlineLevel="2">
      <c r="A349" s="145"/>
      <c r="B349" s="445" t="s">
        <v>121</v>
      </c>
      <c r="C349" s="972" t="s">
        <v>0</v>
      </c>
      <c r="D349" s="325"/>
      <c r="E349" s="325"/>
      <c r="F349"/>
      <c r="G349" s="324"/>
      <c r="H349" s="324"/>
      <c r="I349" s="745"/>
      <c r="J349"/>
      <c r="K349"/>
      <c r="L349"/>
      <c r="M349"/>
      <c r="N349"/>
      <c r="O349"/>
      <c r="P349"/>
      <c r="Q349"/>
      <c r="R349"/>
      <c r="S349"/>
      <c r="T349"/>
      <c r="U349"/>
      <c r="X349"/>
      <c r="AB349"/>
      <c r="AC349"/>
      <c r="AF349" s="362">
        <f t="shared" si="29"/>
        <v>0</v>
      </c>
      <c r="AG349" s="34"/>
      <c r="AH349" s="34"/>
      <c r="AI349" s="47"/>
      <c r="AJ349" s="43"/>
      <c r="AK349" s="43"/>
      <c r="AL349" s="76"/>
    </row>
    <row r="350" spans="1:39" s="23" customFormat="1" ht="14.1" hidden="1" customHeight="1" outlineLevel="2">
      <c r="A350" s="145"/>
      <c r="B350" s="447" t="s">
        <v>183</v>
      </c>
      <c r="C350" s="972" t="s">
        <v>0</v>
      </c>
      <c r="D350" s="283"/>
      <c r="E350" s="283"/>
      <c r="F350"/>
      <c r="G350" s="323">
        <f>AG350</f>
        <v>41761</v>
      </c>
      <c r="H350" s="256">
        <f>AH350</f>
        <v>41761</v>
      </c>
      <c r="I350" s="745"/>
      <c r="J350"/>
      <c r="K350"/>
      <c r="L350"/>
      <c r="M350"/>
      <c r="N350"/>
      <c r="O350"/>
      <c r="P350"/>
      <c r="Q350"/>
      <c r="R350"/>
      <c r="S350"/>
      <c r="T350"/>
      <c r="U350"/>
      <c r="X350"/>
      <c r="AB350"/>
      <c r="AC350"/>
      <c r="AF350" s="362">
        <f t="shared" si="29"/>
        <v>0</v>
      </c>
      <c r="AG350" s="60">
        <f>G348</f>
        <v>41761</v>
      </c>
      <c r="AH350" s="60">
        <f>G350</f>
        <v>41761</v>
      </c>
      <c r="AI350" s="47"/>
      <c r="AJ350" s="43"/>
      <c r="AK350" s="43"/>
      <c r="AL350" s="76"/>
    </row>
    <row r="351" spans="1:39" ht="14.1" hidden="1" customHeight="1" outlineLevel="2">
      <c r="A351" s="145"/>
      <c r="B351" s="448" t="s">
        <v>216</v>
      </c>
      <c r="C351" s="972" t="s">
        <v>0</v>
      </c>
      <c r="D351" s="283"/>
      <c r="E351" s="283"/>
      <c r="F351"/>
      <c r="G351" s="323">
        <f>AG351</f>
        <v>41761</v>
      </c>
      <c r="H351" s="256">
        <f>AH351</f>
        <v>41761</v>
      </c>
      <c r="I351" s="745"/>
      <c r="AF351" s="362">
        <f t="shared" si="29"/>
        <v>0</v>
      </c>
      <c r="AG351" s="60">
        <f>G350</f>
        <v>41761</v>
      </c>
      <c r="AH351" s="60">
        <f>G351</f>
        <v>41761</v>
      </c>
      <c r="AI351" s="47" t="s">
        <v>0</v>
      </c>
      <c r="AJ351" s="43"/>
      <c r="AK351" s="43"/>
      <c r="AL351" s="76"/>
      <c r="AM351"/>
    </row>
    <row r="352" spans="1:39" ht="14.1" hidden="1" customHeight="1" outlineLevel="2">
      <c r="A352" s="145"/>
      <c r="B352" s="449" t="str">
        <f>AK352</f>
        <v>Brian submits Web Request to post materials</v>
      </c>
      <c r="C352" s="973" t="str">
        <f>HYPERLINK("http://deq05/intranet/communication/WebRequests.htm","i")</f>
        <v>i</v>
      </c>
      <c r="D352" s="283"/>
      <c r="E352" s="750"/>
      <c r="F352"/>
      <c r="G352"/>
      <c r="H352"/>
      <c r="I352" s="745"/>
      <c r="AF352" s="362">
        <f t="shared" si="29"/>
        <v>0</v>
      </c>
      <c r="AG352" s="34"/>
      <c r="AH352" s="34"/>
      <c r="AI352" s="47"/>
      <c r="AJ352" s="43"/>
      <c r="AK352" s="78" t="str">
        <f>S.Staff.Subject.Expert.FirstName&amp;" submits Web Request to post materials"</f>
        <v>Brian submits Web Request to post materials</v>
      </c>
      <c r="AL352" s="76"/>
      <c r="AM352"/>
    </row>
    <row r="353" spans="1:39" s="23" customFormat="1" ht="14.1" hidden="1" customHeight="1" outlineLevel="2">
      <c r="A353" s="145"/>
      <c r="B353" s="448" t="s">
        <v>124</v>
      </c>
      <c r="C353" s="972" t="s">
        <v>0</v>
      </c>
      <c r="D353" s="283"/>
      <c r="E353" s="750"/>
      <c r="F353"/>
      <c r="I353" s="745"/>
      <c r="J353"/>
      <c r="K353"/>
      <c r="L353"/>
      <c r="M353"/>
      <c r="N353"/>
      <c r="O353"/>
      <c r="P353"/>
      <c r="Q353"/>
      <c r="R353"/>
      <c r="S353"/>
      <c r="T353"/>
      <c r="U353"/>
      <c r="X353"/>
      <c r="AB353"/>
      <c r="AC353"/>
      <c r="AF353" s="362">
        <f t="shared" si="29"/>
        <v>0</v>
      </c>
      <c r="AG353" s="34"/>
      <c r="AH353" s="34"/>
      <c r="AI353" s="59"/>
      <c r="AJ353" s="59"/>
      <c r="AK353" s="43"/>
      <c r="AL353" s="76"/>
    </row>
    <row r="354" spans="1:39" ht="14.1" hidden="1" customHeight="1" outlineLevel="2">
      <c r="A354" s="145"/>
      <c r="B354" s="419" t="s">
        <v>122</v>
      </c>
      <c r="C354" s="972" t="s">
        <v>0</v>
      </c>
      <c r="D354"/>
      <c r="E354"/>
      <c r="F354"/>
      <c r="G354"/>
      <c r="H354" s="263">
        <f>AH354</f>
        <v>41795</v>
      </c>
      <c r="I354" s="745"/>
      <c r="AF354" s="362">
        <f>IF(AND(S.AC.InvolveMeeting1="Y",S.AC.CommitteeInvolved="Y"),1,0)</f>
        <v>0</v>
      </c>
      <c r="AG354" s="59"/>
      <c r="AH354" s="60">
        <f>S.AC.DateMeeting1</f>
        <v>41795</v>
      </c>
      <c r="AI354" s="59"/>
      <c r="AJ354" s="59"/>
      <c r="AK354" s="43"/>
      <c r="AL354" s="76"/>
      <c r="AM354"/>
    </row>
    <row r="355" spans="1:39" ht="14.1" hidden="1" customHeight="1" outlineLevel="2">
      <c r="A355" s="145"/>
      <c r="B355" s="343" t="str">
        <f>AK355</f>
        <v>Brian drafts AC.MINUTES 06.05.14</v>
      </c>
      <c r="C355" s="971" t="str">
        <f>HYPERLINK("\\deq000\templates\General\Minutes Template.dotx","i")</f>
        <v>i</v>
      </c>
      <c r="D355" s="357"/>
      <c r="E355" s="357"/>
      <c r="F355"/>
      <c r="G355" s="323">
        <f>AG355</f>
        <v>41795</v>
      </c>
      <c r="H355" s="256">
        <f>AH355</f>
        <v>41795</v>
      </c>
      <c r="I355" s="745"/>
      <c r="AF355" s="362">
        <f>IF(AND(S.AC.InvolveMeeting1="Y",S.AC.CommitteeInvolved="Y"),1,0)</f>
        <v>0</v>
      </c>
      <c r="AG355" s="60">
        <f>S.AC.DateMeeting1</f>
        <v>41795</v>
      </c>
      <c r="AH355" s="60">
        <f>G355</f>
        <v>41795</v>
      </c>
      <c r="AI355" s="59"/>
      <c r="AJ355" s="59"/>
      <c r="AK355" s="67" t="str">
        <f>S.Staff.Subject.Expert.FirstName&amp;" drafts AC.MINUTES "&amp;TEXT(S.AC.DateMeeting1,"mm.dd.yy")</f>
        <v>Brian drafts AC.MINUTES 06.05.14</v>
      </c>
      <c r="AL355" s="76"/>
      <c r="AM355"/>
    </row>
    <row r="356" spans="1:39" ht="14.1" hidden="1" customHeight="1" outlineLevel="2" thickBot="1">
      <c r="A356" s="145"/>
      <c r="B356" s="419" t="s">
        <v>123</v>
      </c>
      <c r="C356" s="972" t="s">
        <v>0</v>
      </c>
      <c r="D356" s="283"/>
      <c r="E356" s="283"/>
      <c r="F356"/>
      <c r="G356" s="323">
        <f>AG356</f>
        <v>41795</v>
      </c>
      <c r="H356" s="256">
        <f>AH356</f>
        <v>41795</v>
      </c>
      <c r="I356" s="745"/>
      <c r="AF356" s="362">
        <f>IF(AND(S.AC.InvolveMeeting1="Y",S.AC.CommitteeInvolved="Y"),1,0)</f>
        <v>0</v>
      </c>
      <c r="AG356" s="60">
        <f>S.AC.DateMeeting1</f>
        <v>41795</v>
      </c>
      <c r="AH356" s="60">
        <f>G356</f>
        <v>41795</v>
      </c>
      <c r="AI356" s="59"/>
      <c r="AJ356" s="59"/>
      <c r="AK356" s="43"/>
      <c r="AL356" s="76"/>
      <c r="AM356"/>
    </row>
    <row r="357" spans="1:39" s="23" customFormat="1" ht="14.1" hidden="1" customHeight="1" outlineLevel="1" collapsed="1" thickBot="1">
      <c r="A357" s="145"/>
      <c r="B357" s="368" t="s">
        <v>23</v>
      </c>
      <c r="C357" s="539" t="s">
        <v>16</v>
      </c>
      <c r="D357" s="711"/>
      <c r="E357" s="711"/>
      <c r="F357" s="306"/>
      <c r="G357" s="252">
        <v>41816</v>
      </c>
      <c r="H357" s="365" t="s">
        <v>774</v>
      </c>
      <c r="I357" s="745"/>
      <c r="J357"/>
      <c r="K357"/>
      <c r="L357"/>
      <c r="M357"/>
      <c r="N357"/>
      <c r="O357"/>
      <c r="P357"/>
      <c r="Q357"/>
      <c r="R357"/>
      <c r="S357"/>
      <c r="T357"/>
      <c r="U357"/>
      <c r="X357"/>
      <c r="AB357"/>
      <c r="AC357"/>
      <c r="AF357" s="362">
        <f t="shared" ref="AF357:AF367" si="30">IF(AND(S.AC.InvolveMeeting2="Y",S.AC.CommitteeInvolved="Y"),1,0)</f>
        <v>0</v>
      </c>
      <c r="AG357" s="60">
        <f>S.AC.DateMeeting1</f>
        <v>41795</v>
      </c>
      <c r="AH357" s="34" t="s">
        <v>0</v>
      </c>
      <c r="AI357" s="34"/>
      <c r="AJ357" s="43"/>
      <c r="AK357" s="43"/>
      <c r="AL357" s="76"/>
    </row>
    <row r="358" spans="1:39" s="23" customFormat="1" ht="14.1" hidden="1" customHeight="1" outlineLevel="2">
      <c r="A358" s="145"/>
      <c r="B358" s="416" t="s">
        <v>119</v>
      </c>
      <c r="C358" s="970"/>
      <c r="D358" s="283"/>
      <c r="E358" s="283"/>
      <c r="F358" s="255">
        <f>NETWORKDAYS(G358,H358,S.DDL_DEQClosed)</f>
        <v>1</v>
      </c>
      <c r="G358" s="323">
        <f>AG358</f>
        <v>41802</v>
      </c>
      <c r="H358" s="256">
        <f>AH358</f>
        <v>41802</v>
      </c>
      <c r="I358" s="745"/>
      <c r="J358"/>
      <c r="K358"/>
      <c r="L358"/>
      <c r="M358"/>
      <c r="N358"/>
      <c r="O358"/>
      <c r="P358"/>
      <c r="Q358"/>
      <c r="R358"/>
      <c r="S358"/>
      <c r="T358"/>
      <c r="U358"/>
      <c r="X358"/>
      <c r="AB358"/>
      <c r="AC358"/>
      <c r="AF358" s="362">
        <f t="shared" si="30"/>
        <v>0</v>
      </c>
      <c r="AG358" s="60">
        <f>WORKDAY(S.AC.DateMeeting2-13,-1,S.DDL_DEQClosed)</f>
        <v>41802</v>
      </c>
      <c r="AH358" s="60">
        <f>G358</f>
        <v>41802</v>
      </c>
      <c r="AI358" s="47"/>
      <c r="AJ358" s="43"/>
      <c r="AK358" s="34"/>
      <c r="AL358" s="76"/>
    </row>
    <row r="359" spans="1:39" s="23" customFormat="1" ht="14.1" hidden="1" customHeight="1" outlineLevel="2">
      <c r="A359" s="145"/>
      <c r="B359" s="284" t="str">
        <f>AK359</f>
        <v>Brian coordinates or drafts:</v>
      </c>
      <c r="C359" s="970"/>
      <c r="D359" s="708"/>
      <c r="E359" s="708"/>
      <c r="F359" s="262"/>
      <c r="G359" s="258"/>
      <c r="H359" s="300"/>
      <c r="I359" s="745"/>
      <c r="J359"/>
      <c r="K359"/>
      <c r="L359"/>
      <c r="M359"/>
      <c r="N359"/>
      <c r="O359"/>
      <c r="P359"/>
      <c r="Q359"/>
      <c r="R359"/>
      <c r="S359"/>
      <c r="T359"/>
      <c r="U359"/>
      <c r="X359"/>
      <c r="AB359"/>
      <c r="AC359"/>
      <c r="AF359" s="362">
        <f t="shared" si="30"/>
        <v>0</v>
      </c>
      <c r="AG359" s="47"/>
      <c r="AH359" s="58"/>
      <c r="AI359" s="58"/>
      <c r="AJ359" s="43"/>
      <c r="AK359" s="67" t="str">
        <f>S.Staff.Subject.Expert.FirstName&amp;" coordinates or drafts:"</f>
        <v>Brian coordinates or drafts:</v>
      </c>
      <c r="AL359" s="76"/>
    </row>
    <row r="360" spans="1:39" s="23" customFormat="1" ht="14.1" hidden="1" customHeight="1" outlineLevel="2">
      <c r="A360" s="145"/>
      <c r="B360" s="316" t="str">
        <f>AK360</f>
        <v>* AC.AGENDA.06.05.14, gets team agreement</v>
      </c>
      <c r="C360" s="971" t="str">
        <f>HYPERLINK("\\deq000\templates\General\Agenda Template.dotx","i")</f>
        <v>i</v>
      </c>
      <c r="D360" s="357"/>
      <c r="E360" s="357"/>
      <c r="F360" s="255">
        <f t="shared" ref="F360:F367" si="31">NETWORKDAYS(G360,H360,S.DDL_DEQClosed)</f>
        <v>1</v>
      </c>
      <c r="G360" s="323">
        <f t="shared" ref="G360:H367" si="32">AG360</f>
        <v>41802</v>
      </c>
      <c r="H360" s="256">
        <f t="shared" si="32"/>
        <v>41802</v>
      </c>
      <c r="I360" s="745"/>
      <c r="J360"/>
      <c r="K360"/>
      <c r="L360"/>
      <c r="M360"/>
      <c r="N360"/>
      <c r="O360"/>
      <c r="P360"/>
      <c r="Q360"/>
      <c r="R360"/>
      <c r="S360"/>
      <c r="T360"/>
      <c r="U360"/>
      <c r="X360"/>
      <c r="AB360"/>
      <c r="AC360"/>
      <c r="AF360" s="362">
        <f t="shared" si="30"/>
        <v>0</v>
      </c>
      <c r="AG360" s="60">
        <f>G358</f>
        <v>41802</v>
      </c>
      <c r="AH360" s="60">
        <f t="shared" ref="AH360:AH367" si="33">G360</f>
        <v>41802</v>
      </c>
      <c r="AI360" s="59"/>
      <c r="AJ360" s="61"/>
      <c r="AK360" s="67" t="str">
        <f>"* AC.AGENDA."&amp; TEXT(S.AC.DateMeeting1,"mm.dd.yy")&amp;", gets team agreement"</f>
        <v>* AC.AGENDA.06.05.14, gets team agreement</v>
      </c>
      <c r="AL360" s="76"/>
    </row>
    <row r="361" spans="1:39" s="23" customFormat="1" ht="14.1" hidden="1" customHeight="1" outlineLevel="2">
      <c r="A361" s="145"/>
      <c r="B361" s="316" t="str">
        <f>AK361</f>
        <v>* AC.NOTIFICATION.06.05.14</v>
      </c>
      <c r="C361" s="972" t="s">
        <v>0</v>
      </c>
      <c r="D361" s="283"/>
      <c r="E361" s="283"/>
      <c r="F361" s="255">
        <f t="shared" si="31"/>
        <v>1</v>
      </c>
      <c r="G361" s="323">
        <f t="shared" si="32"/>
        <v>41802</v>
      </c>
      <c r="H361" s="256">
        <f t="shared" si="32"/>
        <v>41802</v>
      </c>
      <c r="I361" s="745"/>
      <c r="J361"/>
      <c r="K361"/>
      <c r="L361"/>
      <c r="M361"/>
      <c r="N361"/>
      <c r="O361"/>
      <c r="P361"/>
      <c r="Q361"/>
      <c r="R361"/>
      <c r="S361"/>
      <c r="T361"/>
      <c r="U361"/>
      <c r="X361"/>
      <c r="AB361"/>
      <c r="AC361"/>
      <c r="AF361" s="362">
        <f t="shared" si="30"/>
        <v>0</v>
      </c>
      <c r="AG361" s="60">
        <f t="shared" ref="AG361:AG367" si="34">G360</f>
        <v>41802</v>
      </c>
      <c r="AH361" s="60">
        <f t="shared" si="33"/>
        <v>41802</v>
      </c>
      <c r="AI361" s="59"/>
      <c r="AJ361" s="59"/>
      <c r="AK361" s="67" t="str">
        <f>"* AC.NOTIFICATION."&amp;TEXT(S.AC.DateMeeting1,"mm.dd.yy")</f>
        <v>* AC.NOTIFICATION.06.05.14</v>
      </c>
      <c r="AL361" s="76"/>
    </row>
    <row r="362" spans="1:39" s="23" customFormat="1" ht="14.1" hidden="1" customHeight="1" outlineLevel="2">
      <c r="A362" s="145"/>
      <c r="B362" s="320" t="s">
        <v>215</v>
      </c>
      <c r="C362" s="971" t="str">
        <f>HYPERLINK("http://deq05/intranet/contentmanagement/login.asp","i")</f>
        <v>i</v>
      </c>
      <c r="D362" s="709"/>
      <c r="E362" s="709"/>
      <c r="F362" s="255">
        <f t="shared" si="31"/>
        <v>1</v>
      </c>
      <c r="G362" s="323">
        <f t="shared" si="32"/>
        <v>41802</v>
      </c>
      <c r="H362" s="256">
        <f t="shared" si="32"/>
        <v>41802</v>
      </c>
      <c r="I362" s="745"/>
      <c r="J362"/>
      <c r="K362"/>
      <c r="L362"/>
      <c r="M362"/>
      <c r="N362"/>
      <c r="O362"/>
      <c r="P362"/>
      <c r="Q362"/>
      <c r="R362"/>
      <c r="S362"/>
      <c r="T362"/>
      <c r="U362"/>
      <c r="X362"/>
      <c r="AB362"/>
      <c r="AC362"/>
      <c r="AF362" s="362">
        <f t="shared" si="30"/>
        <v>0</v>
      </c>
      <c r="AG362" s="60">
        <f t="shared" si="34"/>
        <v>41802</v>
      </c>
      <c r="AH362" s="60">
        <f t="shared" si="33"/>
        <v>41802</v>
      </c>
      <c r="AI362" s="47"/>
      <c r="AJ362" s="43"/>
      <c r="AK362" s="43"/>
      <c r="AL362" s="76"/>
    </row>
    <row r="363" spans="1:39" s="23" customFormat="1" ht="14.1" hidden="1" customHeight="1" outlineLevel="2">
      <c r="A363" s="145"/>
      <c r="B363" s="298" t="s">
        <v>184</v>
      </c>
      <c r="C363" s="972" t="s">
        <v>0</v>
      </c>
      <c r="D363" s="283"/>
      <c r="E363" s="283"/>
      <c r="F363" s="255">
        <f t="shared" si="31"/>
        <v>1</v>
      </c>
      <c r="G363" s="323">
        <f t="shared" si="32"/>
        <v>41802</v>
      </c>
      <c r="H363" s="256">
        <f t="shared" si="32"/>
        <v>41802</v>
      </c>
      <c r="I363" s="745"/>
      <c r="J363"/>
      <c r="K363"/>
      <c r="L363"/>
      <c r="M363"/>
      <c r="N363"/>
      <c r="O363"/>
      <c r="P363"/>
      <c r="Q363"/>
      <c r="R363"/>
      <c r="S363"/>
      <c r="T363"/>
      <c r="U363"/>
      <c r="X363"/>
      <c r="AB363"/>
      <c r="AC363"/>
      <c r="AF363" s="362">
        <f t="shared" si="30"/>
        <v>0</v>
      </c>
      <c r="AG363" s="60">
        <f t="shared" si="34"/>
        <v>41802</v>
      </c>
      <c r="AH363" s="60">
        <f t="shared" si="33"/>
        <v>41802</v>
      </c>
      <c r="AI363" s="47"/>
      <c r="AJ363" s="43"/>
      <c r="AK363" s="43"/>
      <c r="AL363" s="76"/>
    </row>
    <row r="364" spans="1:39" s="23" customFormat="1" ht="14.1" hidden="1" customHeight="1" outlineLevel="2">
      <c r="A364" s="145"/>
      <c r="B364" s="418" t="s">
        <v>120</v>
      </c>
      <c r="C364" s="972" t="s">
        <v>0</v>
      </c>
      <c r="D364" s="283"/>
      <c r="E364" s="283"/>
      <c r="F364" s="255">
        <f t="shared" si="31"/>
        <v>1</v>
      </c>
      <c r="G364" s="323">
        <f t="shared" si="32"/>
        <v>41802</v>
      </c>
      <c r="H364" s="256">
        <f t="shared" si="32"/>
        <v>41802</v>
      </c>
      <c r="I364" s="745"/>
      <c r="J364"/>
      <c r="K364"/>
      <c r="L364"/>
      <c r="M364"/>
      <c r="N364"/>
      <c r="O364"/>
      <c r="P364"/>
      <c r="Q364"/>
      <c r="R364"/>
      <c r="S364"/>
      <c r="T364"/>
      <c r="U364"/>
      <c r="X364"/>
      <c r="AB364"/>
      <c r="AC364"/>
      <c r="AF364" s="362">
        <f t="shared" si="30"/>
        <v>0</v>
      </c>
      <c r="AG364" s="60">
        <f t="shared" si="34"/>
        <v>41802</v>
      </c>
      <c r="AH364" s="60">
        <f t="shared" si="33"/>
        <v>41802</v>
      </c>
      <c r="AI364" s="47"/>
      <c r="AJ364" s="43"/>
      <c r="AK364" s="43"/>
      <c r="AL364" s="76"/>
    </row>
    <row r="365" spans="1:39" s="23" customFormat="1" ht="14.1" hidden="1" customHeight="1" outlineLevel="2">
      <c r="A365" s="145"/>
      <c r="B365" s="418" t="s">
        <v>120</v>
      </c>
      <c r="C365" s="972" t="s">
        <v>0</v>
      </c>
      <c r="D365" s="283"/>
      <c r="E365" s="283"/>
      <c r="F365" s="255">
        <f t="shared" si="31"/>
        <v>1</v>
      </c>
      <c r="G365" s="323">
        <f t="shared" si="32"/>
        <v>41802</v>
      </c>
      <c r="H365" s="256">
        <f t="shared" si="32"/>
        <v>41802</v>
      </c>
      <c r="I365" s="745"/>
      <c r="J365"/>
      <c r="K365"/>
      <c r="L365"/>
      <c r="M365"/>
      <c r="N365"/>
      <c r="O365"/>
      <c r="P365"/>
      <c r="Q365"/>
      <c r="R365"/>
      <c r="S365"/>
      <c r="T365"/>
      <c r="U365"/>
      <c r="X365"/>
      <c r="AB365"/>
      <c r="AC365"/>
      <c r="AF365" s="362">
        <f t="shared" si="30"/>
        <v>0</v>
      </c>
      <c r="AG365" s="60">
        <f t="shared" si="34"/>
        <v>41802</v>
      </c>
      <c r="AH365" s="60">
        <f t="shared" si="33"/>
        <v>41802</v>
      </c>
      <c r="AI365" s="47"/>
      <c r="AJ365" s="43"/>
      <c r="AK365" s="43"/>
      <c r="AL365" s="76"/>
    </row>
    <row r="366" spans="1:39" s="23" customFormat="1" ht="14.1" hidden="1" customHeight="1" outlineLevel="2">
      <c r="A366" s="145"/>
      <c r="B366" s="418" t="s">
        <v>120</v>
      </c>
      <c r="C366" s="972" t="s">
        <v>0</v>
      </c>
      <c r="D366" s="283"/>
      <c r="E366" s="283"/>
      <c r="F366" s="255">
        <f t="shared" si="31"/>
        <v>1</v>
      </c>
      <c r="G366" s="323">
        <f t="shared" si="32"/>
        <v>41802</v>
      </c>
      <c r="H366" s="256">
        <f t="shared" si="32"/>
        <v>41802</v>
      </c>
      <c r="I366" s="745"/>
      <c r="J366"/>
      <c r="K366"/>
      <c r="L366"/>
      <c r="M366"/>
      <c r="N366"/>
      <c r="O366"/>
      <c r="P366"/>
      <c r="Q366"/>
      <c r="R366"/>
      <c r="S366"/>
      <c r="T366"/>
      <c r="U366"/>
      <c r="X366"/>
      <c r="AB366"/>
      <c r="AC366"/>
      <c r="AF366" s="362">
        <f t="shared" si="30"/>
        <v>0</v>
      </c>
      <c r="AG366" s="60">
        <f t="shared" si="34"/>
        <v>41802</v>
      </c>
      <c r="AH366" s="60">
        <f t="shared" si="33"/>
        <v>41802</v>
      </c>
      <c r="AI366" s="47"/>
      <c r="AJ366" s="43"/>
      <c r="AK366" s="43"/>
      <c r="AL366" s="76"/>
    </row>
    <row r="367" spans="1:39" s="23" customFormat="1" ht="14.1" hidden="1" customHeight="1" outlineLevel="2" thickBot="1">
      <c r="A367" s="145"/>
      <c r="B367" s="418" t="s">
        <v>120</v>
      </c>
      <c r="C367" s="972" t="s">
        <v>0</v>
      </c>
      <c r="D367" s="283"/>
      <c r="E367" s="283"/>
      <c r="F367" s="255">
        <f t="shared" si="31"/>
        <v>1</v>
      </c>
      <c r="G367" s="323">
        <f t="shared" si="32"/>
        <v>41802</v>
      </c>
      <c r="H367" s="256">
        <f t="shared" si="32"/>
        <v>41802</v>
      </c>
      <c r="I367" s="745"/>
      <c r="J367"/>
      <c r="K367"/>
      <c r="L367"/>
      <c r="M367"/>
      <c r="N367"/>
      <c r="O367"/>
      <c r="P367"/>
      <c r="Q367"/>
      <c r="R367"/>
      <c r="S367"/>
      <c r="T367"/>
      <c r="U367"/>
      <c r="X367"/>
      <c r="AB367"/>
      <c r="AC367"/>
      <c r="AF367" s="362">
        <f t="shared" si="30"/>
        <v>0</v>
      </c>
      <c r="AG367" s="60">
        <f t="shared" si="34"/>
        <v>41802</v>
      </c>
      <c r="AH367" s="60">
        <f t="shared" si="33"/>
        <v>41802</v>
      </c>
      <c r="AI367" s="47"/>
      <c r="AJ367" s="43"/>
      <c r="AK367" s="43"/>
      <c r="AL367" s="76"/>
    </row>
    <row r="368" spans="1:39" s="23" customFormat="1" ht="14.1" hidden="1" customHeight="1" outlineLevel="2" thickBot="1">
      <c r="A368" s="145"/>
      <c r="B368" s="444" t="s">
        <v>169</v>
      </c>
      <c r="C368" s="539" t="s">
        <v>16</v>
      </c>
      <c r="D368" s="710"/>
      <c r="E368" s="710"/>
      <c r="F368" s="324"/>
      <c r="G368" s="324"/>
      <c r="H368" s="324"/>
      <c r="I368" s="745"/>
      <c r="J368"/>
      <c r="K368"/>
      <c r="L368"/>
      <c r="M368"/>
      <c r="N368"/>
      <c r="O368"/>
      <c r="P368"/>
      <c r="Q368"/>
      <c r="R368"/>
      <c r="S368"/>
      <c r="T368"/>
      <c r="U368"/>
      <c r="X368"/>
      <c r="AB368"/>
      <c r="AC368"/>
      <c r="AF368" s="362">
        <f t="shared" ref="AF368:AF375" si="35">IF(AND(S.AC.InvolveMeeting2="Y",S.AC.CommitteeInvolved="Y",S.AC.Presentation2="Y"),1,0)</f>
        <v>0</v>
      </c>
      <c r="AG368" s="34"/>
      <c r="AH368" s="34"/>
      <c r="AI368" s="34"/>
      <c r="AJ368" s="43"/>
      <c r="AK368" s="43"/>
      <c r="AL368" s="76"/>
    </row>
    <row r="369" spans="1:38" s="23" customFormat="1" ht="14.1" hidden="1" customHeight="1" outlineLevel="2">
      <c r="A369" s="145"/>
      <c r="B369" s="445" t="s">
        <v>121</v>
      </c>
      <c r="C369" s="972" t="s">
        <v>0</v>
      </c>
      <c r="D369" s="325"/>
      <c r="E369" s="325"/>
      <c r="F369" s="321"/>
      <c r="G369" s="321"/>
      <c r="H369" s="321"/>
      <c r="I369" s="745"/>
      <c r="J369"/>
      <c r="K369"/>
      <c r="L369"/>
      <c r="M369"/>
      <c r="N369"/>
      <c r="O369"/>
      <c r="P369"/>
      <c r="Q369"/>
      <c r="R369"/>
      <c r="S369"/>
      <c r="T369"/>
      <c r="U369"/>
      <c r="X369"/>
      <c r="AB369"/>
      <c r="AC369"/>
      <c r="AF369" s="362">
        <f t="shared" si="35"/>
        <v>0</v>
      </c>
      <c r="AG369" s="34"/>
      <c r="AH369" s="34"/>
      <c r="AI369" s="47"/>
      <c r="AJ369" s="43"/>
      <c r="AK369" s="43"/>
      <c r="AL369" s="76"/>
    </row>
    <row r="370" spans="1:38" s="23" customFormat="1" ht="14.1" hidden="1" customHeight="1" outlineLevel="2">
      <c r="A370" s="145"/>
      <c r="B370" s="446" t="str">
        <f>AK370</f>
        <v>* drafts optional AC.PRESENTATION.06.05.14</v>
      </c>
      <c r="C370" s="971" t="str">
        <f>HYPERLINK("http://deq05/intranet/communication/docs/DEQAgencyTemplate1.potx","i")</f>
        <v>i</v>
      </c>
      <c r="D370" s="357"/>
      <c r="E370" s="357"/>
      <c r="F370" s="255">
        <f>NETWORKDAYS(G370,H370,S.DDL_DEQClosed)</f>
        <v>1</v>
      </c>
      <c r="G370" s="323">
        <f>AG370</f>
        <v>41802</v>
      </c>
      <c r="H370" s="256">
        <f>AH370</f>
        <v>41802</v>
      </c>
      <c r="I370" s="745"/>
      <c r="J370"/>
      <c r="K370"/>
      <c r="L370"/>
      <c r="M370"/>
      <c r="N370"/>
      <c r="O370"/>
      <c r="P370"/>
      <c r="Q370"/>
      <c r="R370"/>
      <c r="S370"/>
      <c r="T370"/>
      <c r="U370"/>
      <c r="X370"/>
      <c r="AB370"/>
      <c r="AC370"/>
      <c r="AF370" s="362">
        <f t="shared" si="35"/>
        <v>0</v>
      </c>
      <c r="AG370" s="60">
        <f>G367</f>
        <v>41802</v>
      </c>
      <c r="AH370" s="60">
        <f>G370</f>
        <v>41802</v>
      </c>
      <c r="AI370" s="47"/>
      <c r="AJ370" s="43"/>
      <c r="AK370" s="78" t="str">
        <f>"* drafts optional AC.PRESENTATION."&amp;TEXT($G$332,"mm.dd.yy")</f>
        <v>* drafts optional AC.PRESENTATION.06.05.14</v>
      </c>
      <c r="AL370" s="76"/>
    </row>
    <row r="371" spans="1:38" s="23" customFormat="1" ht="14.1" hidden="1" customHeight="1" outlineLevel="2">
      <c r="A371" s="145"/>
      <c r="B371" s="445" t="s">
        <v>121</v>
      </c>
      <c r="C371" s="972" t="s">
        <v>0</v>
      </c>
      <c r="D371" s="325"/>
      <c r="E371" s="325"/>
      <c r="F371" s="324"/>
      <c r="G371" s="324"/>
      <c r="H371" s="324"/>
      <c r="I371" s="745"/>
      <c r="J371"/>
      <c r="K371"/>
      <c r="L371"/>
      <c r="M371"/>
      <c r="N371"/>
      <c r="O371"/>
      <c r="P371"/>
      <c r="Q371"/>
      <c r="R371"/>
      <c r="S371"/>
      <c r="T371"/>
      <c r="U371"/>
      <c r="X371"/>
      <c r="AB371"/>
      <c r="AC371"/>
      <c r="AF371" s="362">
        <f t="shared" si="35"/>
        <v>0</v>
      </c>
      <c r="AG371" s="34"/>
      <c r="AH371" s="34"/>
      <c r="AI371" s="47"/>
      <c r="AJ371" s="43"/>
      <c r="AK371" s="43"/>
      <c r="AL371" s="76"/>
    </row>
    <row r="372" spans="1:38" s="23" customFormat="1" ht="14.1" hidden="1" customHeight="1" outlineLevel="2">
      <c r="A372" s="145"/>
      <c r="B372" s="447" t="s">
        <v>183</v>
      </c>
      <c r="C372" s="972" t="s">
        <v>0</v>
      </c>
      <c r="D372" s="283"/>
      <c r="E372" s="283"/>
      <c r="F372" s="255">
        <f>NETWORKDAYS(G372,H372,S.DDL_DEQClosed)</f>
        <v>1</v>
      </c>
      <c r="G372" s="323">
        <f t="shared" ref="G372:H376" si="36">AG372</f>
        <v>41802</v>
      </c>
      <c r="H372" s="256">
        <f t="shared" si="36"/>
        <v>41802</v>
      </c>
      <c r="I372" s="745"/>
      <c r="J372"/>
      <c r="K372"/>
      <c r="L372"/>
      <c r="M372"/>
      <c r="N372"/>
      <c r="O372"/>
      <c r="P372"/>
      <c r="Q372"/>
      <c r="R372"/>
      <c r="S372"/>
      <c r="T372"/>
      <c r="U372"/>
      <c r="X372"/>
      <c r="AB372"/>
      <c r="AC372"/>
      <c r="AF372" s="362">
        <f t="shared" si="35"/>
        <v>0</v>
      </c>
      <c r="AG372" s="60">
        <f>G370</f>
        <v>41802</v>
      </c>
      <c r="AH372" s="60">
        <f>G372</f>
        <v>41802</v>
      </c>
      <c r="AI372" s="47"/>
      <c r="AJ372" s="43"/>
      <c r="AK372" s="43"/>
      <c r="AL372" s="76"/>
    </row>
    <row r="373" spans="1:38" s="23" customFormat="1" ht="14.1" hidden="1" customHeight="1" outlineLevel="2">
      <c r="A373" s="145"/>
      <c r="B373" s="448" t="s">
        <v>216</v>
      </c>
      <c r="C373" s="972" t="s">
        <v>0</v>
      </c>
      <c r="D373" s="283"/>
      <c r="E373" s="283"/>
      <c r="F373" s="255">
        <f>NETWORKDAYS(G373,H373,S.DDL_DEQClosed)</f>
        <v>1</v>
      </c>
      <c r="G373" s="323">
        <f t="shared" si="36"/>
        <v>41802</v>
      </c>
      <c r="H373" s="256">
        <f t="shared" si="36"/>
        <v>41802</v>
      </c>
      <c r="I373" s="745"/>
      <c r="J373"/>
      <c r="K373"/>
      <c r="L373"/>
      <c r="M373"/>
      <c r="N373"/>
      <c r="O373"/>
      <c r="P373"/>
      <c r="Q373"/>
      <c r="R373"/>
      <c r="S373"/>
      <c r="T373"/>
      <c r="U373"/>
      <c r="X373"/>
      <c r="AB373"/>
      <c r="AC373"/>
      <c r="AF373" s="362">
        <f t="shared" si="35"/>
        <v>0</v>
      </c>
      <c r="AG373" s="60">
        <f>G372</f>
        <v>41802</v>
      </c>
      <c r="AH373" s="60">
        <f>G373</f>
        <v>41802</v>
      </c>
      <c r="AI373" s="47" t="s">
        <v>0</v>
      </c>
      <c r="AJ373" s="43"/>
      <c r="AK373" s="43"/>
      <c r="AL373" s="76"/>
    </row>
    <row r="374" spans="1:38" s="23" customFormat="1" ht="14.1" hidden="1" customHeight="1" outlineLevel="2">
      <c r="A374" s="145"/>
      <c r="B374" s="449" t="str">
        <f>AK374</f>
        <v>Brian submits Web Request to post materials</v>
      </c>
      <c r="C374" s="973" t="str">
        <f>HYPERLINK("http://deq05/intranet/communication/WebRequests.htm","i")</f>
        <v>i</v>
      </c>
      <c r="D374" s="283"/>
      <c r="E374" s="283"/>
      <c r="F374" s="255">
        <f>NETWORKDAYS(G374,H374,S.DDL_DEQClosed)</f>
        <v>1</v>
      </c>
      <c r="G374" s="323">
        <f t="shared" si="36"/>
        <v>41802</v>
      </c>
      <c r="H374" s="256">
        <f t="shared" si="36"/>
        <v>41802</v>
      </c>
      <c r="I374" s="745"/>
      <c r="J374"/>
      <c r="K374"/>
      <c r="L374"/>
      <c r="M374"/>
      <c r="N374"/>
      <c r="O374"/>
      <c r="P374"/>
      <c r="Q374"/>
      <c r="R374"/>
      <c r="S374"/>
      <c r="T374"/>
      <c r="U374"/>
      <c r="X374"/>
      <c r="AB374"/>
      <c r="AC374"/>
      <c r="AF374" s="362">
        <f t="shared" si="35"/>
        <v>0</v>
      </c>
      <c r="AG374" s="60">
        <f>G373</f>
        <v>41802</v>
      </c>
      <c r="AH374" s="60">
        <f>G374</f>
        <v>41802</v>
      </c>
      <c r="AI374" s="47"/>
      <c r="AJ374" s="43"/>
      <c r="AK374" s="78" t="str">
        <f>S.Staff.Subject.Expert.FirstName&amp;" submits Web Request to post materials"</f>
        <v>Brian submits Web Request to post materials</v>
      </c>
      <c r="AL374" s="76"/>
    </row>
    <row r="375" spans="1:38" s="23" customFormat="1" ht="14.1" hidden="1" customHeight="1" outlineLevel="2">
      <c r="A375" s="145"/>
      <c r="B375" s="448" t="s">
        <v>124</v>
      </c>
      <c r="C375" s="972" t="s">
        <v>0</v>
      </c>
      <c r="D375" s="283"/>
      <c r="E375" s="283"/>
      <c r="F375" s="255">
        <f>NETWORKDAYS(G375,H375,S.DDL_DEQClosed)</f>
        <v>1</v>
      </c>
      <c r="G375" s="323">
        <f t="shared" si="36"/>
        <v>41802</v>
      </c>
      <c r="H375" s="256">
        <f t="shared" si="36"/>
        <v>41802</v>
      </c>
      <c r="I375" s="745"/>
      <c r="J375"/>
      <c r="K375"/>
      <c r="L375"/>
      <c r="M375"/>
      <c r="N375"/>
      <c r="O375"/>
      <c r="P375"/>
      <c r="Q375"/>
      <c r="R375"/>
      <c r="S375"/>
      <c r="T375"/>
      <c r="U375"/>
      <c r="X375"/>
      <c r="AB375"/>
      <c r="AC375"/>
      <c r="AF375" s="362">
        <f t="shared" si="35"/>
        <v>0</v>
      </c>
      <c r="AG375" s="60">
        <f>G374</f>
        <v>41802</v>
      </c>
      <c r="AH375" s="60">
        <f>G375</f>
        <v>41802</v>
      </c>
      <c r="AI375" s="59"/>
      <c r="AJ375" s="59"/>
      <c r="AK375" s="43"/>
      <c r="AL375" s="76"/>
    </row>
    <row r="376" spans="1:38" s="23" customFormat="1" ht="14.1" hidden="1" customHeight="1" outlineLevel="2">
      <c r="A376" s="145"/>
      <c r="B376" s="343" t="str">
        <f>AK376</f>
        <v>Brian sends meeting notice with link to Web page</v>
      </c>
      <c r="C376" s="972" t="s">
        <v>0</v>
      </c>
      <c r="D376" s="283"/>
      <c r="E376" s="283"/>
      <c r="F376" s="255">
        <f>NETWORKDAYS(G376,H376,S.DDL_DEQClosed)</f>
        <v>1</v>
      </c>
      <c r="G376" s="323">
        <f t="shared" si="36"/>
        <v>41802</v>
      </c>
      <c r="H376" s="256">
        <f t="shared" si="36"/>
        <v>41802</v>
      </c>
      <c r="I376" s="745"/>
      <c r="J376"/>
      <c r="K376"/>
      <c r="L376"/>
      <c r="M376"/>
      <c r="N376"/>
      <c r="O376"/>
      <c r="P376"/>
      <c r="Q376"/>
      <c r="R376"/>
      <c r="S376"/>
      <c r="T376"/>
      <c r="U376"/>
      <c r="X376"/>
      <c r="AB376"/>
      <c r="AC376"/>
      <c r="AF376" s="362">
        <f>IF(AND(S.AC.InvolveMeeting2="Y",S.AC.CommitteeInvolved="Y"),1,0)</f>
        <v>0</v>
      </c>
      <c r="AG376" s="60">
        <f>G375</f>
        <v>41802</v>
      </c>
      <c r="AH376" s="60">
        <f>G376</f>
        <v>41802</v>
      </c>
      <c r="AI376" s="59"/>
      <c r="AJ376" s="59"/>
      <c r="AK376" s="78" t="str">
        <f>S.Staff.Subject.Expert.FirstName&amp;" sends meeting notice with link to Web page"</f>
        <v>Brian sends meeting notice with link to Web page</v>
      </c>
      <c r="AL376" s="76"/>
    </row>
    <row r="377" spans="1:38" s="23" customFormat="1" ht="14.1" hidden="1" customHeight="1" outlineLevel="2">
      <c r="A377" s="145"/>
      <c r="B377" s="419" t="s">
        <v>122</v>
      </c>
      <c r="C377" s="972" t="s">
        <v>0</v>
      </c>
      <c r="D377" s="984" t="s">
        <v>220</v>
      </c>
      <c r="E377" s="984"/>
      <c r="F377" s="984"/>
      <c r="G377" s="985"/>
      <c r="H377" s="263">
        <f>AH377</f>
        <v>41816</v>
      </c>
      <c r="I377" s="745"/>
      <c r="J377"/>
      <c r="K377"/>
      <c r="L377"/>
      <c r="M377"/>
      <c r="N377"/>
      <c r="O377"/>
      <c r="P377"/>
      <c r="Q377"/>
      <c r="R377"/>
      <c r="S377"/>
      <c r="T377"/>
      <c r="U377"/>
      <c r="X377"/>
      <c r="AB377"/>
      <c r="AC377"/>
      <c r="AF377" s="362">
        <f>IF(AND(S.AC.InvolveMeeting2="Y",S.AC.CommitteeInvolved="Y"),1,0)</f>
        <v>0</v>
      </c>
      <c r="AG377" s="59"/>
      <c r="AH377" s="60">
        <f>S.AC.DateMeeting2</f>
        <v>41816</v>
      </c>
      <c r="AI377" s="59"/>
      <c r="AJ377" s="59"/>
      <c r="AK377" s="43"/>
      <c r="AL377" s="76"/>
    </row>
    <row r="378" spans="1:38" s="23" customFormat="1" ht="14.1" hidden="1" customHeight="1" outlineLevel="2">
      <c r="A378" s="145"/>
      <c r="B378" s="343" t="str">
        <f>AK378</f>
        <v>Brian drafts AC.MINUTES 06.05.14</v>
      </c>
      <c r="C378" s="971" t="str">
        <f>HYPERLINK("\\deq000\templates\General\Minutes Template.dotx","i")</f>
        <v>i</v>
      </c>
      <c r="D378" s="357"/>
      <c r="E378" s="357"/>
      <c r="F378" s="255">
        <f>NETWORKDAYS(G378,H378,S.DDL_DEQClosed)</f>
        <v>1</v>
      </c>
      <c r="G378" s="323">
        <f>AG378</f>
        <v>41816</v>
      </c>
      <c r="H378" s="256">
        <f>AH378</f>
        <v>41816</v>
      </c>
      <c r="I378" s="745"/>
      <c r="J378"/>
      <c r="K378"/>
      <c r="L378"/>
      <c r="M378"/>
      <c r="N378"/>
      <c r="O378"/>
      <c r="P378"/>
      <c r="Q378"/>
      <c r="R378"/>
      <c r="S378"/>
      <c r="T378"/>
      <c r="U378"/>
      <c r="X378"/>
      <c r="AB378"/>
      <c r="AC378"/>
      <c r="AF378" s="362">
        <f>IF(AND(S.AC.InvolveMeeting2="Y",S.AC.CommitteeInvolved="Y"),1,0)</f>
        <v>0</v>
      </c>
      <c r="AG378" s="60">
        <f>S.AC.DateMeeting2</f>
        <v>41816</v>
      </c>
      <c r="AH378" s="60">
        <f>G378</f>
        <v>41816</v>
      </c>
      <c r="AI378" s="59"/>
      <c r="AJ378" s="59"/>
      <c r="AK378" s="67" t="str">
        <f>S.Staff.Subject.Expert.FirstName&amp;" drafts AC.MINUTES "&amp;TEXT(S.AC.DateMeeting1,"mm.dd.yy")</f>
        <v>Brian drafts AC.MINUTES 06.05.14</v>
      </c>
      <c r="AL378" s="76"/>
    </row>
    <row r="379" spans="1:38" s="23" customFormat="1" ht="14.1" hidden="1" customHeight="1" outlineLevel="2" thickBot="1">
      <c r="A379" s="145"/>
      <c r="B379" s="419" t="s">
        <v>123</v>
      </c>
      <c r="C379" s="972" t="s">
        <v>0</v>
      </c>
      <c r="D379" s="283"/>
      <c r="E379" s="283"/>
      <c r="F379" s="255">
        <f>NETWORKDAYS(G379,H379,S.DDL_DEQClosed)</f>
        <v>1</v>
      </c>
      <c r="G379" s="323">
        <f>AG379</f>
        <v>41816</v>
      </c>
      <c r="H379" s="256">
        <f>AH379</f>
        <v>41816</v>
      </c>
      <c r="I379" s="745"/>
      <c r="J379"/>
      <c r="K379"/>
      <c r="L379"/>
      <c r="M379"/>
      <c r="N379"/>
      <c r="O379"/>
      <c r="P379"/>
      <c r="Q379"/>
      <c r="R379"/>
      <c r="S379"/>
      <c r="T379"/>
      <c r="U379"/>
      <c r="X379"/>
      <c r="AB379"/>
      <c r="AC379"/>
      <c r="AF379" s="362">
        <f>IF(AND(S.AC.InvolveMeeting2="Y",S.AC.CommitteeInvolved="Y"),1,0)</f>
        <v>0</v>
      </c>
      <c r="AG379" s="60">
        <f>S.AC.DateMeeting2</f>
        <v>41816</v>
      </c>
      <c r="AH379" s="60">
        <f>G379</f>
        <v>41816</v>
      </c>
      <c r="AI379" s="59"/>
      <c r="AJ379" s="59"/>
      <c r="AK379" s="43"/>
      <c r="AL379" s="76"/>
    </row>
    <row r="380" spans="1:38" s="23" customFormat="1" ht="14.1" hidden="1" customHeight="1" outlineLevel="1" collapsed="1" thickBot="1">
      <c r="A380" s="145"/>
      <c r="B380" s="368" t="s">
        <v>22</v>
      </c>
      <c r="C380" s="539" t="s">
        <v>16</v>
      </c>
      <c r="D380" s="711"/>
      <c r="E380" s="711"/>
      <c r="F380" s="306"/>
      <c r="G380" s="252">
        <v>41850</v>
      </c>
      <c r="H380" s="254" t="s">
        <v>774</v>
      </c>
      <c r="I380" s="745"/>
      <c r="J380"/>
      <c r="K380"/>
      <c r="L380"/>
      <c r="M380"/>
      <c r="N380"/>
      <c r="O380"/>
      <c r="P380"/>
      <c r="Q380"/>
      <c r="R380"/>
      <c r="S380"/>
      <c r="T380"/>
      <c r="U380"/>
      <c r="X380"/>
      <c r="AB380"/>
      <c r="AC380"/>
      <c r="AF380" s="362">
        <f t="shared" ref="AF380:AF390" si="37">IF(AND(S.AC.InvolveMeeting3="Y",S.AC.CommitteeInvolved="Y"),1,0)</f>
        <v>0</v>
      </c>
      <c r="AG380" s="60">
        <f>S.AC.DateMeeting2</f>
        <v>41816</v>
      </c>
      <c r="AH380" s="34" t="s">
        <v>0</v>
      </c>
      <c r="AI380" s="59"/>
      <c r="AJ380" s="59"/>
      <c r="AK380" s="43"/>
      <c r="AL380" s="76"/>
    </row>
    <row r="381" spans="1:38" s="23" customFormat="1" ht="14.1" hidden="1" customHeight="1" outlineLevel="2">
      <c r="A381" s="145"/>
      <c r="B381" s="416" t="s">
        <v>119</v>
      </c>
      <c r="C381" s="970"/>
      <c r="D381" s="283"/>
      <c r="E381" s="283"/>
      <c r="F381" s="255">
        <f>NETWORKDAYS(G381,H381,S.DDL_DEQClosed)</f>
        <v>1</v>
      </c>
      <c r="G381" s="323">
        <f>AG381</f>
        <v>41836</v>
      </c>
      <c r="H381" s="256">
        <f>AH381</f>
        <v>41836</v>
      </c>
      <c r="I381" s="745"/>
      <c r="J381"/>
      <c r="K381"/>
      <c r="L381"/>
      <c r="M381"/>
      <c r="N381"/>
      <c r="O381"/>
      <c r="P381"/>
      <c r="Q381"/>
      <c r="R381"/>
      <c r="S381"/>
      <c r="T381"/>
      <c r="U381"/>
      <c r="X381"/>
      <c r="AB381"/>
      <c r="AC381"/>
      <c r="AF381" s="362">
        <f t="shared" si="37"/>
        <v>0</v>
      </c>
      <c r="AG381" s="60">
        <f>WORKDAY(S.AC.DateMeeting3-13,-1,S.DDL_DEQClosed)</f>
        <v>41836</v>
      </c>
      <c r="AH381" s="60">
        <f>G381</f>
        <v>41836</v>
      </c>
      <c r="AI381" s="47"/>
      <c r="AJ381" s="43"/>
      <c r="AK381" s="34"/>
      <c r="AL381" s="76"/>
    </row>
    <row r="382" spans="1:38" s="23" customFormat="1" ht="14.1" hidden="1" customHeight="1" outlineLevel="2">
      <c r="A382" s="145"/>
      <c r="B382" s="284" t="str">
        <f>AK382</f>
        <v>Brian coordinates or drafts:</v>
      </c>
      <c r="C382" s="970"/>
      <c r="D382" s="708"/>
      <c r="E382" s="708"/>
      <c r="F382" s="262"/>
      <c r="G382" s="258"/>
      <c r="H382" s="300"/>
      <c r="I382" s="745"/>
      <c r="J382"/>
      <c r="K382"/>
      <c r="L382"/>
      <c r="M382"/>
      <c r="N382"/>
      <c r="O382"/>
      <c r="P382"/>
      <c r="Q382"/>
      <c r="R382"/>
      <c r="S382"/>
      <c r="T382"/>
      <c r="U382"/>
      <c r="X382"/>
      <c r="AB382"/>
      <c r="AC382"/>
      <c r="AF382" s="362">
        <f t="shared" si="37"/>
        <v>0</v>
      </c>
      <c r="AG382" s="47"/>
      <c r="AH382" s="58"/>
      <c r="AI382" s="58"/>
      <c r="AJ382" s="43"/>
      <c r="AK382" s="67" t="str">
        <f>S.Staff.Subject.Expert.FirstName&amp;" coordinates or drafts:"</f>
        <v>Brian coordinates or drafts:</v>
      </c>
      <c r="AL382" s="76"/>
    </row>
    <row r="383" spans="1:38" s="23" customFormat="1" ht="14.1" hidden="1" customHeight="1" outlineLevel="2">
      <c r="A383" s="145"/>
      <c r="B383" s="316" t="str">
        <f>AK383</f>
        <v>* AC.AGENDA.06.05.14, gets team agreement</v>
      </c>
      <c r="C383" s="971" t="str">
        <f>HYPERLINK("\\deq000\templates\General\Agenda Template.dotx","i")</f>
        <v>i</v>
      </c>
      <c r="D383" s="357"/>
      <c r="E383" s="357"/>
      <c r="F383" s="255">
        <f t="shared" ref="F383:F390" si="38">NETWORKDAYS(G383,H383,S.DDL_DEQClosed)</f>
        <v>1</v>
      </c>
      <c r="G383" s="323">
        <f t="shared" ref="G383:H390" si="39">AG383</f>
        <v>41836</v>
      </c>
      <c r="H383" s="256">
        <f t="shared" si="39"/>
        <v>41836</v>
      </c>
      <c r="I383" s="745"/>
      <c r="J383"/>
      <c r="K383"/>
      <c r="L383"/>
      <c r="M383"/>
      <c r="N383"/>
      <c r="O383"/>
      <c r="P383"/>
      <c r="Q383"/>
      <c r="R383"/>
      <c r="S383"/>
      <c r="T383"/>
      <c r="U383"/>
      <c r="X383"/>
      <c r="AB383"/>
      <c r="AC383"/>
      <c r="AF383" s="362">
        <f t="shared" si="37"/>
        <v>0</v>
      </c>
      <c r="AG383" s="60">
        <f>G381</f>
        <v>41836</v>
      </c>
      <c r="AH383" s="60">
        <f t="shared" ref="AH383:AH390" si="40">G383</f>
        <v>41836</v>
      </c>
      <c r="AI383" s="59"/>
      <c r="AJ383" s="61"/>
      <c r="AK383" s="67" t="str">
        <f>"* AC.AGENDA."&amp; TEXT(S.AC.DateMeeting1,"mm.dd.yy")&amp;", gets team agreement"</f>
        <v>* AC.AGENDA.06.05.14, gets team agreement</v>
      </c>
      <c r="AL383" s="76"/>
    </row>
    <row r="384" spans="1:38" s="23" customFormat="1" ht="14.1" hidden="1" customHeight="1" outlineLevel="2">
      <c r="A384" s="145"/>
      <c r="B384" s="316" t="str">
        <f>AK384</f>
        <v>* AC.NOTIFICATION.06.05.14</v>
      </c>
      <c r="C384" s="972" t="s">
        <v>0</v>
      </c>
      <c r="D384" s="283"/>
      <c r="E384" s="283"/>
      <c r="F384" s="255">
        <f t="shared" si="38"/>
        <v>1</v>
      </c>
      <c r="G384" s="323">
        <f t="shared" si="39"/>
        <v>41836</v>
      </c>
      <c r="H384" s="256">
        <f t="shared" si="39"/>
        <v>41836</v>
      </c>
      <c r="I384" s="745"/>
      <c r="J384"/>
      <c r="K384"/>
      <c r="L384"/>
      <c r="M384"/>
      <c r="N384"/>
      <c r="O384"/>
      <c r="P384"/>
      <c r="Q384"/>
      <c r="R384"/>
      <c r="S384"/>
      <c r="T384"/>
      <c r="U384"/>
      <c r="X384"/>
      <c r="AB384"/>
      <c r="AC384"/>
      <c r="AF384" s="362">
        <f t="shared" si="37"/>
        <v>0</v>
      </c>
      <c r="AG384" s="60">
        <f t="shared" ref="AG384:AG390" si="41">G383</f>
        <v>41836</v>
      </c>
      <c r="AH384" s="60">
        <f t="shared" si="40"/>
        <v>41836</v>
      </c>
      <c r="AI384" s="59"/>
      <c r="AJ384" s="59"/>
      <c r="AK384" s="67" t="str">
        <f>"* AC.NOTIFICATION."&amp;TEXT(S.AC.DateMeeting1,"mm.dd.yy")</f>
        <v>* AC.NOTIFICATION.06.05.14</v>
      </c>
      <c r="AL384" s="76"/>
    </row>
    <row r="385" spans="1:38" s="23" customFormat="1" ht="14.1" hidden="1" customHeight="1" outlineLevel="2">
      <c r="A385" s="145"/>
      <c r="B385" s="320" t="s">
        <v>215</v>
      </c>
      <c r="C385" s="971" t="str">
        <f>HYPERLINK("http://deq05/intranet/contentmanagement/login.asp","i")</f>
        <v>i</v>
      </c>
      <c r="D385" s="709"/>
      <c r="E385" s="709"/>
      <c r="F385" s="255">
        <f t="shared" si="38"/>
        <v>1</v>
      </c>
      <c r="G385" s="323">
        <f t="shared" si="39"/>
        <v>41836</v>
      </c>
      <c r="H385" s="256">
        <f t="shared" si="39"/>
        <v>41836</v>
      </c>
      <c r="I385" s="745"/>
      <c r="J385"/>
      <c r="K385"/>
      <c r="L385"/>
      <c r="M385"/>
      <c r="N385"/>
      <c r="O385"/>
      <c r="P385"/>
      <c r="Q385"/>
      <c r="R385"/>
      <c r="S385"/>
      <c r="T385"/>
      <c r="U385"/>
      <c r="X385"/>
      <c r="AB385"/>
      <c r="AC385"/>
      <c r="AF385" s="362">
        <f t="shared" si="37"/>
        <v>0</v>
      </c>
      <c r="AG385" s="60">
        <f t="shared" si="41"/>
        <v>41836</v>
      </c>
      <c r="AH385" s="60">
        <f t="shared" si="40"/>
        <v>41836</v>
      </c>
      <c r="AI385" s="47"/>
      <c r="AJ385" s="43"/>
      <c r="AK385" s="43"/>
      <c r="AL385" s="76"/>
    </row>
    <row r="386" spans="1:38" s="23" customFormat="1" ht="14.1" hidden="1" customHeight="1" outlineLevel="2">
      <c r="A386" s="145"/>
      <c r="B386" s="298" t="s">
        <v>184</v>
      </c>
      <c r="C386" s="972" t="s">
        <v>0</v>
      </c>
      <c r="D386" s="283"/>
      <c r="E386" s="283"/>
      <c r="F386" s="255">
        <f t="shared" si="38"/>
        <v>1</v>
      </c>
      <c r="G386" s="323">
        <f t="shared" si="39"/>
        <v>41836</v>
      </c>
      <c r="H386" s="256">
        <f t="shared" si="39"/>
        <v>41836</v>
      </c>
      <c r="I386" s="745"/>
      <c r="J386"/>
      <c r="K386"/>
      <c r="L386"/>
      <c r="M386"/>
      <c r="N386"/>
      <c r="O386"/>
      <c r="P386"/>
      <c r="Q386"/>
      <c r="R386"/>
      <c r="S386"/>
      <c r="T386"/>
      <c r="U386"/>
      <c r="X386"/>
      <c r="AB386"/>
      <c r="AC386"/>
      <c r="AF386" s="362">
        <f t="shared" si="37"/>
        <v>0</v>
      </c>
      <c r="AG386" s="60">
        <f t="shared" si="41"/>
        <v>41836</v>
      </c>
      <c r="AH386" s="60">
        <f t="shared" si="40"/>
        <v>41836</v>
      </c>
      <c r="AI386" s="47"/>
      <c r="AJ386" s="43"/>
      <c r="AK386" s="43"/>
      <c r="AL386" s="76"/>
    </row>
    <row r="387" spans="1:38" s="23" customFormat="1" ht="14.1" hidden="1" customHeight="1" outlineLevel="2">
      <c r="A387" s="145"/>
      <c r="B387" s="418" t="s">
        <v>120</v>
      </c>
      <c r="C387" s="972" t="s">
        <v>0</v>
      </c>
      <c r="D387" s="283"/>
      <c r="E387" s="283"/>
      <c r="F387" s="255">
        <f t="shared" si="38"/>
        <v>1</v>
      </c>
      <c r="G387" s="323">
        <f t="shared" si="39"/>
        <v>41836</v>
      </c>
      <c r="H387" s="256">
        <f t="shared" si="39"/>
        <v>41836</v>
      </c>
      <c r="I387" s="745"/>
      <c r="J387"/>
      <c r="K387"/>
      <c r="L387"/>
      <c r="M387"/>
      <c r="N387"/>
      <c r="O387"/>
      <c r="P387"/>
      <c r="Q387"/>
      <c r="R387"/>
      <c r="S387"/>
      <c r="T387"/>
      <c r="U387"/>
      <c r="X387"/>
      <c r="AB387"/>
      <c r="AC387"/>
      <c r="AF387" s="362">
        <f t="shared" si="37"/>
        <v>0</v>
      </c>
      <c r="AG387" s="60">
        <f t="shared" si="41"/>
        <v>41836</v>
      </c>
      <c r="AH387" s="60">
        <f t="shared" si="40"/>
        <v>41836</v>
      </c>
      <c r="AI387" s="47"/>
      <c r="AJ387" s="43"/>
      <c r="AK387" s="43"/>
      <c r="AL387" s="76"/>
    </row>
    <row r="388" spans="1:38" s="23" customFormat="1" ht="14.1" hidden="1" customHeight="1" outlineLevel="2">
      <c r="A388" s="145"/>
      <c r="B388" s="418" t="s">
        <v>120</v>
      </c>
      <c r="C388" s="972" t="s">
        <v>0</v>
      </c>
      <c r="D388" s="283"/>
      <c r="E388" s="283"/>
      <c r="F388" s="255">
        <f t="shared" si="38"/>
        <v>1</v>
      </c>
      <c r="G388" s="323">
        <f t="shared" si="39"/>
        <v>41836</v>
      </c>
      <c r="H388" s="256">
        <f t="shared" si="39"/>
        <v>41836</v>
      </c>
      <c r="I388" s="745"/>
      <c r="J388"/>
      <c r="K388"/>
      <c r="L388"/>
      <c r="M388"/>
      <c r="N388"/>
      <c r="O388"/>
      <c r="P388"/>
      <c r="Q388"/>
      <c r="R388"/>
      <c r="S388"/>
      <c r="T388"/>
      <c r="U388"/>
      <c r="X388"/>
      <c r="AB388"/>
      <c r="AC388"/>
      <c r="AF388" s="362">
        <f t="shared" si="37"/>
        <v>0</v>
      </c>
      <c r="AG388" s="60">
        <f t="shared" si="41"/>
        <v>41836</v>
      </c>
      <c r="AH388" s="60">
        <f t="shared" si="40"/>
        <v>41836</v>
      </c>
      <c r="AI388" s="47"/>
      <c r="AJ388" s="43"/>
      <c r="AK388" s="43"/>
      <c r="AL388" s="76"/>
    </row>
    <row r="389" spans="1:38" s="23" customFormat="1" ht="14.1" hidden="1" customHeight="1" outlineLevel="2">
      <c r="A389" s="145"/>
      <c r="B389" s="418" t="s">
        <v>120</v>
      </c>
      <c r="C389" s="972" t="s">
        <v>0</v>
      </c>
      <c r="D389" s="283"/>
      <c r="E389" s="283"/>
      <c r="F389" s="255">
        <f t="shared" si="38"/>
        <v>1</v>
      </c>
      <c r="G389" s="323">
        <f t="shared" si="39"/>
        <v>41836</v>
      </c>
      <c r="H389" s="256">
        <f t="shared" si="39"/>
        <v>41836</v>
      </c>
      <c r="I389" s="745"/>
      <c r="J389"/>
      <c r="K389"/>
      <c r="L389"/>
      <c r="M389"/>
      <c r="N389"/>
      <c r="O389"/>
      <c r="P389"/>
      <c r="Q389"/>
      <c r="R389"/>
      <c r="S389"/>
      <c r="T389"/>
      <c r="U389"/>
      <c r="X389"/>
      <c r="AB389"/>
      <c r="AC389"/>
      <c r="AF389" s="362">
        <f t="shared" si="37"/>
        <v>0</v>
      </c>
      <c r="AG389" s="60">
        <f t="shared" si="41"/>
        <v>41836</v>
      </c>
      <c r="AH389" s="60">
        <f t="shared" si="40"/>
        <v>41836</v>
      </c>
      <c r="AI389" s="47"/>
      <c r="AJ389" s="43"/>
      <c r="AK389" s="43"/>
      <c r="AL389" s="76"/>
    </row>
    <row r="390" spans="1:38" s="23" customFormat="1" ht="14.1" hidden="1" customHeight="1" outlineLevel="2" thickBot="1">
      <c r="A390" s="145"/>
      <c r="B390" s="418" t="s">
        <v>120</v>
      </c>
      <c r="C390" s="972" t="s">
        <v>0</v>
      </c>
      <c r="D390" s="283"/>
      <c r="E390" s="283"/>
      <c r="F390" s="255">
        <f t="shared" si="38"/>
        <v>1</v>
      </c>
      <c r="G390" s="323">
        <f t="shared" si="39"/>
        <v>41836</v>
      </c>
      <c r="H390" s="256">
        <f t="shared" si="39"/>
        <v>41836</v>
      </c>
      <c r="I390" s="745"/>
      <c r="J390"/>
      <c r="K390"/>
      <c r="L390"/>
      <c r="M390"/>
      <c r="N390"/>
      <c r="O390"/>
      <c r="P390"/>
      <c r="Q390"/>
      <c r="R390"/>
      <c r="S390"/>
      <c r="T390"/>
      <c r="U390"/>
      <c r="X390"/>
      <c r="AB390"/>
      <c r="AC390"/>
      <c r="AF390" s="362">
        <f t="shared" si="37"/>
        <v>0</v>
      </c>
      <c r="AG390" s="60">
        <f t="shared" si="41"/>
        <v>41836</v>
      </c>
      <c r="AH390" s="60">
        <f t="shared" si="40"/>
        <v>41836</v>
      </c>
      <c r="AI390" s="47"/>
      <c r="AJ390" s="43"/>
      <c r="AK390" s="43"/>
      <c r="AL390" s="76"/>
    </row>
    <row r="391" spans="1:38" s="23" customFormat="1" ht="14.1" hidden="1" customHeight="1" outlineLevel="2" thickBot="1">
      <c r="A391" s="145"/>
      <c r="B391" s="444" t="s">
        <v>169</v>
      </c>
      <c r="C391" s="539" t="s">
        <v>16</v>
      </c>
      <c r="D391" s="710"/>
      <c r="E391" s="710"/>
      <c r="F391" s="324"/>
      <c r="G391" s="324"/>
      <c r="H391" s="324"/>
      <c r="I391" s="745"/>
      <c r="J391"/>
      <c r="K391"/>
      <c r="L391"/>
      <c r="M391"/>
      <c r="N391"/>
      <c r="O391"/>
      <c r="P391"/>
      <c r="Q391"/>
      <c r="R391"/>
      <c r="S391"/>
      <c r="T391"/>
      <c r="U391"/>
      <c r="X391"/>
      <c r="AB391"/>
      <c r="AC391"/>
      <c r="AF391" s="362">
        <f t="shared" ref="AF391:AF398" si="42">IF(AND(S.AC.InvolveMeeting3="Y",S.AC.CommitteeInvolved="Y",S.AC.Presentation3="Y"),1,0)</f>
        <v>0</v>
      </c>
      <c r="AG391" s="34"/>
      <c r="AH391" s="34"/>
      <c r="AI391" s="34"/>
      <c r="AJ391" s="43"/>
      <c r="AK391" s="43"/>
      <c r="AL391" s="76"/>
    </row>
    <row r="392" spans="1:38" s="23" customFormat="1" ht="14.1" hidden="1" customHeight="1" outlineLevel="2">
      <c r="A392" s="145"/>
      <c r="B392" s="445" t="s">
        <v>121</v>
      </c>
      <c r="C392" s="972" t="s">
        <v>0</v>
      </c>
      <c r="D392" s="325"/>
      <c r="E392" s="325"/>
      <c r="F392" s="321"/>
      <c r="G392" s="321"/>
      <c r="H392" s="321"/>
      <c r="I392" s="745"/>
      <c r="J392"/>
      <c r="K392"/>
      <c r="L392"/>
      <c r="M392"/>
      <c r="N392"/>
      <c r="O392"/>
      <c r="P392"/>
      <c r="Q392"/>
      <c r="R392"/>
      <c r="S392"/>
      <c r="T392"/>
      <c r="U392"/>
      <c r="X392"/>
      <c r="AB392"/>
      <c r="AC392"/>
      <c r="AF392" s="362">
        <f t="shared" si="42"/>
        <v>0</v>
      </c>
      <c r="AG392" s="34"/>
      <c r="AH392" s="34"/>
      <c r="AI392" s="47"/>
      <c r="AJ392" s="43"/>
      <c r="AK392" s="43"/>
      <c r="AL392" s="76"/>
    </row>
    <row r="393" spans="1:38" s="23" customFormat="1" ht="14.1" hidden="1" customHeight="1" outlineLevel="2">
      <c r="A393" s="145"/>
      <c r="B393" s="446" t="str">
        <f>AK393</f>
        <v>* drafts optional AC.PRESENTATION.06.05.14</v>
      </c>
      <c r="C393" s="971" t="str">
        <f>HYPERLINK("http://deq05/intranet/communication/docs/DEQAgencyTemplate1.potx","i")</f>
        <v>i</v>
      </c>
      <c r="D393" s="357"/>
      <c r="E393" s="357"/>
      <c r="F393" s="255">
        <f>NETWORKDAYS(G393,H393,S.DDL_DEQClosed)</f>
        <v>1</v>
      </c>
      <c r="G393" s="323">
        <f>AG393</f>
        <v>41836</v>
      </c>
      <c r="H393" s="256">
        <f>AH393</f>
        <v>41836</v>
      </c>
      <c r="I393" s="745"/>
      <c r="J393"/>
      <c r="K393"/>
      <c r="L393"/>
      <c r="M393"/>
      <c r="N393"/>
      <c r="O393"/>
      <c r="P393"/>
      <c r="Q393"/>
      <c r="R393"/>
      <c r="S393"/>
      <c r="T393"/>
      <c r="U393"/>
      <c r="X393"/>
      <c r="AB393"/>
      <c r="AC393"/>
      <c r="AF393" s="362">
        <f t="shared" si="42"/>
        <v>0</v>
      </c>
      <c r="AG393" s="60">
        <f>G390</f>
        <v>41836</v>
      </c>
      <c r="AH393" s="60">
        <f>G393</f>
        <v>41836</v>
      </c>
      <c r="AI393" s="47"/>
      <c r="AJ393" s="43"/>
      <c r="AK393" s="78" t="str">
        <f>"* drafts optional AC.PRESENTATION."&amp;TEXT($G$332,"mm.dd.yy")</f>
        <v>* drafts optional AC.PRESENTATION.06.05.14</v>
      </c>
      <c r="AL393" s="76"/>
    </row>
    <row r="394" spans="1:38" s="23" customFormat="1" ht="14.1" hidden="1" customHeight="1" outlineLevel="2">
      <c r="A394" s="145"/>
      <c r="B394" s="445" t="s">
        <v>121</v>
      </c>
      <c r="C394" s="972" t="s">
        <v>0</v>
      </c>
      <c r="D394" s="325"/>
      <c r="E394" s="325"/>
      <c r="F394" s="324"/>
      <c r="G394" s="324"/>
      <c r="H394" s="324"/>
      <c r="I394" s="745"/>
      <c r="J394"/>
      <c r="K394"/>
      <c r="L394"/>
      <c r="M394"/>
      <c r="N394"/>
      <c r="O394"/>
      <c r="P394"/>
      <c r="Q394"/>
      <c r="R394"/>
      <c r="S394"/>
      <c r="T394"/>
      <c r="U394"/>
      <c r="X394"/>
      <c r="AB394"/>
      <c r="AC394"/>
      <c r="AF394" s="362">
        <f t="shared" si="42"/>
        <v>0</v>
      </c>
      <c r="AG394" s="34"/>
      <c r="AH394" s="34"/>
      <c r="AI394" s="47"/>
      <c r="AJ394" s="43"/>
      <c r="AK394" s="43"/>
      <c r="AL394" s="76"/>
    </row>
    <row r="395" spans="1:38" s="23" customFormat="1" ht="14.1" hidden="1" customHeight="1" outlineLevel="2">
      <c r="A395" s="145"/>
      <c r="B395" s="447" t="s">
        <v>183</v>
      </c>
      <c r="C395" s="972" t="s">
        <v>0</v>
      </c>
      <c r="D395" s="283"/>
      <c r="E395" s="283"/>
      <c r="F395" s="255">
        <f>NETWORKDAYS(G395,H395,S.DDL_DEQClosed)</f>
        <v>1</v>
      </c>
      <c r="G395" s="323">
        <f t="shared" ref="G395:H399" si="43">AG395</f>
        <v>41836</v>
      </c>
      <c r="H395" s="256">
        <f t="shared" si="43"/>
        <v>41836</v>
      </c>
      <c r="I395" s="745"/>
      <c r="J395"/>
      <c r="K395"/>
      <c r="L395"/>
      <c r="M395"/>
      <c r="N395"/>
      <c r="O395"/>
      <c r="P395"/>
      <c r="Q395"/>
      <c r="R395"/>
      <c r="S395"/>
      <c r="T395"/>
      <c r="U395"/>
      <c r="X395"/>
      <c r="AB395"/>
      <c r="AC395"/>
      <c r="AF395" s="362">
        <f t="shared" si="42"/>
        <v>0</v>
      </c>
      <c r="AG395" s="60">
        <f>G393</f>
        <v>41836</v>
      </c>
      <c r="AH395" s="60">
        <f>G395</f>
        <v>41836</v>
      </c>
      <c r="AI395" s="47"/>
      <c r="AJ395" s="43"/>
      <c r="AK395" s="43"/>
      <c r="AL395" s="76"/>
    </row>
    <row r="396" spans="1:38" s="23" customFormat="1" ht="14.1" hidden="1" customHeight="1" outlineLevel="2">
      <c r="A396" s="145"/>
      <c r="B396" s="448" t="s">
        <v>216</v>
      </c>
      <c r="C396" s="972" t="s">
        <v>0</v>
      </c>
      <c r="D396" s="283"/>
      <c r="E396" s="283"/>
      <c r="F396" s="255">
        <f>NETWORKDAYS(G396,H396,S.DDL_DEQClosed)</f>
        <v>1</v>
      </c>
      <c r="G396" s="323">
        <f t="shared" si="43"/>
        <v>41836</v>
      </c>
      <c r="H396" s="256">
        <f t="shared" si="43"/>
        <v>41836</v>
      </c>
      <c r="I396" s="745"/>
      <c r="J396"/>
      <c r="K396"/>
      <c r="L396"/>
      <c r="M396"/>
      <c r="N396"/>
      <c r="O396"/>
      <c r="P396"/>
      <c r="Q396"/>
      <c r="R396"/>
      <c r="S396"/>
      <c r="T396"/>
      <c r="U396"/>
      <c r="X396"/>
      <c r="AB396"/>
      <c r="AC396"/>
      <c r="AF396" s="362">
        <f t="shared" si="42"/>
        <v>0</v>
      </c>
      <c r="AG396" s="60">
        <f>G395</f>
        <v>41836</v>
      </c>
      <c r="AH396" s="60">
        <f>G396</f>
        <v>41836</v>
      </c>
      <c r="AI396" s="47" t="s">
        <v>0</v>
      </c>
      <c r="AJ396" s="43"/>
      <c r="AK396" s="43"/>
      <c r="AL396" s="76"/>
    </row>
    <row r="397" spans="1:38" s="23" customFormat="1" ht="14.1" hidden="1" customHeight="1" outlineLevel="2">
      <c r="A397" s="145"/>
      <c r="B397" s="449" t="str">
        <f>AK397</f>
        <v>Brian submits Web Request to post materials</v>
      </c>
      <c r="C397" s="973" t="str">
        <f>HYPERLINK("http://deq05/intranet/communication/WebRequests.htm","i")</f>
        <v>i</v>
      </c>
      <c r="D397" s="283"/>
      <c r="E397" s="283"/>
      <c r="F397" s="255">
        <f>NETWORKDAYS(G397,H397,S.DDL_DEQClosed)</f>
        <v>1</v>
      </c>
      <c r="G397" s="323">
        <f t="shared" si="43"/>
        <v>41836</v>
      </c>
      <c r="H397" s="256">
        <f t="shared" si="43"/>
        <v>41836</v>
      </c>
      <c r="I397" s="745"/>
      <c r="J397"/>
      <c r="K397"/>
      <c r="L397"/>
      <c r="M397"/>
      <c r="N397"/>
      <c r="O397"/>
      <c r="P397"/>
      <c r="Q397"/>
      <c r="R397"/>
      <c r="S397"/>
      <c r="T397"/>
      <c r="U397"/>
      <c r="X397"/>
      <c r="AB397"/>
      <c r="AC397"/>
      <c r="AF397" s="362">
        <f t="shared" si="42"/>
        <v>0</v>
      </c>
      <c r="AG397" s="60">
        <f>G396</f>
        <v>41836</v>
      </c>
      <c r="AH397" s="60">
        <f>G397</f>
        <v>41836</v>
      </c>
      <c r="AI397" s="47"/>
      <c r="AJ397" s="43"/>
      <c r="AK397" s="78" t="str">
        <f>S.Staff.Subject.Expert.FirstName&amp;" submits Web Request to post materials"</f>
        <v>Brian submits Web Request to post materials</v>
      </c>
      <c r="AL397" s="76"/>
    </row>
    <row r="398" spans="1:38" s="23" customFormat="1" ht="14.1" hidden="1" customHeight="1" outlineLevel="2">
      <c r="A398" s="145"/>
      <c r="B398" s="448" t="s">
        <v>124</v>
      </c>
      <c r="C398" s="972" t="s">
        <v>0</v>
      </c>
      <c r="D398" s="283"/>
      <c r="E398" s="283"/>
      <c r="F398" s="255">
        <f>NETWORKDAYS(G398,H398,S.DDL_DEQClosed)</f>
        <v>1</v>
      </c>
      <c r="G398" s="323">
        <f t="shared" si="43"/>
        <v>41836</v>
      </c>
      <c r="H398" s="256">
        <f t="shared" si="43"/>
        <v>41836</v>
      </c>
      <c r="I398" s="745"/>
      <c r="J398"/>
      <c r="K398"/>
      <c r="L398"/>
      <c r="M398"/>
      <c r="N398"/>
      <c r="O398"/>
      <c r="P398"/>
      <c r="Q398"/>
      <c r="R398"/>
      <c r="S398"/>
      <c r="T398"/>
      <c r="U398"/>
      <c r="X398"/>
      <c r="AB398"/>
      <c r="AC398"/>
      <c r="AF398" s="362">
        <f t="shared" si="42"/>
        <v>0</v>
      </c>
      <c r="AG398" s="60">
        <f>G397</f>
        <v>41836</v>
      </c>
      <c r="AH398" s="60">
        <f>G398</f>
        <v>41836</v>
      </c>
      <c r="AI398" s="59"/>
      <c r="AJ398" s="59"/>
      <c r="AK398" s="43"/>
      <c r="AL398" s="76"/>
    </row>
    <row r="399" spans="1:38" s="23" customFormat="1" ht="14.1" hidden="1" customHeight="1" outlineLevel="2">
      <c r="A399" s="145"/>
      <c r="B399" s="343" t="str">
        <f>AK399</f>
        <v>Brian sends meeting notice with link to Web page</v>
      </c>
      <c r="C399" s="972" t="s">
        <v>0</v>
      </c>
      <c r="D399" s="283"/>
      <c r="E399" s="283"/>
      <c r="F399" s="255">
        <f>NETWORKDAYS(G399,H399,S.DDL_DEQClosed)</f>
        <v>1</v>
      </c>
      <c r="G399" s="323">
        <f t="shared" si="43"/>
        <v>41836</v>
      </c>
      <c r="H399" s="256">
        <f t="shared" si="43"/>
        <v>41836</v>
      </c>
      <c r="I399" s="745"/>
      <c r="J399"/>
      <c r="K399"/>
      <c r="L399"/>
      <c r="M399"/>
      <c r="N399"/>
      <c r="O399"/>
      <c r="P399"/>
      <c r="Q399"/>
      <c r="R399"/>
      <c r="S399"/>
      <c r="T399"/>
      <c r="U399"/>
      <c r="X399"/>
      <c r="AB399"/>
      <c r="AC399"/>
      <c r="AF399" s="362">
        <f>IF(AND(S.AC.InvolveMeeting3="Y",S.AC.CommitteeInvolved="Y"),1,0)</f>
        <v>0</v>
      </c>
      <c r="AG399" s="60">
        <f>G398</f>
        <v>41836</v>
      </c>
      <c r="AH399" s="60">
        <f>G399</f>
        <v>41836</v>
      </c>
      <c r="AI399" s="59"/>
      <c r="AJ399" s="59"/>
      <c r="AK399" s="78" t="str">
        <f>S.Staff.Subject.Expert.FirstName&amp;" sends meeting notice with link to Web page"</f>
        <v>Brian sends meeting notice with link to Web page</v>
      </c>
      <c r="AL399" s="76"/>
    </row>
    <row r="400" spans="1:38" s="23" customFormat="1" ht="14.1" hidden="1" customHeight="1" outlineLevel="2">
      <c r="A400" s="145"/>
      <c r="B400" s="419" t="s">
        <v>122</v>
      </c>
      <c r="C400" s="972" t="s">
        <v>0</v>
      </c>
      <c r="D400" s="984" t="s">
        <v>219</v>
      </c>
      <c r="E400" s="984"/>
      <c r="F400" s="984"/>
      <c r="G400" s="985"/>
      <c r="H400" s="263">
        <f>AH400</f>
        <v>41850</v>
      </c>
      <c r="I400" s="745"/>
      <c r="J400"/>
      <c r="K400"/>
      <c r="L400"/>
      <c r="M400"/>
      <c r="N400"/>
      <c r="O400"/>
      <c r="P400"/>
      <c r="Q400"/>
      <c r="R400"/>
      <c r="S400"/>
      <c r="T400"/>
      <c r="U400"/>
      <c r="X400"/>
      <c r="AB400"/>
      <c r="AC400"/>
      <c r="AF400" s="362">
        <f>IF(AND(S.AC.InvolveMeeting3="Y",S.AC.CommitteeInvolved="Y"),1,0)</f>
        <v>0</v>
      </c>
      <c r="AG400" s="59"/>
      <c r="AH400" s="60">
        <f>S.AC.DateMeeting3</f>
        <v>41850</v>
      </c>
      <c r="AI400" s="59"/>
      <c r="AJ400" s="59"/>
      <c r="AK400" s="43"/>
      <c r="AL400" s="76"/>
    </row>
    <row r="401" spans="1:38" s="23" customFormat="1" ht="14.1" hidden="1" customHeight="1" outlineLevel="2">
      <c r="A401" s="145"/>
      <c r="B401" s="343" t="str">
        <f>AK401</f>
        <v>Brian drafts AC.MINUTES06.05.14</v>
      </c>
      <c r="C401" s="971" t="str">
        <f>HYPERLINK("\\deq000\templates\General\Minutes Template.dotx","i")</f>
        <v>i</v>
      </c>
      <c r="D401" s="357"/>
      <c r="E401" s="357"/>
      <c r="F401" s="255">
        <f>NETWORKDAYS(G401,H401,S.DDL_DEQClosed)</f>
        <v>1</v>
      </c>
      <c r="G401" s="323">
        <f>S.AC.DateMeeting1</f>
        <v>41795</v>
      </c>
      <c r="H401" s="256">
        <f>AH401</f>
        <v>41795</v>
      </c>
      <c r="I401" s="745"/>
      <c r="J401"/>
      <c r="K401"/>
      <c r="L401"/>
      <c r="M401"/>
      <c r="N401"/>
      <c r="O401"/>
      <c r="P401"/>
      <c r="Q401"/>
      <c r="R401"/>
      <c r="S401"/>
      <c r="T401"/>
      <c r="U401"/>
      <c r="X401"/>
      <c r="AB401"/>
      <c r="AC401"/>
      <c r="AF401" s="362">
        <f>IF(AND(S.AC.InvolveMeeting3="Y",S.AC.CommitteeInvolved="Y"),1,0)</f>
        <v>0</v>
      </c>
      <c r="AG401" s="60">
        <f>S.AC.DateMeeting3</f>
        <v>41850</v>
      </c>
      <c r="AH401" s="60">
        <f>G401</f>
        <v>41795</v>
      </c>
      <c r="AI401" s="59"/>
      <c r="AJ401" s="59"/>
      <c r="AK401" s="67" t="str">
        <f>S.Staff.Subject.Expert.FirstName&amp;" drafts AC.MINUTES"&amp;TEXT(S.AC.DateMeeting1,"mm.dd.yy")</f>
        <v>Brian drafts AC.MINUTES06.05.14</v>
      </c>
      <c r="AL401" s="76"/>
    </row>
    <row r="402" spans="1:38" s="23" customFormat="1" ht="14.1" hidden="1" customHeight="1" outlineLevel="2" thickBot="1">
      <c r="A402" s="145"/>
      <c r="B402" s="419" t="s">
        <v>123</v>
      </c>
      <c r="C402" s="972" t="s">
        <v>0</v>
      </c>
      <c r="D402" s="283"/>
      <c r="E402" s="283"/>
      <c r="F402" s="255">
        <f>NETWORKDAYS(G402,H402,S.DDL_DEQClosed)</f>
        <v>1</v>
      </c>
      <c r="G402" s="323">
        <f>S.AC.DateMeeting1</f>
        <v>41795</v>
      </c>
      <c r="H402" s="256">
        <f>AH402</f>
        <v>41795</v>
      </c>
      <c r="I402" s="745"/>
      <c r="J402"/>
      <c r="K402"/>
      <c r="L402"/>
      <c r="M402"/>
      <c r="N402"/>
      <c r="O402"/>
      <c r="P402"/>
      <c r="Q402"/>
      <c r="R402"/>
      <c r="S402"/>
      <c r="T402"/>
      <c r="U402"/>
      <c r="X402"/>
      <c r="AB402"/>
      <c r="AC402"/>
      <c r="AF402" s="362">
        <f>IF(AND(S.AC.InvolveMeeting3="Y",S.AC.CommitteeInvolved="Y"),1,0)</f>
        <v>0</v>
      </c>
      <c r="AG402" s="60">
        <f>S.AC.DateMeeting3</f>
        <v>41850</v>
      </c>
      <c r="AH402" s="60">
        <f>G402</f>
        <v>41795</v>
      </c>
      <c r="AI402" s="59"/>
      <c r="AJ402" s="59"/>
      <c r="AK402" s="43"/>
      <c r="AL402" s="76"/>
    </row>
    <row r="403" spans="1:38" s="23" customFormat="1" ht="14.1" hidden="1" customHeight="1" outlineLevel="1" collapsed="1" thickBot="1">
      <c r="A403" s="145"/>
      <c r="B403" s="368" t="s">
        <v>30</v>
      </c>
      <c r="C403" s="539" t="s">
        <v>206</v>
      </c>
      <c r="D403" s="711"/>
      <c r="E403" s="711"/>
      <c r="F403" s="306"/>
      <c r="G403" s="252">
        <f>AG403</f>
        <v>41850</v>
      </c>
      <c r="H403" s="366" t="s">
        <v>50</v>
      </c>
      <c r="I403" s="745"/>
      <c r="J403"/>
      <c r="K403"/>
      <c r="L403"/>
      <c r="M403"/>
      <c r="N403"/>
      <c r="O403"/>
      <c r="P403"/>
      <c r="Q403"/>
      <c r="R403"/>
      <c r="S403"/>
      <c r="T403"/>
      <c r="U403"/>
      <c r="X403"/>
      <c r="AB403"/>
      <c r="AC403"/>
      <c r="AF403" s="362">
        <f t="shared" ref="AF403:AF413" si="44">IF(AND(S.AC.InvolveMeeting4="Y",S.AC.CommitteeInvolved="Y"),1,0)</f>
        <v>0</v>
      </c>
      <c r="AG403" s="60">
        <f>S.AC.DateMeeting3</f>
        <v>41850</v>
      </c>
      <c r="AH403" s="34" t="s">
        <v>0</v>
      </c>
      <c r="AI403" s="34"/>
      <c r="AJ403" s="43"/>
      <c r="AK403" s="43"/>
      <c r="AL403" s="76"/>
    </row>
    <row r="404" spans="1:38" s="23" customFormat="1" ht="14.1" hidden="1" customHeight="1" outlineLevel="2">
      <c r="A404" s="145"/>
      <c r="B404" s="416" t="s">
        <v>119</v>
      </c>
      <c r="C404" s="258"/>
      <c r="D404" s="283"/>
      <c r="E404" s="283"/>
      <c r="F404" s="255">
        <f>NETWORKDAYS(G404,H404,S.DDL_DEQClosed)</f>
        <v>1</v>
      </c>
      <c r="G404" s="323">
        <f>AG404</f>
        <v>41836</v>
      </c>
      <c r="H404" s="256">
        <f>AH404</f>
        <v>41836</v>
      </c>
      <c r="I404" s="745"/>
      <c r="J404"/>
      <c r="K404"/>
      <c r="L404"/>
      <c r="M404"/>
      <c r="N404"/>
      <c r="O404"/>
      <c r="P404"/>
      <c r="Q404"/>
      <c r="R404"/>
      <c r="S404"/>
      <c r="T404"/>
      <c r="U404"/>
      <c r="X404"/>
      <c r="AB404"/>
      <c r="AC404"/>
      <c r="AF404" s="362">
        <f t="shared" si="44"/>
        <v>0</v>
      </c>
      <c r="AG404" s="60">
        <f>WORKDAY(S.AC.DateMeeting4-13,-1,S.DDL_DEQClosed)</f>
        <v>41836</v>
      </c>
      <c r="AH404" s="60">
        <f>G404</f>
        <v>41836</v>
      </c>
      <c r="AI404" s="47"/>
      <c r="AJ404" s="43"/>
      <c r="AK404" s="34"/>
      <c r="AL404" s="76"/>
    </row>
    <row r="405" spans="1:38" s="23" customFormat="1" ht="14.1" hidden="1" customHeight="1" outlineLevel="2">
      <c r="A405" s="145"/>
      <c r="B405" s="284" t="str">
        <f>AK405</f>
        <v>Brian coordinates or drafts:</v>
      </c>
      <c r="C405" s="258"/>
      <c r="D405" s="708"/>
      <c r="E405" s="708"/>
      <c r="F405" s="262"/>
      <c r="G405" s="258"/>
      <c r="H405" s="300"/>
      <c r="I405" s="745"/>
      <c r="J405"/>
      <c r="K405"/>
      <c r="L405"/>
      <c r="M405"/>
      <c r="N405"/>
      <c r="O405"/>
      <c r="P405"/>
      <c r="Q405"/>
      <c r="R405"/>
      <c r="S405"/>
      <c r="T405"/>
      <c r="U405"/>
      <c r="X405"/>
      <c r="AB405"/>
      <c r="AC405"/>
      <c r="AF405" s="362">
        <f t="shared" si="44"/>
        <v>0</v>
      </c>
      <c r="AG405" s="47"/>
      <c r="AH405" s="58"/>
      <c r="AI405" s="58"/>
      <c r="AJ405" s="43"/>
      <c r="AK405" s="67" t="str">
        <f>S.Staff.Subject.Expert.FirstName&amp;" coordinates or drafts:"</f>
        <v>Brian coordinates or drafts:</v>
      </c>
      <c r="AL405" s="76"/>
    </row>
    <row r="406" spans="1:38" s="23" customFormat="1" ht="14.1" hidden="1" customHeight="1" outlineLevel="2">
      <c r="A406" s="145"/>
      <c r="B406" s="316" t="str">
        <f>AK406</f>
        <v>* AC.AGENDA.06.05.14, gets team agreement</v>
      </c>
      <c r="C406" s="510" t="str">
        <f>HYPERLINK("\\deq000\templates\General\Agenda Template.dotx","i")</f>
        <v>i</v>
      </c>
      <c r="D406" s="357"/>
      <c r="E406" s="357"/>
      <c r="F406" s="255">
        <f t="shared" ref="F406:F413" si="45">NETWORKDAYS(G406,H406,S.DDL_DEQClosed)</f>
        <v>1</v>
      </c>
      <c r="G406" s="323">
        <f t="shared" ref="G406:H413" si="46">AG406</f>
        <v>41836</v>
      </c>
      <c r="H406" s="256">
        <f t="shared" si="46"/>
        <v>41836</v>
      </c>
      <c r="I406" s="745"/>
      <c r="J406"/>
      <c r="K406"/>
      <c r="L406"/>
      <c r="M406"/>
      <c r="N406"/>
      <c r="O406"/>
      <c r="P406"/>
      <c r="Q406"/>
      <c r="R406"/>
      <c r="S406"/>
      <c r="T406"/>
      <c r="U406"/>
      <c r="X406"/>
      <c r="AB406"/>
      <c r="AC406"/>
      <c r="AF406" s="362">
        <f t="shared" si="44"/>
        <v>0</v>
      </c>
      <c r="AG406" s="60">
        <f>G404</f>
        <v>41836</v>
      </c>
      <c r="AH406" s="60">
        <f t="shared" ref="AH406:AH413" si="47">G406</f>
        <v>41836</v>
      </c>
      <c r="AI406" s="59"/>
      <c r="AJ406" s="61"/>
      <c r="AK406" s="67" t="str">
        <f>"* AC.AGENDA."&amp; TEXT(S.AC.DateMeeting1,"mm.dd.yy")&amp;", gets team agreement"</f>
        <v>* AC.AGENDA.06.05.14, gets team agreement</v>
      </c>
      <c r="AL406" s="76"/>
    </row>
    <row r="407" spans="1:38" s="23" customFormat="1" ht="14.1" hidden="1" customHeight="1" outlineLevel="2">
      <c r="A407" s="145"/>
      <c r="B407" s="316" t="str">
        <f>AK407</f>
        <v>* AC.NOTIFICATION.06.05.14</v>
      </c>
      <c r="C407" s="268" t="s">
        <v>0</v>
      </c>
      <c r="D407" s="283"/>
      <c r="E407" s="283"/>
      <c r="F407" s="255">
        <f t="shared" si="45"/>
        <v>1</v>
      </c>
      <c r="G407" s="323">
        <f t="shared" si="46"/>
        <v>41836</v>
      </c>
      <c r="H407" s="256">
        <f t="shared" si="46"/>
        <v>41836</v>
      </c>
      <c r="I407" s="745"/>
      <c r="J407"/>
      <c r="K407"/>
      <c r="L407"/>
      <c r="M407"/>
      <c r="N407"/>
      <c r="O407"/>
      <c r="P407"/>
      <c r="Q407"/>
      <c r="R407"/>
      <c r="S407"/>
      <c r="T407"/>
      <c r="U407"/>
      <c r="X407"/>
      <c r="AB407"/>
      <c r="AC407"/>
      <c r="AF407" s="362">
        <f t="shared" si="44"/>
        <v>0</v>
      </c>
      <c r="AG407" s="60">
        <f t="shared" ref="AG407:AG413" si="48">G406</f>
        <v>41836</v>
      </c>
      <c r="AH407" s="60">
        <f t="shared" si="47"/>
        <v>41836</v>
      </c>
      <c r="AI407" s="59"/>
      <c r="AJ407" s="59"/>
      <c r="AK407" s="67" t="str">
        <f>"* AC.NOTIFICATION."&amp;TEXT(S.AC.DateMeeting1,"mm.dd.yy")</f>
        <v>* AC.NOTIFICATION.06.05.14</v>
      </c>
      <c r="AL407" s="76"/>
    </row>
    <row r="408" spans="1:38" s="23" customFormat="1" ht="14.1" hidden="1" customHeight="1" outlineLevel="2">
      <c r="A408" s="145"/>
      <c r="B408" s="320" t="s">
        <v>215</v>
      </c>
      <c r="C408" s="510" t="str">
        <f>HYPERLINK("http://deq05/intranet/contentmanagement/login.asp","i")</f>
        <v>i</v>
      </c>
      <c r="D408" s="709"/>
      <c r="E408" s="709"/>
      <c r="F408" s="255">
        <f t="shared" si="45"/>
        <v>1</v>
      </c>
      <c r="G408" s="323">
        <f t="shared" si="46"/>
        <v>41836</v>
      </c>
      <c r="H408" s="256">
        <f t="shared" si="46"/>
        <v>41836</v>
      </c>
      <c r="I408" s="745"/>
      <c r="J408"/>
      <c r="K408"/>
      <c r="L408"/>
      <c r="M408"/>
      <c r="N408"/>
      <c r="O408"/>
      <c r="P408"/>
      <c r="Q408"/>
      <c r="R408"/>
      <c r="S408"/>
      <c r="T408"/>
      <c r="U408"/>
      <c r="X408"/>
      <c r="AB408"/>
      <c r="AC408"/>
      <c r="AF408" s="362">
        <f t="shared" si="44"/>
        <v>0</v>
      </c>
      <c r="AG408" s="60">
        <f t="shared" si="48"/>
        <v>41836</v>
      </c>
      <c r="AH408" s="60">
        <f t="shared" si="47"/>
        <v>41836</v>
      </c>
      <c r="AI408" s="47"/>
      <c r="AJ408" s="43"/>
      <c r="AK408" s="43"/>
      <c r="AL408" s="76"/>
    </row>
    <row r="409" spans="1:38" s="23" customFormat="1" ht="14.1" hidden="1" customHeight="1" outlineLevel="2">
      <c r="A409" s="145"/>
      <c r="B409" s="298" t="s">
        <v>184</v>
      </c>
      <c r="C409" s="268" t="s">
        <v>0</v>
      </c>
      <c r="D409" s="283"/>
      <c r="E409" s="283"/>
      <c r="F409" s="255">
        <f t="shared" si="45"/>
        <v>1</v>
      </c>
      <c r="G409" s="323">
        <f t="shared" si="46"/>
        <v>41836</v>
      </c>
      <c r="H409" s="256">
        <f t="shared" si="46"/>
        <v>41836</v>
      </c>
      <c r="I409" s="745"/>
      <c r="J409"/>
      <c r="K409"/>
      <c r="L409"/>
      <c r="M409"/>
      <c r="N409"/>
      <c r="O409"/>
      <c r="P409"/>
      <c r="Q409"/>
      <c r="R409"/>
      <c r="S409"/>
      <c r="T409"/>
      <c r="U409"/>
      <c r="X409"/>
      <c r="AB409"/>
      <c r="AC409"/>
      <c r="AF409" s="362">
        <f t="shared" si="44"/>
        <v>0</v>
      </c>
      <c r="AG409" s="60">
        <f t="shared" si="48"/>
        <v>41836</v>
      </c>
      <c r="AH409" s="60">
        <f t="shared" si="47"/>
        <v>41836</v>
      </c>
      <c r="AI409" s="47"/>
      <c r="AJ409" s="43"/>
      <c r="AK409" s="43"/>
      <c r="AL409" s="76"/>
    </row>
    <row r="410" spans="1:38" s="23" customFormat="1" ht="14.1" hidden="1" customHeight="1" outlineLevel="2">
      <c r="A410" s="145"/>
      <c r="B410" s="418" t="s">
        <v>120</v>
      </c>
      <c r="C410" s="268" t="s">
        <v>0</v>
      </c>
      <c r="D410" s="283"/>
      <c r="E410" s="283"/>
      <c r="F410" s="255">
        <f t="shared" si="45"/>
        <v>1</v>
      </c>
      <c r="G410" s="323">
        <f t="shared" si="46"/>
        <v>41836</v>
      </c>
      <c r="H410" s="256">
        <f t="shared" si="46"/>
        <v>41836</v>
      </c>
      <c r="I410" s="745"/>
      <c r="J410"/>
      <c r="K410"/>
      <c r="L410"/>
      <c r="M410"/>
      <c r="N410"/>
      <c r="O410"/>
      <c r="P410"/>
      <c r="Q410"/>
      <c r="R410"/>
      <c r="S410"/>
      <c r="T410"/>
      <c r="U410"/>
      <c r="X410"/>
      <c r="AB410"/>
      <c r="AC410"/>
      <c r="AF410" s="362">
        <f t="shared" si="44"/>
        <v>0</v>
      </c>
      <c r="AG410" s="60">
        <f t="shared" si="48"/>
        <v>41836</v>
      </c>
      <c r="AH410" s="60">
        <f t="shared" si="47"/>
        <v>41836</v>
      </c>
      <c r="AI410" s="47"/>
      <c r="AJ410" s="43"/>
      <c r="AK410" s="43"/>
      <c r="AL410" s="76"/>
    </row>
    <row r="411" spans="1:38" s="23" customFormat="1" ht="14.1" hidden="1" customHeight="1" outlineLevel="2">
      <c r="A411" s="145"/>
      <c r="B411" s="418" t="s">
        <v>120</v>
      </c>
      <c r="C411" s="268" t="s">
        <v>0</v>
      </c>
      <c r="D411" s="283"/>
      <c r="E411" s="283"/>
      <c r="F411" s="255">
        <f t="shared" si="45"/>
        <v>1</v>
      </c>
      <c r="G411" s="323">
        <f t="shared" si="46"/>
        <v>41836</v>
      </c>
      <c r="H411" s="256">
        <f t="shared" si="46"/>
        <v>41836</v>
      </c>
      <c r="I411" s="745"/>
      <c r="J411"/>
      <c r="K411"/>
      <c r="L411"/>
      <c r="M411"/>
      <c r="N411"/>
      <c r="O411"/>
      <c r="P411"/>
      <c r="Q411"/>
      <c r="R411"/>
      <c r="S411"/>
      <c r="T411"/>
      <c r="U411"/>
      <c r="X411"/>
      <c r="AB411"/>
      <c r="AC411"/>
      <c r="AF411" s="362">
        <f t="shared" si="44"/>
        <v>0</v>
      </c>
      <c r="AG411" s="60">
        <f t="shared" si="48"/>
        <v>41836</v>
      </c>
      <c r="AH411" s="60">
        <f t="shared" si="47"/>
        <v>41836</v>
      </c>
      <c r="AI411" s="47"/>
      <c r="AJ411" s="43"/>
      <c r="AK411" s="43"/>
      <c r="AL411" s="76"/>
    </row>
    <row r="412" spans="1:38" s="23" customFormat="1" ht="14.1" hidden="1" customHeight="1" outlineLevel="2">
      <c r="A412" s="145"/>
      <c r="B412" s="418" t="s">
        <v>120</v>
      </c>
      <c r="C412" s="268" t="s">
        <v>0</v>
      </c>
      <c r="D412" s="283"/>
      <c r="E412" s="283"/>
      <c r="F412" s="255">
        <f t="shared" si="45"/>
        <v>1</v>
      </c>
      <c r="G412" s="323">
        <f t="shared" si="46"/>
        <v>41836</v>
      </c>
      <c r="H412" s="256">
        <f t="shared" si="46"/>
        <v>41836</v>
      </c>
      <c r="I412" s="745"/>
      <c r="J412"/>
      <c r="K412"/>
      <c r="L412"/>
      <c r="M412"/>
      <c r="N412"/>
      <c r="O412"/>
      <c r="P412"/>
      <c r="Q412"/>
      <c r="R412"/>
      <c r="S412"/>
      <c r="T412"/>
      <c r="U412"/>
      <c r="X412"/>
      <c r="AB412"/>
      <c r="AC412"/>
      <c r="AF412" s="362">
        <f t="shared" si="44"/>
        <v>0</v>
      </c>
      <c r="AG412" s="60">
        <f t="shared" si="48"/>
        <v>41836</v>
      </c>
      <c r="AH412" s="60">
        <f t="shared" si="47"/>
        <v>41836</v>
      </c>
      <c r="AI412" s="47"/>
      <c r="AJ412" s="43"/>
      <c r="AK412" s="43"/>
      <c r="AL412" s="76"/>
    </row>
    <row r="413" spans="1:38" s="23" customFormat="1" ht="14.1" hidden="1" customHeight="1" outlineLevel="2" thickBot="1">
      <c r="A413" s="145"/>
      <c r="B413" s="418" t="s">
        <v>120</v>
      </c>
      <c r="C413" s="268" t="s">
        <v>0</v>
      </c>
      <c r="D413" s="283"/>
      <c r="E413" s="283"/>
      <c r="F413" s="255">
        <f t="shared" si="45"/>
        <v>1</v>
      </c>
      <c r="G413" s="323">
        <f t="shared" si="46"/>
        <v>41836</v>
      </c>
      <c r="H413" s="256">
        <f t="shared" si="46"/>
        <v>41836</v>
      </c>
      <c r="I413" s="745"/>
      <c r="J413"/>
      <c r="K413"/>
      <c r="L413"/>
      <c r="M413"/>
      <c r="N413"/>
      <c r="O413"/>
      <c r="P413"/>
      <c r="Q413"/>
      <c r="R413"/>
      <c r="S413"/>
      <c r="T413"/>
      <c r="U413"/>
      <c r="X413"/>
      <c r="AB413"/>
      <c r="AC413"/>
      <c r="AF413" s="362">
        <f t="shared" si="44"/>
        <v>0</v>
      </c>
      <c r="AG413" s="60">
        <f t="shared" si="48"/>
        <v>41836</v>
      </c>
      <c r="AH413" s="60">
        <f t="shared" si="47"/>
        <v>41836</v>
      </c>
      <c r="AI413" s="47"/>
      <c r="AJ413" s="43"/>
      <c r="AK413" s="43"/>
      <c r="AL413" s="76"/>
    </row>
    <row r="414" spans="1:38" s="23" customFormat="1" ht="14.1" hidden="1" customHeight="1" outlineLevel="2" thickBot="1">
      <c r="A414" s="145"/>
      <c r="B414" s="444" t="s">
        <v>169</v>
      </c>
      <c r="C414" s="539" t="s">
        <v>16</v>
      </c>
      <c r="D414" s="710"/>
      <c r="E414" s="710"/>
      <c r="F414" s="324"/>
      <c r="G414" s="324"/>
      <c r="H414" s="324"/>
      <c r="I414" s="745"/>
      <c r="J414"/>
      <c r="K414"/>
      <c r="L414"/>
      <c r="M414"/>
      <c r="N414"/>
      <c r="O414"/>
      <c r="P414"/>
      <c r="Q414"/>
      <c r="R414"/>
      <c r="S414"/>
      <c r="T414"/>
      <c r="U414"/>
      <c r="X414"/>
      <c r="AB414"/>
      <c r="AC414"/>
      <c r="AF414" s="362">
        <f t="shared" ref="AF414:AF421" si="49">IF(AND(S.AC.InvolveMeeting4="Y",S.AC.CommitteeInvolved="Y",S.AC.Presentation4="Y"),1,0)</f>
        <v>0</v>
      </c>
      <c r="AG414" s="34"/>
      <c r="AH414" s="34"/>
      <c r="AI414" s="34"/>
      <c r="AJ414" s="43"/>
      <c r="AK414" s="43"/>
      <c r="AL414" s="76"/>
    </row>
    <row r="415" spans="1:38" s="23" customFormat="1" ht="14.1" hidden="1" customHeight="1" outlineLevel="2">
      <c r="A415" s="145"/>
      <c r="B415" s="445" t="s">
        <v>121</v>
      </c>
      <c r="C415" s="268" t="s">
        <v>0</v>
      </c>
      <c r="D415" s="325"/>
      <c r="E415" s="325"/>
      <c r="F415" s="321"/>
      <c r="G415" s="321"/>
      <c r="H415" s="321"/>
      <c r="I415" s="745"/>
      <c r="J415"/>
      <c r="K415"/>
      <c r="L415"/>
      <c r="M415"/>
      <c r="N415"/>
      <c r="O415"/>
      <c r="P415"/>
      <c r="Q415"/>
      <c r="R415"/>
      <c r="S415"/>
      <c r="T415"/>
      <c r="U415"/>
      <c r="X415"/>
      <c r="AB415"/>
      <c r="AC415"/>
      <c r="AF415" s="362">
        <f t="shared" si="49"/>
        <v>0</v>
      </c>
      <c r="AG415" s="34"/>
      <c r="AH415" s="34"/>
      <c r="AI415" s="47"/>
      <c r="AJ415" s="43"/>
      <c r="AK415" s="43"/>
      <c r="AL415" s="76"/>
    </row>
    <row r="416" spans="1:38" s="23" customFormat="1" ht="14.1" hidden="1" customHeight="1" outlineLevel="2">
      <c r="A416" s="145"/>
      <c r="B416" s="446" t="str">
        <f>AK416</f>
        <v>* drafts optional AC.PRESENTATION.06.05.14</v>
      </c>
      <c r="C416" s="510" t="str">
        <f>HYPERLINK("http://deq05/intranet/communication/docs/DEQAgencyTemplate1.potx","i")</f>
        <v>i</v>
      </c>
      <c r="D416" s="357"/>
      <c r="E416" s="357"/>
      <c r="F416" s="255">
        <f>NETWORKDAYS(G416,H416,S.DDL_DEQClosed)</f>
        <v>1</v>
      </c>
      <c r="G416" s="323">
        <f>AG416</f>
        <v>41836</v>
      </c>
      <c r="H416" s="256">
        <f>AH416</f>
        <v>41836</v>
      </c>
      <c r="I416" s="745"/>
      <c r="J416"/>
      <c r="K416"/>
      <c r="L416"/>
      <c r="M416"/>
      <c r="N416"/>
      <c r="O416"/>
      <c r="P416"/>
      <c r="Q416"/>
      <c r="R416"/>
      <c r="S416"/>
      <c r="T416"/>
      <c r="U416"/>
      <c r="X416"/>
      <c r="AB416"/>
      <c r="AC416"/>
      <c r="AF416" s="362">
        <f t="shared" si="49"/>
        <v>0</v>
      </c>
      <c r="AG416" s="60">
        <f>G413</f>
        <v>41836</v>
      </c>
      <c r="AH416" s="60">
        <f>G416</f>
        <v>41836</v>
      </c>
      <c r="AI416" s="47"/>
      <c r="AJ416" s="43"/>
      <c r="AK416" s="78" t="str">
        <f>"* drafts optional AC.PRESENTATION."&amp;TEXT($G$332,"mm.dd.yy")</f>
        <v>* drafts optional AC.PRESENTATION.06.05.14</v>
      </c>
      <c r="AL416" s="76"/>
    </row>
    <row r="417" spans="1:38" s="23" customFormat="1" ht="14.1" hidden="1" customHeight="1" outlineLevel="2">
      <c r="A417" s="145"/>
      <c r="B417" s="445" t="s">
        <v>121</v>
      </c>
      <c r="C417" s="268" t="s">
        <v>0</v>
      </c>
      <c r="D417" s="325"/>
      <c r="E417" s="325"/>
      <c r="F417" s="324"/>
      <c r="G417" s="324"/>
      <c r="H417" s="324"/>
      <c r="I417" s="745"/>
      <c r="J417"/>
      <c r="K417"/>
      <c r="L417"/>
      <c r="M417"/>
      <c r="N417"/>
      <c r="O417"/>
      <c r="P417"/>
      <c r="Q417"/>
      <c r="R417"/>
      <c r="S417"/>
      <c r="T417"/>
      <c r="U417"/>
      <c r="X417"/>
      <c r="AB417"/>
      <c r="AC417"/>
      <c r="AF417" s="362">
        <f t="shared" si="49"/>
        <v>0</v>
      </c>
      <c r="AG417" s="34"/>
      <c r="AH417" s="34"/>
      <c r="AI417" s="47"/>
      <c r="AJ417" s="43"/>
      <c r="AK417" s="43"/>
      <c r="AL417" s="76"/>
    </row>
    <row r="418" spans="1:38" s="23" customFormat="1" ht="14.1" hidden="1" customHeight="1" outlineLevel="2">
      <c r="A418" s="145"/>
      <c r="B418" s="447" t="s">
        <v>183</v>
      </c>
      <c r="C418" s="268" t="s">
        <v>0</v>
      </c>
      <c r="D418" s="283"/>
      <c r="E418" s="283"/>
      <c r="F418" s="255">
        <f>NETWORKDAYS(G418,H418,S.DDL_DEQClosed)</f>
        <v>1</v>
      </c>
      <c r="G418" s="323">
        <f t="shared" ref="G418:H422" si="50">AG418</f>
        <v>41836</v>
      </c>
      <c r="H418" s="256">
        <f t="shared" si="50"/>
        <v>41836</v>
      </c>
      <c r="I418" s="745"/>
      <c r="J418"/>
      <c r="K418"/>
      <c r="L418"/>
      <c r="M418"/>
      <c r="N418"/>
      <c r="O418"/>
      <c r="P418"/>
      <c r="Q418"/>
      <c r="R418"/>
      <c r="S418"/>
      <c r="T418"/>
      <c r="U418"/>
      <c r="X418"/>
      <c r="AB418"/>
      <c r="AC418"/>
      <c r="AF418" s="362">
        <f t="shared" si="49"/>
        <v>0</v>
      </c>
      <c r="AG418" s="60">
        <f>G416</f>
        <v>41836</v>
      </c>
      <c r="AH418" s="60">
        <f>G418</f>
        <v>41836</v>
      </c>
      <c r="AI418" s="47"/>
      <c r="AJ418" s="43"/>
      <c r="AK418" s="43"/>
      <c r="AL418" s="76"/>
    </row>
    <row r="419" spans="1:38" s="23" customFormat="1" ht="14.1" hidden="1" customHeight="1" outlineLevel="2">
      <c r="A419" s="145"/>
      <c r="B419" s="448" t="s">
        <v>216</v>
      </c>
      <c r="C419" s="268" t="s">
        <v>0</v>
      </c>
      <c r="D419" s="283"/>
      <c r="E419" s="283"/>
      <c r="F419" s="255">
        <f>NETWORKDAYS(G419,H419,S.DDL_DEQClosed)</f>
        <v>1</v>
      </c>
      <c r="G419" s="323">
        <f t="shared" si="50"/>
        <v>41836</v>
      </c>
      <c r="H419" s="256">
        <f t="shared" si="50"/>
        <v>41836</v>
      </c>
      <c r="I419" s="745"/>
      <c r="J419"/>
      <c r="K419"/>
      <c r="L419"/>
      <c r="M419"/>
      <c r="N419"/>
      <c r="O419"/>
      <c r="P419"/>
      <c r="Q419"/>
      <c r="R419"/>
      <c r="S419"/>
      <c r="T419"/>
      <c r="U419"/>
      <c r="X419"/>
      <c r="AB419"/>
      <c r="AC419"/>
      <c r="AF419" s="362">
        <f t="shared" si="49"/>
        <v>0</v>
      </c>
      <c r="AG419" s="60">
        <f>G418</f>
        <v>41836</v>
      </c>
      <c r="AH419" s="60">
        <f>G419</f>
        <v>41836</v>
      </c>
      <c r="AI419" s="47" t="s">
        <v>0</v>
      </c>
      <c r="AJ419" s="43"/>
      <c r="AK419" s="43"/>
      <c r="AL419" s="76"/>
    </row>
    <row r="420" spans="1:38" s="23" customFormat="1" ht="14.1" hidden="1" customHeight="1" outlineLevel="2">
      <c r="A420" s="145"/>
      <c r="B420" s="449" t="str">
        <f>AK420</f>
        <v>Brian submits Web Request to post materials</v>
      </c>
      <c r="C420" s="512" t="str">
        <f>HYPERLINK("http://deq05/intranet/communication/WebRequests.htm","i")</f>
        <v>i</v>
      </c>
      <c r="D420" s="283"/>
      <c r="E420" s="283"/>
      <c r="F420" s="255">
        <f>NETWORKDAYS(G420,H420,S.DDL_DEQClosed)</f>
        <v>1</v>
      </c>
      <c r="G420" s="323">
        <f t="shared" si="50"/>
        <v>41836</v>
      </c>
      <c r="H420" s="256">
        <f t="shared" si="50"/>
        <v>41836</v>
      </c>
      <c r="I420" s="745"/>
      <c r="J420"/>
      <c r="K420"/>
      <c r="L420"/>
      <c r="M420"/>
      <c r="N420"/>
      <c r="O420"/>
      <c r="P420"/>
      <c r="Q420"/>
      <c r="R420"/>
      <c r="S420"/>
      <c r="T420"/>
      <c r="U420"/>
      <c r="X420"/>
      <c r="AB420"/>
      <c r="AC420"/>
      <c r="AF420" s="362">
        <f t="shared" si="49"/>
        <v>0</v>
      </c>
      <c r="AG420" s="60">
        <f>G419</f>
        <v>41836</v>
      </c>
      <c r="AH420" s="60">
        <f>G420</f>
        <v>41836</v>
      </c>
      <c r="AI420" s="47"/>
      <c r="AJ420" s="43"/>
      <c r="AK420" s="78" t="str">
        <f>S.Staff.Subject.Expert.FirstName&amp;" submits Web Request to post materials"</f>
        <v>Brian submits Web Request to post materials</v>
      </c>
      <c r="AL420" s="76"/>
    </row>
    <row r="421" spans="1:38" s="23" customFormat="1" ht="14.1" hidden="1" customHeight="1" outlineLevel="2">
      <c r="A421" s="145"/>
      <c r="B421" s="448" t="s">
        <v>124</v>
      </c>
      <c r="C421" s="268" t="s">
        <v>0</v>
      </c>
      <c r="D421" s="283"/>
      <c r="E421" s="283"/>
      <c r="F421" s="255">
        <f>NETWORKDAYS(G421,H421,S.DDL_DEQClosed)</f>
        <v>1</v>
      </c>
      <c r="G421" s="323">
        <f t="shared" si="50"/>
        <v>41836</v>
      </c>
      <c r="H421" s="256">
        <f t="shared" si="50"/>
        <v>41836</v>
      </c>
      <c r="I421" s="745"/>
      <c r="J421"/>
      <c r="K421"/>
      <c r="L421"/>
      <c r="M421"/>
      <c r="N421"/>
      <c r="O421"/>
      <c r="P421"/>
      <c r="Q421"/>
      <c r="R421"/>
      <c r="S421"/>
      <c r="T421"/>
      <c r="U421"/>
      <c r="X421"/>
      <c r="AB421"/>
      <c r="AC421"/>
      <c r="AF421" s="362">
        <f t="shared" si="49"/>
        <v>0</v>
      </c>
      <c r="AG421" s="60">
        <f>G420</f>
        <v>41836</v>
      </c>
      <c r="AH421" s="60">
        <f>G421</f>
        <v>41836</v>
      </c>
      <c r="AI421" s="59"/>
      <c r="AJ421" s="59"/>
      <c r="AK421" s="43"/>
      <c r="AL421" s="76"/>
    </row>
    <row r="422" spans="1:38" s="23" customFormat="1" ht="14.1" hidden="1" customHeight="1" outlineLevel="2">
      <c r="A422" s="145"/>
      <c r="B422" s="343" t="str">
        <f>AK422</f>
        <v>Brian sends meeting notice with link to Web page</v>
      </c>
      <c r="C422" s="268" t="s">
        <v>0</v>
      </c>
      <c r="D422" s="283"/>
      <c r="E422" s="283"/>
      <c r="F422" s="255">
        <f>NETWORKDAYS(G422,H422,S.DDL_DEQClosed)</f>
        <v>1</v>
      </c>
      <c r="G422" s="323">
        <f t="shared" si="50"/>
        <v>41836</v>
      </c>
      <c r="H422" s="256">
        <f t="shared" si="50"/>
        <v>41836</v>
      </c>
      <c r="I422" s="745"/>
      <c r="J422"/>
      <c r="K422"/>
      <c r="L422"/>
      <c r="M422"/>
      <c r="N422"/>
      <c r="O422"/>
      <c r="P422"/>
      <c r="Q422"/>
      <c r="R422"/>
      <c r="S422"/>
      <c r="T422"/>
      <c r="U422"/>
      <c r="X422"/>
      <c r="AB422"/>
      <c r="AC422"/>
      <c r="AF422" s="362">
        <f>IF(AND(S.AC.InvolveMeeting4="Y",S.AC.CommitteeInvolved="Y"),1,0)</f>
        <v>0</v>
      </c>
      <c r="AG422" s="60">
        <f>G421</f>
        <v>41836</v>
      </c>
      <c r="AH422" s="60">
        <f>G422</f>
        <v>41836</v>
      </c>
      <c r="AI422" s="59"/>
      <c r="AJ422" s="59"/>
      <c r="AK422" s="78" t="str">
        <f>S.Staff.Subject.Expert.FirstName&amp;" sends meeting notice with link to Web page"</f>
        <v>Brian sends meeting notice with link to Web page</v>
      </c>
      <c r="AL422" s="76"/>
    </row>
    <row r="423" spans="1:38" s="23" customFormat="1" ht="14.1" hidden="1" customHeight="1" outlineLevel="2">
      <c r="A423" s="145"/>
      <c r="B423" s="419" t="s">
        <v>122</v>
      </c>
      <c r="C423" s="268" t="s">
        <v>0</v>
      </c>
      <c r="D423" s="984" t="s">
        <v>217</v>
      </c>
      <c r="E423" s="984"/>
      <c r="F423" s="984"/>
      <c r="G423" s="985"/>
      <c r="H423" s="263">
        <f>AH423</f>
        <v>41850</v>
      </c>
      <c r="I423" s="745"/>
      <c r="J423"/>
      <c r="K423"/>
      <c r="L423"/>
      <c r="M423"/>
      <c r="N423"/>
      <c r="O423"/>
      <c r="P423"/>
      <c r="Q423"/>
      <c r="R423"/>
      <c r="S423"/>
      <c r="T423"/>
      <c r="U423"/>
      <c r="X423"/>
      <c r="AB423"/>
      <c r="AC423"/>
      <c r="AF423" s="362">
        <f>IF(AND(S.AC.InvolveMeeting4="Y",S.AC.CommitteeInvolved="Y"),1,0)</f>
        <v>0</v>
      </c>
      <c r="AG423" s="34" t="s">
        <v>0</v>
      </c>
      <c r="AH423" s="60">
        <f>S.AC.DateMeeting4</f>
        <v>41850</v>
      </c>
      <c r="AI423" s="59"/>
      <c r="AJ423" s="59"/>
      <c r="AK423" s="43"/>
      <c r="AL423" s="76"/>
    </row>
    <row r="424" spans="1:38" s="23" customFormat="1" ht="14.1" hidden="1" customHeight="1" outlineLevel="2">
      <c r="A424" s="145"/>
      <c r="B424" s="343" t="str">
        <f>AK424</f>
        <v>Brian drafts AC.MINUTES06.05.14</v>
      </c>
      <c r="C424" s="510" t="str">
        <f>HYPERLINK("\\deq000\templates\General\Minutes Template.dotx","i")</f>
        <v>i</v>
      </c>
      <c r="D424" s="357"/>
      <c r="E424" s="357"/>
      <c r="F424" s="255">
        <f>NETWORKDAYS(G424,H424,S.DDL_DEQClosed)</f>
        <v>1</v>
      </c>
      <c r="G424" s="323">
        <f>AG424</f>
        <v>41850</v>
      </c>
      <c r="H424" s="256">
        <f>AH424</f>
        <v>41850</v>
      </c>
      <c r="I424" s="745"/>
      <c r="J424"/>
      <c r="K424"/>
      <c r="L424"/>
      <c r="M424"/>
      <c r="N424"/>
      <c r="O424"/>
      <c r="P424"/>
      <c r="Q424"/>
      <c r="R424"/>
      <c r="S424"/>
      <c r="T424"/>
      <c r="U424"/>
      <c r="X424"/>
      <c r="AB424"/>
      <c r="AC424"/>
      <c r="AF424" s="362">
        <f>IF(AND(S.AC.InvolveMeeting4="Y",S.AC.CommitteeInvolved="Y"),1,0)</f>
        <v>0</v>
      </c>
      <c r="AG424" s="60">
        <f>S.AC.DateMeeting4</f>
        <v>41850</v>
      </c>
      <c r="AH424" s="60">
        <f>G424</f>
        <v>41850</v>
      </c>
      <c r="AI424" s="59"/>
      <c r="AJ424" s="59"/>
      <c r="AK424" s="67" t="str">
        <f>S.Staff.Subject.Expert.FirstName&amp;" drafts AC.MINUTES"&amp;TEXT(S.AC.DateMeeting1,"mm.dd.yy")</f>
        <v>Brian drafts AC.MINUTES06.05.14</v>
      </c>
      <c r="AL424" s="76"/>
    </row>
    <row r="425" spans="1:38" s="23" customFormat="1" ht="14.1" hidden="1" customHeight="1" outlineLevel="2" thickBot="1">
      <c r="A425" s="145"/>
      <c r="B425" s="419" t="s">
        <v>123</v>
      </c>
      <c r="C425" s="268" t="s">
        <v>0</v>
      </c>
      <c r="D425" s="283"/>
      <c r="E425" s="283"/>
      <c r="F425" s="255">
        <f>NETWORKDAYS(G425,H425,S.DDL_DEQClosed)</f>
        <v>1</v>
      </c>
      <c r="G425" s="323">
        <f>AG425</f>
        <v>41850</v>
      </c>
      <c r="H425" s="256">
        <f>AH425</f>
        <v>41850</v>
      </c>
      <c r="I425" s="745"/>
      <c r="J425"/>
      <c r="K425"/>
      <c r="L425"/>
      <c r="M425"/>
      <c r="N425"/>
      <c r="O425"/>
      <c r="P425"/>
      <c r="Q425"/>
      <c r="R425"/>
      <c r="S425"/>
      <c r="T425"/>
      <c r="U425"/>
      <c r="X425"/>
      <c r="AB425"/>
      <c r="AC425"/>
      <c r="AF425" s="362">
        <f>IF(AND(S.AC.InvolveMeeting4="Y",S.AC.CommitteeInvolved="Y"),1,0)</f>
        <v>0</v>
      </c>
      <c r="AG425" s="60">
        <f>S.AC.DateMeeting4</f>
        <v>41850</v>
      </c>
      <c r="AH425" s="60">
        <f>G425</f>
        <v>41850</v>
      </c>
      <c r="AI425" s="59"/>
      <c r="AJ425" s="59"/>
      <c r="AK425" s="43"/>
      <c r="AL425" s="76"/>
    </row>
    <row r="426" spans="1:38" s="23" customFormat="1" ht="14.1" hidden="1" customHeight="1" outlineLevel="2" thickBot="1">
      <c r="A426" s="145"/>
      <c r="B426" s="368" t="s">
        <v>170</v>
      </c>
      <c r="C426" s="539" t="s">
        <v>206</v>
      </c>
      <c r="D426" s="711"/>
      <c r="E426" s="711"/>
      <c r="F426" s="306"/>
      <c r="G426" s="252">
        <f>AG426</f>
        <v>41850</v>
      </c>
      <c r="H426" s="326" t="s">
        <v>50</v>
      </c>
      <c r="I426" s="745"/>
      <c r="J426"/>
      <c r="K426"/>
      <c r="L426"/>
      <c r="M426"/>
      <c r="N426"/>
      <c r="O426"/>
      <c r="P426"/>
      <c r="Q426"/>
      <c r="R426"/>
      <c r="S426"/>
      <c r="T426"/>
      <c r="U426"/>
      <c r="X426"/>
      <c r="AB426"/>
      <c r="AC426"/>
      <c r="AF426" s="362">
        <f t="shared" ref="AF426:AF436" si="51">IF(AND(S.AC.InvolveMeeting5="Y",S.AC.CommitteeInvolved="Y"),1,0)</f>
        <v>0</v>
      </c>
      <c r="AG426" s="60">
        <f>S.AC.DateMeeting4</f>
        <v>41850</v>
      </c>
      <c r="AH426" s="34" t="s">
        <v>0</v>
      </c>
      <c r="AI426" s="34"/>
      <c r="AJ426" s="43"/>
      <c r="AK426" s="43"/>
      <c r="AL426" s="76"/>
    </row>
    <row r="427" spans="1:38" s="23" customFormat="1" ht="14.1" hidden="1" customHeight="1" outlineLevel="2">
      <c r="A427" s="145"/>
      <c r="B427" s="416" t="s">
        <v>119</v>
      </c>
      <c r="C427" s="258"/>
      <c r="D427" s="283"/>
      <c r="E427" s="283"/>
      <c r="F427" s="255">
        <f>NETWORKDAYS(G427,H427,S.DDL_DEQClosed)</f>
        <v>1</v>
      </c>
      <c r="G427" s="323">
        <f>AG427</f>
        <v>41836</v>
      </c>
      <c r="H427" s="256">
        <f>AH427</f>
        <v>41836</v>
      </c>
      <c r="I427" s="745"/>
      <c r="J427"/>
      <c r="K427"/>
      <c r="L427"/>
      <c r="M427"/>
      <c r="N427"/>
      <c r="O427"/>
      <c r="P427"/>
      <c r="Q427"/>
      <c r="R427"/>
      <c r="S427"/>
      <c r="T427"/>
      <c r="U427"/>
      <c r="X427"/>
      <c r="AB427"/>
      <c r="AC427"/>
      <c r="AF427" s="362">
        <f t="shared" si="51"/>
        <v>0</v>
      </c>
      <c r="AG427" s="60">
        <f>WORKDAY(S.AC.DateMeeting5-13,-1,S.DDL_DEQClosed)</f>
        <v>41836</v>
      </c>
      <c r="AH427" s="60">
        <f>G427</f>
        <v>41836</v>
      </c>
      <c r="AI427" s="47"/>
      <c r="AJ427" s="43"/>
      <c r="AK427" s="34"/>
      <c r="AL427" s="76"/>
    </row>
    <row r="428" spans="1:38" s="23" customFormat="1" ht="14.1" hidden="1" customHeight="1" outlineLevel="2">
      <c r="A428" s="145"/>
      <c r="B428" s="284" t="str">
        <f>AK428</f>
        <v>Brian coordinates or drafts:</v>
      </c>
      <c r="C428" s="258"/>
      <c r="D428" s="708"/>
      <c r="E428" s="708"/>
      <c r="F428" s="262"/>
      <c r="G428" s="258"/>
      <c r="H428" s="300"/>
      <c r="I428" s="745"/>
      <c r="J428"/>
      <c r="K428"/>
      <c r="L428"/>
      <c r="M428"/>
      <c r="N428"/>
      <c r="O428"/>
      <c r="P428"/>
      <c r="Q428"/>
      <c r="R428"/>
      <c r="S428"/>
      <c r="T428"/>
      <c r="U428"/>
      <c r="X428"/>
      <c r="AB428"/>
      <c r="AC428"/>
      <c r="AF428" s="362">
        <f t="shared" si="51"/>
        <v>0</v>
      </c>
      <c r="AG428" s="47"/>
      <c r="AH428" s="58"/>
      <c r="AI428" s="58"/>
      <c r="AJ428" s="43"/>
      <c r="AK428" s="67" t="str">
        <f>S.Staff.Subject.Expert.FirstName&amp;" coordinates or drafts:"</f>
        <v>Brian coordinates or drafts:</v>
      </c>
      <c r="AL428" s="76"/>
    </row>
    <row r="429" spans="1:38" s="23" customFormat="1" ht="14.1" hidden="1" customHeight="1" outlineLevel="2">
      <c r="A429" s="145"/>
      <c r="B429" s="316" t="str">
        <f>AK429</f>
        <v>* AC.AGENDA.06.05.14, gets team agreement</v>
      </c>
      <c r="C429" s="510" t="str">
        <f>HYPERLINK("\\deq000\templates\General\Agenda Template.dotx","i")</f>
        <v>i</v>
      </c>
      <c r="D429" s="357"/>
      <c r="E429" s="357"/>
      <c r="F429" s="255">
        <f t="shared" ref="F429:F436" si="52">NETWORKDAYS(G429,H429,S.DDL_DEQClosed)</f>
        <v>1</v>
      </c>
      <c r="G429" s="323">
        <f t="shared" ref="G429:H436" si="53">AG429</f>
        <v>41836</v>
      </c>
      <c r="H429" s="256">
        <f t="shared" si="53"/>
        <v>41836</v>
      </c>
      <c r="I429" s="745"/>
      <c r="J429"/>
      <c r="K429"/>
      <c r="L429"/>
      <c r="M429"/>
      <c r="N429"/>
      <c r="O429"/>
      <c r="P429"/>
      <c r="Q429"/>
      <c r="R429"/>
      <c r="S429"/>
      <c r="T429"/>
      <c r="U429"/>
      <c r="X429"/>
      <c r="AB429"/>
      <c r="AC429"/>
      <c r="AF429" s="362">
        <f t="shared" si="51"/>
        <v>0</v>
      </c>
      <c r="AG429" s="60">
        <f>G427</f>
        <v>41836</v>
      </c>
      <c r="AH429" s="60">
        <f t="shared" ref="AH429:AH436" si="54">G429</f>
        <v>41836</v>
      </c>
      <c r="AI429" s="59"/>
      <c r="AJ429" s="61"/>
      <c r="AK429" s="67" t="str">
        <f>"* AC.AGENDA."&amp; TEXT(S.AC.DateMeeting1,"mm.dd.yy")&amp;", gets team agreement"</f>
        <v>* AC.AGENDA.06.05.14, gets team agreement</v>
      </c>
      <c r="AL429" s="76"/>
    </row>
    <row r="430" spans="1:38" s="23" customFormat="1" ht="14.1" hidden="1" customHeight="1" outlineLevel="2">
      <c r="A430" s="145"/>
      <c r="B430" s="316" t="str">
        <f>AK430</f>
        <v>* AC.NOTIFICATION.06.05.14</v>
      </c>
      <c r="C430" s="268" t="s">
        <v>0</v>
      </c>
      <c r="D430" s="283"/>
      <c r="E430" s="283"/>
      <c r="F430" s="255">
        <f t="shared" si="52"/>
        <v>1</v>
      </c>
      <c r="G430" s="323">
        <f t="shared" si="53"/>
        <v>41836</v>
      </c>
      <c r="H430" s="256">
        <f t="shared" si="53"/>
        <v>41836</v>
      </c>
      <c r="I430" s="745"/>
      <c r="J430"/>
      <c r="K430"/>
      <c r="L430"/>
      <c r="M430"/>
      <c r="N430"/>
      <c r="O430"/>
      <c r="P430"/>
      <c r="Q430"/>
      <c r="R430"/>
      <c r="S430"/>
      <c r="T430"/>
      <c r="U430"/>
      <c r="X430"/>
      <c r="AB430"/>
      <c r="AC430"/>
      <c r="AF430" s="362">
        <f t="shared" si="51"/>
        <v>0</v>
      </c>
      <c r="AG430" s="60">
        <f t="shared" ref="AG430:AG436" si="55">G429</f>
        <v>41836</v>
      </c>
      <c r="AH430" s="60">
        <f t="shared" si="54"/>
        <v>41836</v>
      </c>
      <c r="AI430" s="59"/>
      <c r="AJ430" s="59"/>
      <c r="AK430" s="67" t="str">
        <f>"* AC.NOTIFICATION."&amp;TEXT(S.AC.DateMeeting1,"mm.dd.yy")</f>
        <v>* AC.NOTIFICATION.06.05.14</v>
      </c>
      <c r="AL430" s="76"/>
    </row>
    <row r="431" spans="1:38" s="23" customFormat="1" ht="14.1" hidden="1" customHeight="1" outlineLevel="2">
      <c r="A431" s="145"/>
      <c r="B431" s="320" t="s">
        <v>215</v>
      </c>
      <c r="C431" s="510" t="str">
        <f>HYPERLINK("http://deq05/intranet/contentmanagement/login.asp","i")</f>
        <v>i</v>
      </c>
      <c r="D431" s="709"/>
      <c r="E431" s="709"/>
      <c r="F431" s="255">
        <f t="shared" si="52"/>
        <v>1</v>
      </c>
      <c r="G431" s="323">
        <f t="shared" si="53"/>
        <v>41836</v>
      </c>
      <c r="H431" s="256">
        <f t="shared" si="53"/>
        <v>41836</v>
      </c>
      <c r="I431" s="745"/>
      <c r="J431"/>
      <c r="K431"/>
      <c r="L431"/>
      <c r="M431"/>
      <c r="N431"/>
      <c r="O431"/>
      <c r="P431"/>
      <c r="Q431"/>
      <c r="R431"/>
      <c r="S431"/>
      <c r="T431"/>
      <c r="U431"/>
      <c r="X431"/>
      <c r="AB431"/>
      <c r="AC431"/>
      <c r="AF431" s="362">
        <f t="shared" si="51"/>
        <v>0</v>
      </c>
      <c r="AG431" s="60">
        <f t="shared" si="55"/>
        <v>41836</v>
      </c>
      <c r="AH431" s="60">
        <f t="shared" si="54"/>
        <v>41836</v>
      </c>
      <c r="AI431" s="47"/>
      <c r="AJ431" s="43"/>
      <c r="AK431" s="43"/>
      <c r="AL431" s="76"/>
    </row>
    <row r="432" spans="1:38" s="23" customFormat="1" ht="14.1" hidden="1" customHeight="1" outlineLevel="2">
      <c r="A432" s="145"/>
      <c r="B432" s="298" t="s">
        <v>184</v>
      </c>
      <c r="C432" s="268" t="s">
        <v>0</v>
      </c>
      <c r="D432" s="283"/>
      <c r="E432" s="283"/>
      <c r="F432" s="255">
        <f t="shared" si="52"/>
        <v>1</v>
      </c>
      <c r="G432" s="323">
        <f t="shared" si="53"/>
        <v>41836</v>
      </c>
      <c r="H432" s="256">
        <f t="shared" si="53"/>
        <v>41836</v>
      </c>
      <c r="I432" s="745"/>
      <c r="J432"/>
      <c r="K432"/>
      <c r="L432"/>
      <c r="M432"/>
      <c r="N432"/>
      <c r="O432"/>
      <c r="P432"/>
      <c r="Q432"/>
      <c r="R432"/>
      <c r="S432"/>
      <c r="T432"/>
      <c r="U432"/>
      <c r="X432"/>
      <c r="AB432"/>
      <c r="AC432"/>
      <c r="AF432" s="362">
        <f t="shared" si="51"/>
        <v>0</v>
      </c>
      <c r="AG432" s="60">
        <f t="shared" si="55"/>
        <v>41836</v>
      </c>
      <c r="AH432" s="60">
        <f t="shared" si="54"/>
        <v>41836</v>
      </c>
      <c r="AI432" s="47"/>
      <c r="AJ432" s="43"/>
      <c r="AK432" s="43"/>
      <c r="AL432" s="76"/>
    </row>
    <row r="433" spans="1:38" s="23" customFormat="1" ht="14.1" hidden="1" customHeight="1" outlineLevel="2">
      <c r="A433" s="145"/>
      <c r="B433" s="418" t="s">
        <v>120</v>
      </c>
      <c r="C433" s="268" t="s">
        <v>0</v>
      </c>
      <c r="D433" s="283"/>
      <c r="E433" s="283"/>
      <c r="F433" s="255">
        <f t="shared" si="52"/>
        <v>1</v>
      </c>
      <c r="G433" s="323">
        <f t="shared" si="53"/>
        <v>41836</v>
      </c>
      <c r="H433" s="256">
        <f t="shared" si="53"/>
        <v>41836</v>
      </c>
      <c r="I433" s="745"/>
      <c r="J433"/>
      <c r="K433"/>
      <c r="L433"/>
      <c r="M433"/>
      <c r="N433"/>
      <c r="O433"/>
      <c r="P433"/>
      <c r="Q433"/>
      <c r="R433"/>
      <c r="S433"/>
      <c r="T433"/>
      <c r="U433"/>
      <c r="X433"/>
      <c r="AB433"/>
      <c r="AC433"/>
      <c r="AF433" s="362">
        <f t="shared" si="51"/>
        <v>0</v>
      </c>
      <c r="AG433" s="60">
        <f t="shared" si="55"/>
        <v>41836</v>
      </c>
      <c r="AH433" s="60">
        <f t="shared" si="54"/>
        <v>41836</v>
      </c>
      <c r="AI433" s="47"/>
      <c r="AJ433" s="43"/>
      <c r="AK433" s="43"/>
      <c r="AL433" s="76"/>
    </row>
    <row r="434" spans="1:38" s="23" customFormat="1" ht="14.1" hidden="1" customHeight="1" outlineLevel="2">
      <c r="A434" s="145"/>
      <c r="B434" s="418" t="s">
        <v>120</v>
      </c>
      <c r="C434" s="268" t="s">
        <v>0</v>
      </c>
      <c r="D434" s="283"/>
      <c r="E434" s="283"/>
      <c r="F434" s="255">
        <f t="shared" si="52"/>
        <v>1</v>
      </c>
      <c r="G434" s="323">
        <f t="shared" si="53"/>
        <v>41836</v>
      </c>
      <c r="H434" s="256">
        <f t="shared" si="53"/>
        <v>41836</v>
      </c>
      <c r="I434" s="745"/>
      <c r="J434"/>
      <c r="K434"/>
      <c r="L434"/>
      <c r="M434"/>
      <c r="N434"/>
      <c r="O434"/>
      <c r="P434"/>
      <c r="Q434"/>
      <c r="R434"/>
      <c r="S434"/>
      <c r="T434"/>
      <c r="U434"/>
      <c r="X434"/>
      <c r="AB434"/>
      <c r="AC434"/>
      <c r="AF434" s="362">
        <f t="shared" si="51"/>
        <v>0</v>
      </c>
      <c r="AG434" s="60">
        <f t="shared" si="55"/>
        <v>41836</v>
      </c>
      <c r="AH434" s="60">
        <f t="shared" si="54"/>
        <v>41836</v>
      </c>
      <c r="AI434" s="47"/>
      <c r="AJ434" s="43"/>
      <c r="AK434" s="43"/>
      <c r="AL434" s="76"/>
    </row>
    <row r="435" spans="1:38" s="23" customFormat="1" ht="14.1" hidden="1" customHeight="1" outlineLevel="2">
      <c r="A435" s="145"/>
      <c r="B435" s="418" t="s">
        <v>120</v>
      </c>
      <c r="C435" s="268" t="s">
        <v>0</v>
      </c>
      <c r="D435" s="283"/>
      <c r="E435" s="283"/>
      <c r="F435" s="255">
        <f t="shared" si="52"/>
        <v>1</v>
      </c>
      <c r="G435" s="323">
        <f t="shared" si="53"/>
        <v>41836</v>
      </c>
      <c r="H435" s="256">
        <f t="shared" si="53"/>
        <v>41836</v>
      </c>
      <c r="I435" s="745"/>
      <c r="J435"/>
      <c r="K435"/>
      <c r="L435"/>
      <c r="M435"/>
      <c r="N435"/>
      <c r="O435"/>
      <c r="P435"/>
      <c r="Q435"/>
      <c r="R435"/>
      <c r="S435"/>
      <c r="T435"/>
      <c r="U435"/>
      <c r="X435"/>
      <c r="AB435"/>
      <c r="AC435"/>
      <c r="AF435" s="362">
        <f t="shared" si="51"/>
        <v>0</v>
      </c>
      <c r="AG435" s="60">
        <f t="shared" si="55"/>
        <v>41836</v>
      </c>
      <c r="AH435" s="60">
        <f t="shared" si="54"/>
        <v>41836</v>
      </c>
      <c r="AI435" s="47"/>
      <c r="AJ435" s="43"/>
      <c r="AK435" s="43"/>
      <c r="AL435" s="76"/>
    </row>
    <row r="436" spans="1:38" s="23" customFormat="1" ht="14.1" hidden="1" customHeight="1" outlineLevel="2" thickBot="1">
      <c r="A436" s="145"/>
      <c r="B436" s="418" t="s">
        <v>120</v>
      </c>
      <c r="C436" s="268" t="s">
        <v>0</v>
      </c>
      <c r="D436" s="283"/>
      <c r="E436" s="283"/>
      <c r="F436" s="255">
        <f t="shared" si="52"/>
        <v>1</v>
      </c>
      <c r="G436" s="323">
        <f t="shared" si="53"/>
        <v>41836</v>
      </c>
      <c r="H436" s="256">
        <f t="shared" si="53"/>
        <v>41836</v>
      </c>
      <c r="I436" s="745"/>
      <c r="J436"/>
      <c r="K436"/>
      <c r="L436"/>
      <c r="M436"/>
      <c r="N436"/>
      <c r="O436"/>
      <c r="P436"/>
      <c r="Q436"/>
      <c r="R436"/>
      <c r="S436"/>
      <c r="T436"/>
      <c r="U436"/>
      <c r="X436"/>
      <c r="AB436"/>
      <c r="AC436"/>
      <c r="AF436" s="362">
        <f t="shared" si="51"/>
        <v>0</v>
      </c>
      <c r="AG436" s="60">
        <f t="shared" si="55"/>
        <v>41836</v>
      </c>
      <c r="AH436" s="60">
        <f t="shared" si="54"/>
        <v>41836</v>
      </c>
      <c r="AI436" s="47"/>
      <c r="AJ436" s="43"/>
      <c r="AK436" s="43"/>
      <c r="AL436" s="76"/>
    </row>
    <row r="437" spans="1:38" s="23" customFormat="1" ht="14.1" hidden="1" customHeight="1" outlineLevel="2" thickBot="1">
      <c r="A437" s="145"/>
      <c r="B437" s="444" t="s">
        <v>169</v>
      </c>
      <c r="C437" s="539" t="s">
        <v>16</v>
      </c>
      <c r="D437" s="710"/>
      <c r="E437" s="710"/>
      <c r="F437" s="324"/>
      <c r="G437" s="324"/>
      <c r="H437" s="324"/>
      <c r="I437" s="745"/>
      <c r="J437"/>
      <c r="K437"/>
      <c r="L437"/>
      <c r="M437"/>
      <c r="N437"/>
      <c r="O437"/>
      <c r="P437"/>
      <c r="Q437"/>
      <c r="R437"/>
      <c r="S437"/>
      <c r="T437"/>
      <c r="U437"/>
      <c r="X437"/>
      <c r="AB437"/>
      <c r="AC437"/>
      <c r="AF437" s="362">
        <f t="shared" ref="AF437:AF444" si="56">IF(AND(S.AC.InvolveMeeting5="Y",S.AC.CommitteeInvolved="Y",S.AC.Presentation5="Y"),1,0)</f>
        <v>0</v>
      </c>
      <c r="AG437" s="34"/>
      <c r="AH437" s="34"/>
      <c r="AI437" s="34"/>
      <c r="AJ437" s="43"/>
      <c r="AK437" s="43"/>
      <c r="AL437" s="76"/>
    </row>
    <row r="438" spans="1:38" s="23" customFormat="1" ht="14.1" hidden="1" customHeight="1" outlineLevel="2">
      <c r="A438" s="145"/>
      <c r="B438" s="445" t="s">
        <v>121</v>
      </c>
      <c r="C438" s="268" t="s">
        <v>0</v>
      </c>
      <c r="D438" s="325"/>
      <c r="E438" s="325"/>
      <c r="F438" s="321"/>
      <c r="G438" s="321"/>
      <c r="H438" s="321"/>
      <c r="I438" s="745"/>
      <c r="J438"/>
      <c r="K438"/>
      <c r="L438"/>
      <c r="M438"/>
      <c r="N438"/>
      <c r="O438"/>
      <c r="P438"/>
      <c r="Q438"/>
      <c r="R438"/>
      <c r="S438"/>
      <c r="T438"/>
      <c r="U438"/>
      <c r="X438"/>
      <c r="AB438"/>
      <c r="AC438"/>
      <c r="AF438" s="362">
        <f t="shared" si="56"/>
        <v>0</v>
      </c>
      <c r="AG438" s="34"/>
      <c r="AH438" s="34"/>
      <c r="AI438" s="47"/>
      <c r="AJ438" s="43"/>
      <c r="AK438" s="43"/>
      <c r="AL438" s="76"/>
    </row>
    <row r="439" spans="1:38" s="23" customFormat="1" ht="14.1" hidden="1" customHeight="1" outlineLevel="2">
      <c r="A439" s="145"/>
      <c r="B439" s="446" t="str">
        <f>AK439</f>
        <v>* drafts optional AC.PRESENTATION.06.05.14</v>
      </c>
      <c r="C439" s="510" t="str">
        <f>HYPERLINK("http://deq05/intranet/communication/docs/DEQAgencyTemplate1.potx","i")</f>
        <v>i</v>
      </c>
      <c r="D439" s="357"/>
      <c r="E439" s="357"/>
      <c r="F439" s="255">
        <f>NETWORKDAYS(G439,H439,S.DDL_DEQClosed)</f>
        <v>1</v>
      </c>
      <c r="G439" s="323">
        <f>AG439</f>
        <v>41836</v>
      </c>
      <c r="H439" s="256">
        <f>AH439</f>
        <v>41836</v>
      </c>
      <c r="I439" s="745"/>
      <c r="J439"/>
      <c r="K439"/>
      <c r="L439"/>
      <c r="M439"/>
      <c r="N439"/>
      <c r="O439"/>
      <c r="P439"/>
      <c r="Q439"/>
      <c r="R439"/>
      <c r="S439"/>
      <c r="T439"/>
      <c r="U439"/>
      <c r="X439"/>
      <c r="AB439"/>
      <c r="AC439"/>
      <c r="AF439" s="362">
        <f t="shared" si="56"/>
        <v>0</v>
      </c>
      <c r="AG439" s="60">
        <f>G436</f>
        <v>41836</v>
      </c>
      <c r="AH439" s="60">
        <f>G439</f>
        <v>41836</v>
      </c>
      <c r="AI439" s="47"/>
      <c r="AJ439" s="43"/>
      <c r="AK439" s="78" t="str">
        <f>"* drafts optional AC.PRESENTATION."&amp;TEXT($G$332,"mm.dd.yy")</f>
        <v>* drafts optional AC.PRESENTATION.06.05.14</v>
      </c>
      <c r="AL439" s="76"/>
    </row>
    <row r="440" spans="1:38" s="23" customFormat="1" ht="14.1" hidden="1" customHeight="1" outlineLevel="2">
      <c r="A440" s="145"/>
      <c r="B440" s="445" t="s">
        <v>121</v>
      </c>
      <c r="C440" s="268" t="s">
        <v>0</v>
      </c>
      <c r="D440" s="325"/>
      <c r="E440" s="325"/>
      <c r="F440" s="324"/>
      <c r="G440" s="324"/>
      <c r="H440" s="324"/>
      <c r="I440" s="745"/>
      <c r="J440"/>
      <c r="K440"/>
      <c r="L440"/>
      <c r="M440"/>
      <c r="N440"/>
      <c r="O440"/>
      <c r="P440"/>
      <c r="Q440"/>
      <c r="R440"/>
      <c r="S440"/>
      <c r="T440"/>
      <c r="U440"/>
      <c r="X440"/>
      <c r="AB440"/>
      <c r="AC440"/>
      <c r="AF440" s="362">
        <f t="shared" si="56"/>
        <v>0</v>
      </c>
      <c r="AG440" s="34"/>
      <c r="AH440" s="34"/>
      <c r="AI440" s="47"/>
      <c r="AJ440" s="43"/>
      <c r="AK440" s="43"/>
      <c r="AL440" s="76"/>
    </row>
    <row r="441" spans="1:38" s="23" customFormat="1" ht="14.1" hidden="1" customHeight="1" outlineLevel="2">
      <c r="A441" s="145"/>
      <c r="B441" s="447" t="s">
        <v>183</v>
      </c>
      <c r="C441" s="268" t="s">
        <v>0</v>
      </c>
      <c r="D441" s="283"/>
      <c r="E441" s="283"/>
      <c r="F441" s="255">
        <f>NETWORKDAYS(G441,H441,S.DDL_DEQClosed)</f>
        <v>1</v>
      </c>
      <c r="G441" s="323">
        <f t="shared" ref="G441:H445" si="57">AG441</f>
        <v>41836</v>
      </c>
      <c r="H441" s="256">
        <f t="shared" si="57"/>
        <v>41836</v>
      </c>
      <c r="I441" s="745"/>
      <c r="J441"/>
      <c r="K441"/>
      <c r="L441"/>
      <c r="M441"/>
      <c r="N441"/>
      <c r="O441"/>
      <c r="P441"/>
      <c r="Q441"/>
      <c r="R441"/>
      <c r="S441"/>
      <c r="T441"/>
      <c r="U441"/>
      <c r="X441"/>
      <c r="AB441"/>
      <c r="AC441"/>
      <c r="AF441" s="362">
        <f t="shared" si="56"/>
        <v>0</v>
      </c>
      <c r="AG441" s="60">
        <f>G439</f>
        <v>41836</v>
      </c>
      <c r="AH441" s="60">
        <f>G441</f>
        <v>41836</v>
      </c>
      <c r="AI441" s="47"/>
      <c r="AJ441" s="43"/>
      <c r="AK441" s="43"/>
      <c r="AL441" s="76"/>
    </row>
    <row r="442" spans="1:38" s="23" customFormat="1" ht="14.1" hidden="1" customHeight="1" outlineLevel="2">
      <c r="A442" s="145"/>
      <c r="B442" s="448" t="s">
        <v>216</v>
      </c>
      <c r="C442" s="268" t="s">
        <v>0</v>
      </c>
      <c r="D442" s="283"/>
      <c r="E442" s="283"/>
      <c r="F442" s="255">
        <f>NETWORKDAYS(G442,H442,S.DDL_DEQClosed)</f>
        <v>1</v>
      </c>
      <c r="G442" s="323">
        <f t="shared" si="57"/>
        <v>41836</v>
      </c>
      <c r="H442" s="256">
        <f t="shared" si="57"/>
        <v>41836</v>
      </c>
      <c r="I442" s="745"/>
      <c r="J442"/>
      <c r="K442"/>
      <c r="L442"/>
      <c r="M442"/>
      <c r="N442"/>
      <c r="O442"/>
      <c r="P442"/>
      <c r="Q442"/>
      <c r="R442"/>
      <c r="S442"/>
      <c r="T442"/>
      <c r="U442"/>
      <c r="X442"/>
      <c r="AB442"/>
      <c r="AC442"/>
      <c r="AF442" s="362">
        <f t="shared" si="56"/>
        <v>0</v>
      </c>
      <c r="AG442" s="60">
        <f>G441</f>
        <v>41836</v>
      </c>
      <c r="AH442" s="60">
        <f>G442</f>
        <v>41836</v>
      </c>
      <c r="AI442" s="47" t="s">
        <v>0</v>
      </c>
      <c r="AJ442" s="43"/>
      <c r="AK442" s="43"/>
      <c r="AL442" s="76"/>
    </row>
    <row r="443" spans="1:38" s="23" customFormat="1" ht="14.1" hidden="1" customHeight="1" outlineLevel="2">
      <c r="A443" s="145"/>
      <c r="B443" s="449" t="str">
        <f>AK443</f>
        <v>Brian submits Web Request to post materials</v>
      </c>
      <c r="C443" s="512" t="str">
        <f>HYPERLINK("http://deq05/intranet/communication/WebRequests.htm","i")</f>
        <v>i</v>
      </c>
      <c r="D443" s="283"/>
      <c r="E443" s="283"/>
      <c r="F443" s="255">
        <f>NETWORKDAYS(G443,H443,S.DDL_DEQClosed)</f>
        <v>1</v>
      </c>
      <c r="G443" s="323">
        <f t="shared" si="57"/>
        <v>41836</v>
      </c>
      <c r="H443" s="256">
        <f t="shared" si="57"/>
        <v>41836</v>
      </c>
      <c r="I443" s="745"/>
      <c r="J443"/>
      <c r="K443"/>
      <c r="L443"/>
      <c r="M443"/>
      <c r="N443"/>
      <c r="O443"/>
      <c r="P443"/>
      <c r="Q443"/>
      <c r="R443"/>
      <c r="S443"/>
      <c r="T443"/>
      <c r="U443"/>
      <c r="X443"/>
      <c r="AB443"/>
      <c r="AC443"/>
      <c r="AF443" s="362">
        <f t="shared" si="56"/>
        <v>0</v>
      </c>
      <c r="AG443" s="60">
        <f>G442</f>
        <v>41836</v>
      </c>
      <c r="AH443" s="60">
        <f>G443</f>
        <v>41836</v>
      </c>
      <c r="AI443" s="47"/>
      <c r="AJ443" s="43"/>
      <c r="AK443" s="78" t="str">
        <f>S.Staff.Subject.Expert.FirstName&amp;" submits Web Request to post materials"</f>
        <v>Brian submits Web Request to post materials</v>
      </c>
      <c r="AL443" s="76"/>
    </row>
    <row r="444" spans="1:38" s="23" customFormat="1" ht="14.1" hidden="1" customHeight="1" outlineLevel="2">
      <c r="A444" s="145"/>
      <c r="B444" s="448" t="s">
        <v>124</v>
      </c>
      <c r="C444" s="268" t="s">
        <v>0</v>
      </c>
      <c r="D444" s="283"/>
      <c r="E444" s="283"/>
      <c r="F444" s="255">
        <f>NETWORKDAYS(G444,H444,S.DDL_DEQClosed)</f>
        <v>1</v>
      </c>
      <c r="G444" s="323">
        <f t="shared" si="57"/>
        <v>41836</v>
      </c>
      <c r="H444" s="256">
        <f t="shared" si="57"/>
        <v>41836</v>
      </c>
      <c r="I444" s="745"/>
      <c r="J444"/>
      <c r="K444"/>
      <c r="L444"/>
      <c r="M444"/>
      <c r="N444"/>
      <c r="O444"/>
      <c r="P444"/>
      <c r="Q444"/>
      <c r="R444"/>
      <c r="S444"/>
      <c r="T444"/>
      <c r="U444"/>
      <c r="X444"/>
      <c r="AB444"/>
      <c r="AC444"/>
      <c r="AF444" s="362">
        <f t="shared" si="56"/>
        <v>0</v>
      </c>
      <c r="AG444" s="60">
        <f>G443</f>
        <v>41836</v>
      </c>
      <c r="AH444" s="60">
        <f>G444</f>
        <v>41836</v>
      </c>
      <c r="AI444" s="59"/>
      <c r="AJ444" s="59"/>
      <c r="AK444" s="43"/>
      <c r="AL444" s="76"/>
    </row>
    <row r="445" spans="1:38" s="23" customFormat="1" ht="14.1" hidden="1" customHeight="1" outlineLevel="2">
      <c r="A445" s="145"/>
      <c r="B445" s="343" t="str">
        <f>AK445</f>
        <v>Brian sends meeting notice with link to Web page</v>
      </c>
      <c r="C445" s="268" t="s">
        <v>0</v>
      </c>
      <c r="D445" s="283"/>
      <c r="E445" s="283"/>
      <c r="F445" s="255">
        <f>NETWORKDAYS(G445,H445,S.DDL_DEQClosed)</f>
        <v>1</v>
      </c>
      <c r="G445" s="323">
        <f t="shared" si="57"/>
        <v>41836</v>
      </c>
      <c r="H445" s="256">
        <f t="shared" si="57"/>
        <v>41836</v>
      </c>
      <c r="I445" s="745"/>
      <c r="J445"/>
      <c r="K445"/>
      <c r="L445"/>
      <c r="M445"/>
      <c r="N445"/>
      <c r="O445"/>
      <c r="P445"/>
      <c r="Q445"/>
      <c r="R445"/>
      <c r="S445"/>
      <c r="T445"/>
      <c r="U445"/>
      <c r="X445"/>
      <c r="AB445"/>
      <c r="AC445"/>
      <c r="AF445" s="362">
        <f>IF(AND(S.AC.InvolveMeeting5="Y",S.AC.CommitteeInvolved="Y"),1,0)</f>
        <v>0</v>
      </c>
      <c r="AG445" s="60">
        <f>G444</f>
        <v>41836</v>
      </c>
      <c r="AH445" s="60">
        <f>G445</f>
        <v>41836</v>
      </c>
      <c r="AI445" s="59"/>
      <c r="AJ445" s="59"/>
      <c r="AK445" s="78" t="str">
        <f>S.Staff.Subject.Expert.FirstName&amp;" sends meeting notice with link to Web page"</f>
        <v>Brian sends meeting notice with link to Web page</v>
      </c>
      <c r="AL445" s="76"/>
    </row>
    <row r="446" spans="1:38" s="23" customFormat="1" ht="14.1" hidden="1" customHeight="1" outlineLevel="2">
      <c r="A446" s="145"/>
      <c r="B446" s="419" t="s">
        <v>122</v>
      </c>
      <c r="C446" s="268" t="s">
        <v>0</v>
      </c>
      <c r="D446" s="984" t="s">
        <v>218</v>
      </c>
      <c r="E446" s="984"/>
      <c r="F446" s="984"/>
      <c r="G446" s="985"/>
      <c r="H446" s="263">
        <f>AH446</f>
        <v>41850</v>
      </c>
      <c r="I446" s="745"/>
      <c r="J446"/>
      <c r="K446"/>
      <c r="L446"/>
      <c r="M446"/>
      <c r="N446"/>
      <c r="O446"/>
      <c r="P446"/>
      <c r="Q446"/>
      <c r="R446"/>
      <c r="S446"/>
      <c r="T446"/>
      <c r="U446"/>
      <c r="X446"/>
      <c r="AB446"/>
      <c r="AC446"/>
      <c r="AF446" s="362">
        <f>IF(AND(S.AC.InvolveMeeting5="Y",S.AC.CommitteeInvolved="Y"),1,0)</f>
        <v>0</v>
      </c>
      <c r="AG446" s="59"/>
      <c r="AH446" s="60">
        <f>S.AC.DateMeeting5</f>
        <v>41850</v>
      </c>
      <c r="AI446" s="59"/>
      <c r="AJ446" s="59"/>
      <c r="AK446" s="43"/>
      <c r="AL446" s="76"/>
    </row>
    <row r="447" spans="1:38" s="23" customFormat="1" ht="14.1" hidden="1" customHeight="1" outlineLevel="2">
      <c r="A447" s="145"/>
      <c r="B447" s="343" t="str">
        <f>AK447</f>
        <v>Brian drafts AC.MINUTES06.05.14</v>
      </c>
      <c r="C447" s="510" t="str">
        <f>HYPERLINK("\\deq000\templates\General\Minutes Template.dotx","i")</f>
        <v>i</v>
      </c>
      <c r="D447" s="357"/>
      <c r="E447" s="357"/>
      <c r="F447" s="255">
        <f>NETWORKDAYS(G447,H447,S.DDL_DEQClosed)</f>
        <v>1</v>
      </c>
      <c r="G447" s="323">
        <f>AG447</f>
        <v>41850</v>
      </c>
      <c r="H447" s="256">
        <f>AH447</f>
        <v>41850</v>
      </c>
      <c r="I447" s="745"/>
      <c r="J447"/>
      <c r="K447"/>
      <c r="L447"/>
      <c r="M447"/>
      <c r="N447"/>
      <c r="O447"/>
      <c r="P447"/>
      <c r="Q447"/>
      <c r="R447"/>
      <c r="S447"/>
      <c r="T447"/>
      <c r="U447"/>
      <c r="X447"/>
      <c r="AB447"/>
      <c r="AC447"/>
      <c r="AF447" s="362">
        <f>IF(AND(S.AC.InvolveMeeting5="Y",S.AC.CommitteeInvolved="Y"),1,0)</f>
        <v>0</v>
      </c>
      <c r="AG447" s="60">
        <f>S.AC.DateMeeting5</f>
        <v>41850</v>
      </c>
      <c r="AH447" s="60">
        <f>G447</f>
        <v>41850</v>
      </c>
      <c r="AI447" s="59"/>
      <c r="AJ447" s="59"/>
      <c r="AK447" s="67" t="str">
        <f>S.Staff.Subject.Expert.FirstName&amp;" drafts AC.MINUTES"&amp;TEXT(S.AC.DateMeeting1,"mm.dd.yy")</f>
        <v>Brian drafts AC.MINUTES06.05.14</v>
      </c>
      <c r="AL447" s="76"/>
    </row>
    <row r="448" spans="1:38" s="23" customFormat="1" ht="14.1" hidden="1" customHeight="1" outlineLevel="2">
      <c r="A448" s="145"/>
      <c r="B448" s="419" t="s">
        <v>123</v>
      </c>
      <c r="C448" s="268" t="s">
        <v>0</v>
      </c>
      <c r="D448" s="283"/>
      <c r="E448" s="283"/>
      <c r="F448" s="255">
        <f>NETWORKDAYS(G448,H448,S.DDL_DEQClosed)</f>
        <v>1</v>
      </c>
      <c r="G448" s="323">
        <f>AG448</f>
        <v>41850</v>
      </c>
      <c r="H448" s="256">
        <f>AH448</f>
        <v>41850</v>
      </c>
      <c r="I448" s="745"/>
      <c r="J448"/>
      <c r="K448"/>
      <c r="L448"/>
      <c r="M448"/>
      <c r="N448"/>
      <c r="O448"/>
      <c r="P448"/>
      <c r="Q448"/>
      <c r="R448"/>
      <c r="S448"/>
      <c r="T448"/>
      <c r="U448"/>
      <c r="X448"/>
      <c r="AB448"/>
      <c r="AC448"/>
      <c r="AF448" s="362">
        <f>IF(AND(S.AC.InvolveMeeting5="Y",S.AC.CommitteeInvolved="Y"),1,0)</f>
        <v>0</v>
      </c>
      <c r="AG448" s="60">
        <f>S.AC.DateMeeting5</f>
        <v>41850</v>
      </c>
      <c r="AH448" s="60">
        <f>G448</f>
        <v>41850</v>
      </c>
      <c r="AI448" s="59"/>
      <c r="AJ448" s="59"/>
      <c r="AK448" s="43"/>
      <c r="AL448" s="76"/>
    </row>
    <row r="449" spans="1:39" s="23" customFormat="1" ht="14.1" hidden="1" customHeight="1" outlineLevel="1" collapsed="1">
      <c r="A449" s="145"/>
      <c r="B449" s="205" t="str">
        <f>AK449</f>
        <v>Brian gathers all advisory committee emails for the Rule Record and saves as:</v>
      </c>
      <c r="C449" s="509" t="str">
        <f>HYPERLINK("\\deqhq1\Rule_Development\Currrent Plan","i")</f>
        <v>i</v>
      </c>
      <c r="D449" s="283"/>
      <c r="E449" s="283"/>
      <c r="F449"/>
      <c r="G449" s="291">
        <f>AG449</f>
        <v>41761</v>
      </c>
      <c r="H449" s="256">
        <f>AH449</f>
        <v>0</v>
      </c>
      <c r="I449" s="745"/>
      <c r="J449"/>
      <c r="K449"/>
      <c r="L449"/>
      <c r="M449"/>
      <c r="N449"/>
      <c r="O449"/>
      <c r="P449"/>
      <c r="Q449"/>
      <c r="R449"/>
      <c r="S449"/>
      <c r="T449"/>
      <c r="U449"/>
      <c r="X449"/>
      <c r="AB449"/>
      <c r="AC449"/>
      <c r="AF449" s="362">
        <f>IF(S.AC.CommitteeInvolved="Y",1,0)</f>
        <v>0</v>
      </c>
      <c r="AG449" s="60">
        <f>S.AC.BANNER.Begin</f>
        <v>41761</v>
      </c>
      <c r="AH449" s="60">
        <f>S.AC.BANNER.End</f>
        <v>0</v>
      </c>
      <c r="AI449" s="58"/>
      <c r="AJ449" s="66"/>
      <c r="AK449" s="67" t="str">
        <f>S.Staff.Subject.Expert.FirstName&amp;" gathers all advisory committee emails for the Rule Record and saves as:"</f>
        <v>Brian gathers all advisory committee emails for the Rule Record and saves as:</v>
      </c>
      <c r="AL449" s="76"/>
    </row>
    <row r="450" spans="1:39" s="23" customFormat="1" ht="14.1" hidden="1" customHeight="1" outlineLevel="1">
      <c r="A450" s="145"/>
      <c r="B450" s="277" t="s">
        <v>134</v>
      </c>
      <c r="C450" s="268"/>
      <c r="D450" s="268"/>
      <c r="E450" s="268"/>
      <c r="F450" s="262"/>
      <c r="G450" s="258"/>
      <c r="H450" s="258"/>
      <c r="I450" s="745"/>
      <c r="J450"/>
      <c r="K450"/>
      <c r="L450"/>
      <c r="M450"/>
      <c r="N450"/>
      <c r="O450"/>
      <c r="P450"/>
      <c r="Q450"/>
      <c r="R450"/>
      <c r="S450"/>
      <c r="T450"/>
      <c r="U450"/>
      <c r="X450"/>
      <c r="AB450"/>
      <c r="AC450"/>
      <c r="AF450" s="362">
        <f>IF(S.AC.CommitteeInvolved="Y",1,0)</f>
        <v>0</v>
      </c>
      <c r="AG450" s="58"/>
      <c r="AH450" s="58"/>
      <c r="AI450" s="58"/>
      <c r="AJ450" s="44"/>
      <c r="AK450" s="58" t="s">
        <v>0</v>
      </c>
      <c r="AL450" s="76"/>
    </row>
    <row r="451" spans="1:39" ht="6" customHeight="1" collapsed="1">
      <c r="A451" s="145"/>
      <c r="B451" s="117"/>
      <c r="C451" s="94"/>
      <c r="D451" s="93"/>
      <c r="E451" s="93"/>
      <c r="F451" s="95"/>
      <c r="G451" s="94"/>
      <c r="H451" s="94"/>
      <c r="I451" s="745"/>
      <c r="AF451" s="361" t="s">
        <v>0</v>
      </c>
      <c r="AG451" s="47"/>
      <c r="AH451" s="47"/>
      <c r="AI451" s="59"/>
      <c r="AJ451" s="59"/>
      <c r="AK451" s="43"/>
      <c r="AL451" s="76"/>
      <c r="AM451"/>
    </row>
    <row r="452" spans="1:39" s="23" customFormat="1" ht="20.25" customHeight="1">
      <c r="A452" s="145"/>
      <c r="B452" s="1012" t="str">
        <f>AK14</f>
        <v>Fees - not involved</v>
      </c>
      <c r="C452" s="1012"/>
      <c r="D452" s="1012"/>
      <c r="E452" s="1012"/>
      <c r="F452" s="1012"/>
      <c r="G452" s="1012"/>
      <c r="H452" s="1012"/>
      <c r="I452" s="745"/>
      <c r="J452"/>
      <c r="K452"/>
      <c r="L452"/>
      <c r="M452"/>
      <c r="N452"/>
      <c r="O452"/>
      <c r="P452"/>
      <c r="Q452"/>
      <c r="R452"/>
      <c r="S452"/>
      <c r="T452"/>
      <c r="U452"/>
      <c r="X452"/>
      <c r="AB452"/>
      <c r="AC452"/>
      <c r="AF452" s="361" t="s">
        <v>0</v>
      </c>
      <c r="AG452" s="76"/>
      <c r="AH452" s="76"/>
      <c r="AI452" s="59"/>
      <c r="AJ452" s="68"/>
      <c r="AK452" s="63" t="str">
        <f>AK14</f>
        <v>Fees - not involved</v>
      </c>
      <c r="AL452" s="76"/>
    </row>
    <row r="453" spans="1:39" s="376" customFormat="1" ht="14.1" hidden="1" customHeight="1" outlineLevel="1">
      <c r="A453" s="373"/>
      <c r="B453" s="455" t="s">
        <v>0</v>
      </c>
      <c r="C453" s="374" t="s">
        <v>0</v>
      </c>
      <c r="D453" s="374"/>
      <c r="E453" s="374"/>
      <c r="F453" s="382" t="s">
        <v>0</v>
      </c>
      <c r="G453" s="375" t="s">
        <v>57</v>
      </c>
      <c r="H453" s="375" t="s">
        <v>172</v>
      </c>
      <c r="I453" s="745"/>
      <c r="J453"/>
      <c r="K453"/>
      <c r="L453"/>
      <c r="M453"/>
      <c r="N453"/>
      <c r="O453"/>
      <c r="P453"/>
      <c r="Q453"/>
      <c r="R453"/>
      <c r="S453"/>
      <c r="T453"/>
      <c r="U453"/>
      <c r="V453" s="23"/>
      <c r="W453" s="23"/>
      <c r="X453"/>
      <c r="Y453" s="23"/>
      <c r="Z453" s="23"/>
      <c r="AA453" s="23"/>
      <c r="AB453"/>
      <c r="AC453"/>
      <c r="AD453" s="23"/>
      <c r="AE453" s="23"/>
      <c r="AF453" s="378" t="s">
        <v>59</v>
      </c>
      <c r="AG453" s="377"/>
      <c r="AH453" s="377"/>
      <c r="AI453" s="379"/>
      <c r="AJ453" s="380"/>
      <c r="AK453" s="381"/>
      <c r="AL453" s="377"/>
    </row>
    <row r="454" spans="1:39" ht="14.1" hidden="1" customHeight="1" outlineLevel="1">
      <c r="A454" s="145"/>
      <c r="B454" s="383" t="s">
        <v>0</v>
      </c>
      <c r="C454" s="118"/>
      <c r="D454" s="114"/>
      <c r="E454" s="114"/>
      <c r="F454" s="119"/>
      <c r="G454" s="175">
        <f>AG454</f>
        <v>0</v>
      </c>
      <c r="H454" s="186">
        <f>AH454</f>
        <v>0</v>
      </c>
      <c r="I454" s="745"/>
      <c r="AF454" s="361" t="s">
        <v>59</v>
      </c>
      <c r="AG454" s="60">
        <f>G14</f>
        <v>0</v>
      </c>
      <c r="AH454" s="60">
        <f>IF(S.Fee.Involved="N",,S.Notice.SubmitToSOS)</f>
        <v>0</v>
      </c>
      <c r="AI454" s="59"/>
      <c r="AJ454" s="59"/>
      <c r="AK454" s="66"/>
      <c r="AL454" s="76"/>
      <c r="AM454"/>
    </row>
    <row r="455" spans="1:39" ht="6" hidden="1" customHeight="1" outlineLevel="1">
      <c r="A455" s="145"/>
      <c r="B455" s="106"/>
      <c r="C455" s="98"/>
      <c r="D455" s="691"/>
      <c r="E455" s="691"/>
      <c r="F455" s="99"/>
      <c r="G455" s="98"/>
      <c r="H455" s="98"/>
      <c r="I455" s="745"/>
      <c r="AF455" s="362" t="s">
        <v>16</v>
      </c>
      <c r="AG455" s="47"/>
      <c r="AH455" s="47"/>
      <c r="AI455" s="59"/>
      <c r="AJ455" s="59"/>
      <c r="AK455" s="62"/>
      <c r="AL455" s="76"/>
      <c r="AM455"/>
    </row>
    <row r="456" spans="1:39" s="23" customFormat="1" ht="14.1" hidden="1" customHeight="1" outlineLevel="1">
      <c r="A456" s="145"/>
      <c r="B456" s="538" t="s">
        <v>307</v>
      </c>
      <c r="C456" s="512" t="str">
        <f>HYPERLINK("\\deqhq1\Rule_Resources\i\0-VersionHistory.pdf","i")</f>
        <v>i</v>
      </c>
      <c r="D456" s="692"/>
      <c r="E456" s="692"/>
      <c r="F456" s="83"/>
      <c r="G456" s="82"/>
      <c r="H456" s="82"/>
      <c r="I456" s="745"/>
      <c r="J456"/>
      <c r="K456"/>
      <c r="L456"/>
      <c r="M456"/>
      <c r="N456"/>
      <c r="O456"/>
      <c r="P456"/>
      <c r="Q456"/>
      <c r="R456"/>
      <c r="S456"/>
      <c r="T456"/>
      <c r="U456"/>
      <c r="X456"/>
      <c r="AB456"/>
      <c r="AC456"/>
      <c r="AF456" s="362" t="s">
        <v>20</v>
      </c>
      <c r="AG456" s="47"/>
      <c r="AH456" s="47"/>
      <c r="AI456" s="69"/>
      <c r="AJ456" s="69"/>
      <c r="AK456" s="35"/>
      <c r="AL456" s="76"/>
    </row>
    <row r="457" spans="1:39" s="23" customFormat="1" ht="14.1" hidden="1" customHeight="1" outlineLevel="1">
      <c r="A457" s="145"/>
      <c r="B457" s="343" t="str">
        <f>AK457</f>
        <v>Brian:</v>
      </c>
      <c r="C457" s="196"/>
      <c r="D457" s="706"/>
      <c r="E457" s="706"/>
      <c r="F457" s="191"/>
      <c r="G457" s="192"/>
      <c r="H457" s="193"/>
      <c r="I457" s="745"/>
      <c r="J457"/>
      <c r="K457"/>
      <c r="L457"/>
      <c r="M457"/>
      <c r="N457"/>
      <c r="O457"/>
      <c r="P457"/>
      <c r="Q457"/>
      <c r="R457"/>
      <c r="S457"/>
      <c r="T457"/>
      <c r="U457"/>
      <c r="X457"/>
      <c r="AB457"/>
      <c r="AC457"/>
      <c r="AF457" s="361">
        <f t="shared" ref="AF457:AF463" si="58">IF(S.Fee.Involved="N",0,1)</f>
        <v>0</v>
      </c>
      <c r="AG457" s="58"/>
      <c r="AH457" s="58"/>
      <c r="AI457" s="59"/>
      <c r="AJ457" s="43"/>
      <c r="AK457" s="78" t="str">
        <f>S.Staff.Subject.Expert.FirstName&amp;":"</f>
        <v>Brian:</v>
      </c>
      <c r="AL457" s="76"/>
    </row>
    <row r="458" spans="1:39" s="23" customFormat="1" ht="14.1" hidden="1" customHeight="1" outlineLevel="1">
      <c r="A458" s="145"/>
      <c r="B458" s="269" t="str">
        <f>AK458</f>
        <v>* devlopes Fee Approval Packet, resources: team and MargaretO</v>
      </c>
      <c r="C458" s="512" t="str">
        <f>HYPERLINK("\\deqhq1\Rule_Resources\i\3-FeeApproval.pdf","i")</f>
        <v>i</v>
      </c>
      <c r="D458" s="283"/>
      <c r="E458" s="283"/>
      <c r="F458" s="577">
        <f>NETWORKDAYS(G458,H458,S.DDL_DEQClosed)</f>
        <v>0</v>
      </c>
      <c r="G458" s="525">
        <f>AG458</f>
        <v>0</v>
      </c>
      <c r="H458" s="525">
        <f>AH458</f>
        <v>0</v>
      </c>
      <c r="I458" s="745"/>
      <c r="J458"/>
      <c r="K458"/>
      <c r="L458"/>
      <c r="M458"/>
      <c r="N458"/>
      <c r="O458"/>
      <c r="P458"/>
      <c r="Q458"/>
      <c r="R458"/>
      <c r="S458"/>
      <c r="T458"/>
      <c r="U458"/>
      <c r="X458"/>
      <c r="AB458"/>
      <c r="AC458"/>
      <c r="AF458" s="361">
        <f t="shared" si="58"/>
        <v>0</v>
      </c>
      <c r="AG458" s="60">
        <f>S.Fee.BANNER.Begin</f>
        <v>0</v>
      </c>
      <c r="AH458" s="60">
        <f>G458</f>
        <v>0</v>
      </c>
      <c r="AI458" s="59"/>
      <c r="AJ458" s="59"/>
      <c r="AK458" s="78" t="str">
        <f>"* devlopes Fee Approval Packet, resources: team and "&amp;S.Staff.Budget</f>
        <v>* devlopes Fee Approval Packet, resources: team and MargaretO</v>
      </c>
      <c r="AL458" s="76"/>
    </row>
    <row r="459" spans="1:39" s="23" customFormat="1" ht="14.1" hidden="1" customHeight="1" outlineLevel="1">
      <c r="A459" s="145"/>
      <c r="B459" s="430" t="s">
        <v>187</v>
      </c>
      <c r="C459" s="196"/>
      <c r="D459" s="706"/>
      <c r="E459" s="706"/>
      <c r="F459" s="578"/>
      <c r="G459" s="580"/>
      <c r="H459" s="579"/>
      <c r="I459" s="745"/>
      <c r="J459"/>
      <c r="K459"/>
      <c r="L459"/>
      <c r="M459"/>
      <c r="N459"/>
      <c r="O459"/>
      <c r="P459"/>
      <c r="Q459"/>
      <c r="R459"/>
      <c r="S459"/>
      <c r="T459"/>
      <c r="U459"/>
      <c r="X459"/>
      <c r="AB459"/>
      <c r="AC459"/>
      <c r="AF459" s="361">
        <f t="shared" si="58"/>
        <v>0</v>
      </c>
      <c r="AG459" s="58"/>
      <c r="AH459" s="58"/>
      <c r="AI459" s="59"/>
      <c r="AJ459" s="43"/>
      <c r="AK459" s="66"/>
      <c r="AL459" s="76"/>
    </row>
    <row r="460" spans="1:39" s="23" customFormat="1" ht="14.1" hidden="1" customHeight="1" outlineLevel="1">
      <c r="A460" s="145"/>
      <c r="B460" s="431" t="str">
        <f>AK460</f>
        <v xml:space="preserve"> blank row</v>
      </c>
      <c r="C460" s="546" t="s">
        <v>0</v>
      </c>
      <c r="D460" s="283"/>
      <c r="E460" s="750"/>
      <c r="F460" s="501"/>
      <c r="G460" s="501"/>
      <c r="H460" s="581"/>
      <c r="I460" s="745"/>
      <c r="J460"/>
      <c r="K460"/>
      <c r="L460"/>
      <c r="M460"/>
      <c r="N460"/>
      <c r="O460"/>
      <c r="P460"/>
      <c r="Q460"/>
      <c r="R460"/>
      <c r="S460"/>
      <c r="T460"/>
      <c r="U460"/>
      <c r="X460"/>
      <c r="AB460"/>
      <c r="AC460"/>
      <c r="AF460" s="361">
        <f t="shared" si="58"/>
        <v>0</v>
      </c>
      <c r="AG460" s="58"/>
      <c r="AH460" s="58"/>
      <c r="AI460" s="59"/>
      <c r="AJ460" s="59"/>
      <c r="AK460" s="67" t="str">
        <f>IF(S.Fee.DASApprovalRequired="Y","a. FEE.ANALYSIS (blank in folder 3)",IF(S.Fee.Involved="Y","a. FEE.ANALYSIS (blank in folder 3)"," blank row"))</f>
        <v xml:space="preserve"> blank row</v>
      </c>
      <c r="AL460" s="76"/>
    </row>
    <row r="461" spans="1:39" s="23" customFormat="1" ht="14.1" hidden="1" customHeight="1" outlineLevel="1">
      <c r="A461" s="145"/>
      <c r="B461" s="431" t="str">
        <f>AK461</f>
        <v xml:space="preserve">  blank row</v>
      </c>
      <c r="C461" s="546" t="s">
        <v>0</v>
      </c>
      <c r="D461" s="283"/>
      <c r="E461" s="750"/>
      <c r="F461" s="501"/>
      <c r="G461" s="501"/>
      <c r="H461" s="581"/>
      <c r="I461" s="745"/>
      <c r="J461"/>
      <c r="K461"/>
      <c r="L461"/>
      <c r="M461"/>
      <c r="N461"/>
      <c r="O461"/>
      <c r="P461"/>
      <c r="Q461"/>
      <c r="R461"/>
      <c r="S461"/>
      <c r="T461"/>
      <c r="U461"/>
      <c r="X461"/>
      <c r="AB461"/>
      <c r="AC461"/>
      <c r="AF461" s="361">
        <f t="shared" si="58"/>
        <v>0</v>
      </c>
      <c r="AG461" s="58"/>
      <c r="AH461" s="58"/>
      <c r="AI461" s="59"/>
      <c r="AJ461" s="59"/>
      <c r="AK461" s="67" t="str">
        <f>IF(S.Fee.DASApprovalRequired="Y","b. FEE.SUPPORT.DOCS",IF(S.Fee.Involved="Y","b. FEE.SUPPORT.DOCS","  blank row"))</f>
        <v xml:space="preserve">  blank row</v>
      </c>
      <c r="AL461" s="76"/>
    </row>
    <row r="462" spans="1:39" s="23" customFormat="1" ht="14.1" hidden="1" customHeight="1" outlineLevel="1">
      <c r="A462" s="145"/>
      <c r="B462" s="431" t="str">
        <f>AK462</f>
        <v xml:space="preserve"> blank line</v>
      </c>
      <c r="C462" s="512" t="str">
        <f>HYPERLINK("http://www.oregon.gov/DAS/CFO/budgetkickoffmeetings/march2012/107bf21_feeapproval.doc","i")</f>
        <v>i</v>
      </c>
      <c r="D462" s="283"/>
      <c r="E462" s="750"/>
      <c r="F462" s="501"/>
      <c r="G462" s="501"/>
      <c r="H462" s="581"/>
      <c r="I462" s="745"/>
      <c r="J462"/>
      <c r="K462"/>
      <c r="L462"/>
      <c r="M462"/>
      <c r="N462"/>
      <c r="O462"/>
      <c r="P462"/>
      <c r="Q462"/>
      <c r="R462"/>
      <c r="S462"/>
      <c r="T462"/>
      <c r="U462"/>
      <c r="X462"/>
      <c r="AB462"/>
      <c r="AC462"/>
      <c r="AF462" s="361">
        <f t="shared" si="58"/>
        <v>0</v>
      </c>
      <c r="AG462" s="58"/>
      <c r="AH462" s="58"/>
      <c r="AI462" s="59"/>
      <c r="AJ462" s="59"/>
      <c r="AK462" s="67" t="str">
        <f>IF(S.Fee.DASApprovalRequired="Y","c. FEE.APPROVAL",IF(S.Fee.Involved="Y","      After completing task at bottom of Fee Approval section, "," blank line"))</f>
        <v xml:space="preserve"> blank line</v>
      </c>
      <c r="AL462" s="76"/>
    </row>
    <row r="463" spans="1:39" s="23" customFormat="1" ht="14.1" hidden="1" customHeight="1" outlineLevel="1">
      <c r="A463" s="145"/>
      <c r="B463" s="431" t="str">
        <f>AK463</f>
        <v xml:space="preserve"> blank row</v>
      </c>
      <c r="C463" s="512" t="str">
        <f>HYPERLINK("http://www.oregon.gov/DAS/CFO/budgetkickoffmeetings/march2012/107bf22feechangedetail.xls","i")</f>
        <v>i</v>
      </c>
      <c r="D463" s="283"/>
      <c r="E463" s="750"/>
      <c r="F463" s="501"/>
      <c r="G463" s="501"/>
      <c r="H463" s="582"/>
      <c r="I463" s="745"/>
      <c r="J463"/>
      <c r="K463"/>
      <c r="L463"/>
      <c r="M463"/>
      <c r="N463"/>
      <c r="O463"/>
      <c r="P463"/>
      <c r="Q463"/>
      <c r="R463"/>
      <c r="S463"/>
      <c r="T463"/>
      <c r="U463"/>
      <c r="X463"/>
      <c r="AB463"/>
      <c r="AC463"/>
      <c r="AF463" s="361">
        <f t="shared" si="58"/>
        <v>0</v>
      </c>
      <c r="AG463" s="58"/>
      <c r="AH463" s="58"/>
      <c r="AI463" s="59"/>
      <c r="AJ463" s="59"/>
      <c r="AK463" s="67" t="str">
        <f>IF(S.Fee.DASApprovalRequired="Y","d. FEE.DETAIL",IF(S.Fee.Involved="Y","            the next DAS fee notification task is under 4-Notice"," blank row"))</f>
        <v xml:space="preserve"> blank row</v>
      </c>
      <c r="AL463" s="76"/>
    </row>
    <row r="464" spans="1:39" s="23" customFormat="1" ht="14.1" hidden="1" customHeight="1" outlineLevel="1">
      <c r="A464" s="145"/>
      <c r="B464" s="269" t="str">
        <f>AK464</f>
        <v>* requests Maggie's review for sufficiency, tone, plain English, style guide</v>
      </c>
      <c r="C464" s="547" t="s">
        <v>0</v>
      </c>
      <c r="D464" s="283"/>
      <c r="E464" s="283"/>
      <c r="F464" s="577">
        <f>NETWORKDAYS(G464,H464,S.DDL_DEQClosed)</f>
        <v>4</v>
      </c>
      <c r="G464" s="525">
        <f>AG464</f>
        <v>0</v>
      </c>
      <c r="H464" s="525">
        <f>AH464</f>
        <v>5</v>
      </c>
      <c r="I464" s="745"/>
      <c r="J464"/>
      <c r="K464"/>
      <c r="L464"/>
      <c r="M464"/>
      <c r="N464"/>
      <c r="O464"/>
      <c r="P464"/>
      <c r="Q464"/>
      <c r="R464"/>
      <c r="S464"/>
      <c r="T464"/>
      <c r="U464"/>
      <c r="X464"/>
      <c r="AB464"/>
      <c r="AC464"/>
      <c r="AF464" s="361">
        <f>IF(AND(S.Fee.Involved="Y",S.Fee.DASApprovalRequired="Y"),1,0)</f>
        <v>0</v>
      </c>
      <c r="AG464" s="60">
        <f>H458</f>
        <v>0</v>
      </c>
      <c r="AH464" s="60">
        <f>WORKDAY(G464+4,1,S.DDL_DEQClosed)</f>
        <v>5</v>
      </c>
      <c r="AI464" s="59"/>
      <c r="AJ464" s="59"/>
      <c r="AK464" s="182" t="str">
        <f>"* requests "&amp;S.Staff.AgencyRulesCoordinator&amp;"'s review for sufficiency, tone, plain English, style guide"</f>
        <v>* requests Maggie's review for sufficiency, tone, plain English, style guide</v>
      </c>
      <c r="AL464" s="76"/>
    </row>
    <row r="465" spans="1:39" s="23" customFormat="1" ht="14.1" hidden="1" customHeight="1" outlineLevel="1">
      <c r="A465" s="145" t="s">
        <v>0</v>
      </c>
      <c r="B465" s="576" t="s">
        <v>351</v>
      </c>
      <c r="C465" s="321"/>
      <c r="D465" s="712"/>
      <c r="E465" s="712"/>
      <c r="F465" s="287"/>
      <c r="G465" s="288"/>
      <c r="H465" s="288"/>
      <c r="I465" s="745"/>
      <c r="J465"/>
      <c r="K465"/>
      <c r="L465"/>
      <c r="M465"/>
      <c r="N465"/>
      <c r="O465"/>
      <c r="P465"/>
      <c r="Q465"/>
      <c r="R465"/>
      <c r="S465"/>
      <c r="T465"/>
      <c r="U465"/>
      <c r="X465"/>
      <c r="AB465"/>
      <c r="AC465"/>
      <c r="AF465" s="361">
        <f>IF(S.Fee.Involved="Y",1,0)</f>
        <v>0</v>
      </c>
      <c r="AG465" s="58"/>
      <c r="AH465" s="58"/>
      <c r="AI465" s="59"/>
      <c r="AJ465" s="59"/>
      <c r="AK465" s="74"/>
      <c r="AL465" s="76"/>
    </row>
    <row r="466" spans="1:39" ht="14.1" hidden="1" customHeight="1" outlineLevel="1">
      <c r="A466" s="145"/>
      <c r="B466" s="269" t="str">
        <f t="shared" ref="B466:B471" si="59">AK466</f>
        <v>* initiates DavidC's Fee Approval Packet review, addresses suggestions</v>
      </c>
      <c r="C466" s="547" t="s">
        <v>0</v>
      </c>
      <c r="D466" s="283"/>
      <c r="E466" s="750"/>
      <c r="F466"/>
      <c r="G466"/>
      <c r="H466" s="256">
        <f>AH466</f>
        <v>5</v>
      </c>
      <c r="I466" s="745"/>
      <c r="AF466" s="361">
        <f>IF(AND(S.Fee.Involved="Y",S.Fee.DASApprovalRequired="Y"),1,0)</f>
        <v>0</v>
      </c>
      <c r="AG466" s="58"/>
      <c r="AH466" s="60">
        <f>H464</f>
        <v>5</v>
      </c>
      <c r="AI466" s="59"/>
      <c r="AJ466" s="59"/>
      <c r="AK466" s="182" t="str">
        <f>"* initiates "&amp;S.Staff.Program.Mgr.FirstName&amp;"'s Fee Approval Packet review, addresses suggestions"</f>
        <v>* initiates DavidC's Fee Approval Packet review, addresses suggestions</v>
      </c>
      <c r="AL466" s="76"/>
      <c r="AM466"/>
    </row>
    <row r="467" spans="1:39" ht="14.1" hidden="1" customHeight="1" outlineLevel="1" thickBot="1">
      <c r="A467" s="145"/>
      <c r="B467" s="342" t="str">
        <f t="shared" si="59"/>
        <v>1st loop of DavidC's Fee Approval Packet review and approval</v>
      </c>
      <c r="C467" s="548"/>
      <c r="D467" s="283"/>
      <c r="E467" s="283"/>
      <c r="F467" s="261">
        <f>NETWORKDAYS(G467,H467,S.DDL_DEQClosed)</f>
        <v>-4</v>
      </c>
      <c r="G467" s="256">
        <f>AG467</f>
        <v>5</v>
      </c>
      <c r="H467" s="256">
        <f>AH467</f>
        <v>0</v>
      </c>
      <c r="I467" s="745"/>
      <c r="AF467" s="361">
        <f>IF(AND(S.Fee.Involved="Y",S.Fee.DASApprovalRequired="Y"),1,0)</f>
        <v>0</v>
      </c>
      <c r="AG467" s="60">
        <f>H466</f>
        <v>5</v>
      </c>
      <c r="AH467" s="60">
        <f>S.Fee.BANNER.End</f>
        <v>0</v>
      </c>
      <c r="AI467" s="59"/>
      <c r="AJ467" s="59"/>
      <c r="AK467" s="182" t="str">
        <f>"1st loop of "&amp;S.Staff.Program.Mgr.FirstName&amp;"'s Fee Approval Packet review and approval"</f>
        <v>1st loop of DavidC's Fee Approval Packet review and approval</v>
      </c>
      <c r="AL467" s="76"/>
      <c r="AM467"/>
    </row>
    <row r="468" spans="1:39" ht="14.1" hidden="1" customHeight="1" outlineLevel="1" thickBot="1">
      <c r="A468" s="145"/>
      <c r="B468" s="359" t="str">
        <f t="shared" si="59"/>
        <v>2nd loop of DavidC's Fee Approval Packet review and approval</v>
      </c>
      <c r="C468" s="481" t="s">
        <v>206</v>
      </c>
      <c r="D468" s="283"/>
      <c r="E468" s="283"/>
      <c r="F468" s="261">
        <f>NETWORKDAYS(G468,H468,S.DDL_DEQClosed)</f>
        <v>0</v>
      </c>
      <c r="G468" s="256">
        <f>AG468</f>
        <v>0</v>
      </c>
      <c r="H468" s="256">
        <f>AH468</f>
        <v>0</v>
      </c>
      <c r="I468" s="745"/>
      <c r="AF468" s="361">
        <f>IF(AND(S.Fee.ApprovePacketLoop2="Y",S.Fee.Involved="Y",S.Fee.DASApprovalRequired="Y"),1,0)</f>
        <v>0</v>
      </c>
      <c r="AG468" s="60">
        <f>IF(S.Fee.ApprovePacketLoop2="N",,H467)</f>
        <v>0</v>
      </c>
      <c r="AH468" s="60">
        <f>IF(S.Fee.ApprovePacketLoop2="N",,S.Notice.SubmitToSOS)</f>
        <v>0</v>
      </c>
      <c r="AI468" s="59" t="s">
        <v>0</v>
      </c>
      <c r="AJ468" s="59"/>
      <c r="AK468" s="182" t="str">
        <f>"2nd loop of "&amp;S.Staff.Program.Mgr.FirstName&amp;"'s Fee Approval Packet review and approval"</f>
        <v>2nd loop of DavidC's Fee Approval Packet review and approval</v>
      </c>
      <c r="AL468" s="76"/>
      <c r="AM468"/>
    </row>
    <row r="469" spans="1:39" ht="14.1" hidden="1" customHeight="1" outlineLevel="1" thickBot="1">
      <c r="A469" s="145"/>
      <c r="B469" s="339" t="str">
        <f t="shared" si="59"/>
        <v>3rd loop of DavidC's Fee Approval Packet review and approval</v>
      </c>
      <c r="C469" s="539" t="s">
        <v>206</v>
      </c>
      <c r="D469" s="283"/>
      <c r="E469" s="283"/>
      <c r="F469" s="261">
        <f>NETWORKDAYS(G469,H469,S.DDL_DEQClosed)</f>
        <v>0</v>
      </c>
      <c r="G469" s="256">
        <f>AG469</f>
        <v>0</v>
      </c>
      <c r="H469" s="256">
        <f>AH469</f>
        <v>0</v>
      </c>
      <c r="I469" s="745"/>
      <c r="AF469" s="361">
        <f>IF(AND(S.Fee.ApprovePacketLoop3="Y",S.Fee.Involved="Y",S.Fee.DASApprovalRequired="Y"),1,0)</f>
        <v>0</v>
      </c>
      <c r="AG469" s="60">
        <f>IF(S.Fee.ApprovePacketLoop3="N",,H468)</f>
        <v>0</v>
      </c>
      <c r="AH469" s="60">
        <f>IF(S.Fee.ApprovePacketLoop3="N",,S.Notice.SubmitToSOS)</f>
        <v>0</v>
      </c>
      <c r="AI469" s="59" t="s">
        <v>0</v>
      </c>
      <c r="AJ469" s="59"/>
      <c r="AK469" s="182" t="str">
        <f>"3rd loop of "&amp;S.Staff.Program.Mgr.FirstName&amp;"'s Fee Approval Packet review and approval"</f>
        <v>3rd loop of DavidC's Fee Approval Packet review and approval</v>
      </c>
      <c r="AL469" s="76"/>
      <c r="AM469"/>
    </row>
    <row r="470" spans="1:39" ht="14.1" hidden="1" customHeight="1" outlineLevel="1" thickBot="1">
      <c r="A470" s="145"/>
      <c r="B470" s="441" t="str">
        <f t="shared" si="59"/>
        <v>4th loop of DavidC's Fee Approval Packet review and approval</v>
      </c>
      <c r="C470" s="539" t="s">
        <v>206</v>
      </c>
      <c r="D470" s="283"/>
      <c r="E470" s="283"/>
      <c r="F470" s="261">
        <f>NETWORKDAYS(G470,H470,S.DDL_DEQClosed)</f>
        <v>0</v>
      </c>
      <c r="G470" s="256">
        <f>AG470</f>
        <v>0</v>
      </c>
      <c r="H470" s="256">
        <f>AH470</f>
        <v>0</v>
      </c>
      <c r="I470" s="745"/>
      <c r="AF470" s="361">
        <f>IF(AND(S.Fee.ApprovePacketLoop4="Y",S.Fee.Involved="Y",S.Fee.DASApprovalRequired="Y"),1,0)</f>
        <v>0</v>
      </c>
      <c r="AG470" s="60">
        <f>IF(S.Fee.ApprovePacketLoop4="N",,H469)</f>
        <v>0</v>
      </c>
      <c r="AH470" s="60">
        <f>IF(S.Fee.ApprovePacketLoop4="N",,S.Notice.SubmitToSOS)</f>
        <v>0</v>
      </c>
      <c r="AI470" s="59"/>
      <c r="AJ470" s="59"/>
      <c r="AK470" s="182" t="str">
        <f>"4th loop of "&amp;S.Staff.Program.Mgr.FirstName&amp;"'s Fee Approval Packet review and approval"</f>
        <v>4th loop of DavidC's Fee Approval Packet review and approval</v>
      </c>
      <c r="AL470" s="76"/>
      <c r="AM470"/>
    </row>
    <row r="471" spans="1:39" ht="14.1" hidden="1" customHeight="1" outlineLevel="1">
      <c r="A471" s="145"/>
      <c r="B471" s="267" t="str">
        <f t="shared" si="59"/>
        <v>AndreaG coordinates:</v>
      </c>
      <c r="C471" s="268"/>
      <c r="D471" s="268"/>
      <c r="E471" s="268"/>
      <c r="F471" s="262"/>
      <c r="G471" s="258"/>
      <c r="H471" s="258"/>
      <c r="I471" s="745"/>
      <c r="AF471" s="361">
        <f t="shared" ref="AF471:AF478" si="60">IF(AND(S.Fee.Involved="Y",S.Fee.DASApprovalRequired="Y"),1,0)</f>
        <v>0</v>
      </c>
      <c r="AG471" s="58"/>
      <c r="AH471" s="58"/>
      <c r="AI471" s="58"/>
      <c r="AJ471" s="44"/>
      <c r="AK471" s="78" t="str">
        <f>S.Staff.RG.Lead.FirstName&amp;" coordinates:"</f>
        <v>AndreaG coordinates:</v>
      </c>
      <c r="AL471" s="76"/>
      <c r="AM471"/>
    </row>
    <row r="472" spans="1:39" s="37" customFormat="1" ht="14.1" hidden="1" customHeight="1" outlineLevel="1">
      <c r="A472" s="164"/>
      <c r="B472" s="269" t="s">
        <v>125</v>
      </c>
      <c r="C472" s="282" t="s">
        <v>0</v>
      </c>
      <c r="D472" s="283"/>
      <c r="E472" s="750"/>
      <c r="F472"/>
      <c r="G472" s="462"/>
      <c r="H472" s="263">
        <f>AH472</f>
        <v>0</v>
      </c>
      <c r="I472" s="745"/>
      <c r="J472"/>
      <c r="K472"/>
      <c r="L472"/>
      <c r="M472"/>
      <c r="N472"/>
      <c r="O472"/>
      <c r="P472"/>
      <c r="Q472"/>
      <c r="R472"/>
      <c r="S472"/>
      <c r="T472"/>
      <c r="U472"/>
      <c r="V472" s="23"/>
      <c r="W472" s="23"/>
      <c r="X472"/>
      <c r="Y472" s="23"/>
      <c r="Z472" s="23"/>
      <c r="AA472" s="23"/>
      <c r="AB472"/>
      <c r="AC472"/>
      <c r="AD472" s="23"/>
      <c r="AE472" s="23"/>
      <c r="AF472" s="361">
        <f t="shared" si="60"/>
        <v>0</v>
      </c>
      <c r="AG472" s="58"/>
      <c r="AH472" s="60">
        <f>S.Fee.SubmitToDAS</f>
        <v>0</v>
      </c>
      <c r="AI472" s="59"/>
      <c r="AJ472" s="59"/>
      <c r="AK472" s="62"/>
      <c r="AL472" s="76"/>
    </row>
    <row r="473" spans="1:39" s="23" customFormat="1" ht="14.1" hidden="1" customHeight="1" outlineLevel="1">
      <c r="A473" s="145"/>
      <c r="B473" s="270" t="s">
        <v>126</v>
      </c>
      <c r="C473" s="268" t="s">
        <v>0</v>
      </c>
      <c r="D473" s="271"/>
      <c r="E473" s="271"/>
      <c r="F473" s="257" t="s">
        <v>0</v>
      </c>
      <c r="G473" s="258"/>
      <c r="H473" s="258"/>
      <c r="I473" s="745"/>
      <c r="J473"/>
      <c r="K473"/>
      <c r="L473"/>
      <c r="M473"/>
      <c r="N473"/>
      <c r="O473"/>
      <c r="P473"/>
      <c r="Q473"/>
      <c r="R473"/>
      <c r="S473"/>
      <c r="T473"/>
      <c r="U473"/>
      <c r="X473"/>
      <c r="AB473"/>
      <c r="AC473"/>
      <c r="AF473" s="361">
        <f t="shared" si="60"/>
        <v>0</v>
      </c>
      <c r="AG473" s="58" t="s">
        <v>0</v>
      </c>
      <c r="AH473" s="58"/>
      <c r="AI473" s="58"/>
      <c r="AJ473" s="66"/>
      <c r="AK473" s="44"/>
      <c r="AL473" s="76"/>
    </row>
    <row r="474" spans="1:39" s="23" customFormat="1" ht="14.1" hidden="1" customHeight="1" outlineLevel="1">
      <c r="A474" s="145"/>
      <c r="B474" s="272" t="s">
        <v>133</v>
      </c>
      <c r="C474" s="268" t="s">
        <v>0</v>
      </c>
      <c r="D474" s="271"/>
      <c r="E474" s="271"/>
      <c r="F474" s="257" t="s">
        <v>0</v>
      </c>
      <c r="G474" s="258"/>
      <c r="H474" s="258"/>
      <c r="I474" s="745"/>
      <c r="J474"/>
      <c r="K474"/>
      <c r="L474"/>
      <c r="M474"/>
      <c r="N474"/>
      <c r="O474"/>
      <c r="P474"/>
      <c r="Q474"/>
      <c r="R474"/>
      <c r="S474"/>
      <c r="T474"/>
      <c r="U474"/>
      <c r="X474"/>
      <c r="AB474"/>
      <c r="AC474"/>
      <c r="AF474" s="361">
        <f t="shared" si="60"/>
        <v>0</v>
      </c>
      <c r="AG474" s="58" t="s">
        <v>0</v>
      </c>
      <c r="AH474" s="58"/>
      <c r="AI474" s="58"/>
      <c r="AJ474" s="66"/>
      <c r="AK474" s="44"/>
      <c r="AL474" s="76"/>
    </row>
    <row r="475" spans="1:39" ht="14.1" hidden="1" customHeight="1" outlineLevel="1">
      <c r="A475" s="145"/>
      <c r="B475" s="203" t="s">
        <v>221</v>
      </c>
      <c r="C475" s="282" t="s">
        <v>0</v>
      </c>
      <c r="D475" s="283"/>
      <c r="E475" s="750"/>
      <c r="F475"/>
      <c r="G475"/>
      <c r="H475" s="256">
        <f t="shared" ref="H475:H482" si="61">AH475</f>
        <v>0</v>
      </c>
      <c r="I475" s="745"/>
      <c r="AF475" s="361">
        <f t="shared" si="60"/>
        <v>0</v>
      </c>
      <c r="AG475" s="58" t="s">
        <v>0</v>
      </c>
      <c r="AH475" s="60">
        <f>IF(AF475=0,,WORKDAY(H472+9,1,S.DDL_DEQClosed))</f>
        <v>0</v>
      </c>
      <c r="AI475" s="59"/>
      <c r="AJ475" s="59"/>
      <c r="AK475" s="62"/>
      <c r="AL475" s="76"/>
      <c r="AM475"/>
    </row>
    <row r="476" spans="1:39" s="23" customFormat="1" ht="14.1" hidden="1" customHeight="1" outlineLevel="1">
      <c r="A476" s="145"/>
      <c r="B476" s="208" t="str">
        <f t="shared" ref="B476:B482" si="62">AK476</f>
        <v>DAS sends Brian response</v>
      </c>
      <c r="C476" s="282" t="s">
        <v>0</v>
      </c>
      <c r="D476" s="283"/>
      <c r="E476" s="750"/>
      <c r="F476"/>
      <c r="G476"/>
      <c r="H476" s="265">
        <f t="shared" si="61"/>
        <v>0</v>
      </c>
      <c r="I476" s="745"/>
      <c r="J476"/>
      <c r="K476"/>
      <c r="L476"/>
      <c r="M476"/>
      <c r="N476"/>
      <c r="O476"/>
      <c r="P476"/>
      <c r="Q476"/>
      <c r="R476"/>
      <c r="S476"/>
      <c r="T476"/>
      <c r="U476"/>
      <c r="X476"/>
      <c r="AB476"/>
      <c r="AC476"/>
      <c r="AF476" s="361">
        <f t="shared" si="60"/>
        <v>0</v>
      </c>
      <c r="AG476" s="58" t="s">
        <v>0</v>
      </c>
      <c r="AH476" s="60">
        <f>H475</f>
        <v>0</v>
      </c>
      <c r="AI476" s="59"/>
      <c r="AJ476" s="59"/>
      <c r="AK476" s="78" t="str">
        <f>"DAS sends "&amp;S.Staff.Subject.Expert.FirstName&amp;" response"</f>
        <v>DAS sends Brian response</v>
      </c>
      <c r="AL476" s="76"/>
    </row>
    <row r="477" spans="1:39" s="23" customFormat="1" ht="14.1" hidden="1" customHeight="1" outlineLevel="1">
      <c r="A477" s="145"/>
      <c r="B477" s="204" t="str">
        <f t="shared" si="62"/>
        <v>If denied, Brian coordinates addressing DAS response</v>
      </c>
      <c r="C477" s="282" t="s">
        <v>0</v>
      </c>
      <c r="D477" s="283"/>
      <c r="E477" s="283"/>
      <c r="F477" s="261">
        <f>NETWORKDAYS(G477,H477,S.DDL_DEQClosed)</f>
        <v>0</v>
      </c>
      <c r="G477" s="256">
        <f t="shared" ref="G477:G482" si="63">AG477</f>
        <v>0</v>
      </c>
      <c r="H477" s="263">
        <f t="shared" si="61"/>
        <v>0</v>
      </c>
      <c r="I477" s="745"/>
      <c r="J477"/>
      <c r="K477"/>
      <c r="L477"/>
      <c r="M477"/>
      <c r="N477"/>
      <c r="O477"/>
      <c r="P477"/>
      <c r="Q477"/>
      <c r="R477"/>
      <c r="S477"/>
      <c r="T477"/>
      <c r="U477"/>
      <c r="X477"/>
      <c r="AB477"/>
      <c r="AC477"/>
      <c r="AF477" s="361">
        <f t="shared" si="60"/>
        <v>0</v>
      </c>
      <c r="AG477" s="60">
        <f>H476</f>
        <v>0</v>
      </c>
      <c r="AH477" s="60">
        <f t="shared" ref="AH477:AH482" si="64">G477</f>
        <v>0</v>
      </c>
      <c r="AI477" s="59"/>
      <c r="AJ477" s="59"/>
      <c r="AK477" s="78" t="str">
        <f>"If denied, "&amp;S.Staff.Subject.Expert.FirstName&amp;" coordinates addressing DAS response"</f>
        <v>If denied, Brian coordinates addressing DAS response</v>
      </c>
      <c r="AL477" s="76"/>
    </row>
    <row r="478" spans="1:39" ht="14.1" hidden="1" customHeight="1" outlineLevel="1" thickBot="1">
      <c r="A478" s="145"/>
      <c r="B478" s="342" t="str">
        <f t="shared" si="62"/>
        <v>1st loop of DavidC's approval of response to DAS denial</v>
      </c>
      <c r="C478" s="541" t="s">
        <v>0</v>
      </c>
      <c r="D478" s="283"/>
      <c r="E478" s="283"/>
      <c r="F478" s="261">
        <f>NETWORKDAYS(G478,H478,S.DDL_DEQClosed)</f>
        <v>0</v>
      </c>
      <c r="G478" s="256">
        <f t="shared" si="63"/>
        <v>0</v>
      </c>
      <c r="H478" s="256">
        <f t="shared" si="61"/>
        <v>0</v>
      </c>
      <c r="I478" s="745"/>
      <c r="AF478" s="361">
        <f t="shared" si="60"/>
        <v>0</v>
      </c>
      <c r="AG478" s="60">
        <f>H476</f>
        <v>0</v>
      </c>
      <c r="AH478" s="60">
        <f t="shared" si="64"/>
        <v>0</v>
      </c>
      <c r="AI478" s="59"/>
      <c r="AJ478" s="59"/>
      <c r="AK478" s="182" t="str">
        <f>"1st loop of "&amp;S.Staff.Program.Mgr.FirstName&amp;"'s approval of response to DAS denial"</f>
        <v>1st loop of DavidC's approval of response to DAS denial</v>
      </c>
      <c r="AL478" s="76"/>
      <c r="AM478"/>
    </row>
    <row r="479" spans="1:39" ht="14.1" hidden="1" customHeight="1" outlineLevel="1" thickBot="1">
      <c r="A479" s="145"/>
      <c r="B479" s="359" t="str">
        <f t="shared" si="62"/>
        <v>2nd loop of DavidC's approval of response to DAS denial</v>
      </c>
      <c r="C479" s="481" t="s">
        <v>206</v>
      </c>
      <c r="D479" s="283"/>
      <c r="E479" s="283"/>
      <c r="F479" s="261">
        <f>NETWORKDAYS(G479,H479,S.DDL_DEQClosed)</f>
        <v>0</v>
      </c>
      <c r="G479" s="256">
        <f t="shared" si="63"/>
        <v>0</v>
      </c>
      <c r="H479" s="256">
        <f t="shared" si="61"/>
        <v>0</v>
      </c>
      <c r="I479" s="745"/>
      <c r="AF479" s="361">
        <f>IF(AND(S.Fee.ApproveDASdenialResponseLoop1="Y",S.Fee.Involved="Y",S.Fee.DASApprovalRequired="Y"),1,0)</f>
        <v>0</v>
      </c>
      <c r="AG479" s="60">
        <f>IF(S.Fee.ApproveDASdenialResponseLoop1="N",,H478)</f>
        <v>0</v>
      </c>
      <c r="AH479" s="60">
        <f t="shared" si="64"/>
        <v>0</v>
      </c>
      <c r="AI479" s="59"/>
      <c r="AJ479" s="59"/>
      <c r="AK479" s="182" t="str">
        <f>"2nd loop of "&amp;S.Staff.Program.Mgr.FirstName&amp;"'s approval of response to DAS denial"</f>
        <v>2nd loop of DavidC's approval of response to DAS denial</v>
      </c>
      <c r="AL479" s="76"/>
      <c r="AM479"/>
    </row>
    <row r="480" spans="1:39" ht="14.1" hidden="1" customHeight="1" outlineLevel="1" thickBot="1">
      <c r="A480" s="145"/>
      <c r="B480" s="339" t="str">
        <f t="shared" si="62"/>
        <v>3rd loop of DavidC's approval of response to DAS denial</v>
      </c>
      <c r="C480" s="481" t="s">
        <v>206</v>
      </c>
      <c r="D480" s="283"/>
      <c r="E480" s="283"/>
      <c r="F480" s="261">
        <f>NETWORKDAYS(G480,H480,S.DDL_DEQClosed)</f>
        <v>0</v>
      </c>
      <c r="G480" s="256">
        <f t="shared" si="63"/>
        <v>0</v>
      </c>
      <c r="H480" s="256">
        <f t="shared" si="61"/>
        <v>0</v>
      </c>
      <c r="I480" s="745"/>
      <c r="AF480" s="361">
        <f>IF(AND(S.Fee.ApproveDASdenialResponseLoop2="Y",S.Fee.Involved="Y",S.Fee.DASApprovalRequired="Y"),1,0)</f>
        <v>0</v>
      </c>
      <c r="AG480" s="60">
        <f>IF(S.Fee.ApproveDASdenialResponseLoop2="N",,H479)</f>
        <v>0</v>
      </c>
      <c r="AH480" s="60">
        <f t="shared" si="64"/>
        <v>0</v>
      </c>
      <c r="AI480" s="59"/>
      <c r="AJ480" s="59"/>
      <c r="AK480" s="182" t="str">
        <f>"3rd loop of "&amp;S.Staff.Program.Mgr.FirstName&amp;"'s approval of response to DAS denial"</f>
        <v>3rd loop of DavidC's approval of response to DAS denial</v>
      </c>
      <c r="AL480" s="76"/>
      <c r="AM480"/>
    </row>
    <row r="481" spans="1:39" ht="14.1" hidden="1" customHeight="1" outlineLevel="1" thickBot="1">
      <c r="A481" s="145"/>
      <c r="B481" s="441" t="str">
        <f t="shared" si="62"/>
        <v>4th loop of DavidC's approval of response to DAS denial</v>
      </c>
      <c r="C481" s="481" t="s">
        <v>206</v>
      </c>
      <c r="D481" s="283"/>
      <c r="E481" s="283"/>
      <c r="F481" s="261">
        <f>NETWORKDAYS(G481,H481,S.DDL_DEQClosed)</f>
        <v>0</v>
      </c>
      <c r="G481" s="256">
        <f t="shared" si="63"/>
        <v>0</v>
      </c>
      <c r="H481" s="256">
        <f t="shared" si="61"/>
        <v>0</v>
      </c>
      <c r="I481" s="745"/>
      <c r="AF481" s="361">
        <f>IF(AND(S.Fee.ApproveDASdenialResponseLoop4="Y",S.Fee.Involved="Y",S.Fee.DASApprovalRequired="Y"),1,0)</f>
        <v>0</v>
      </c>
      <c r="AG481" s="60">
        <f>IF(S.Fee.ApproveDASdenialResponseLoop4="N",,H480)</f>
        <v>0</v>
      </c>
      <c r="AH481" s="60">
        <f t="shared" si="64"/>
        <v>0</v>
      </c>
      <c r="AI481" s="59"/>
      <c r="AJ481" s="59"/>
      <c r="AK481" s="182" t="str">
        <f>"4th loop of "&amp;S.Staff.Program.Mgr.FirstName&amp;"'s approval of response to DAS denial"</f>
        <v>4th loop of DavidC's approval of response to DAS denial</v>
      </c>
      <c r="AL481" s="76"/>
      <c r="AM481"/>
    </row>
    <row r="482" spans="1:39" s="23" customFormat="1" ht="14.1" hidden="1" customHeight="1" outlineLevel="1">
      <c r="A482" s="145"/>
      <c r="B482" s="276" t="str">
        <f t="shared" si="62"/>
        <v>If approved, Brian scans and files DAS.PART1.pdf</v>
      </c>
      <c r="C482" s="282" t="s">
        <v>0</v>
      </c>
      <c r="D482" s="283"/>
      <c r="E482" s="750"/>
      <c r="F482"/>
      <c r="G482" s="558">
        <f t="shared" si="63"/>
        <v>0</v>
      </c>
      <c r="H482" s="265">
        <f t="shared" si="61"/>
        <v>0</v>
      </c>
      <c r="I482" s="745"/>
      <c r="J482"/>
      <c r="K482"/>
      <c r="L482"/>
      <c r="M482"/>
      <c r="N482"/>
      <c r="O482"/>
      <c r="P482"/>
      <c r="Q482"/>
      <c r="R482"/>
      <c r="S482"/>
      <c r="T482"/>
      <c r="U482"/>
      <c r="X482"/>
      <c r="AB482"/>
      <c r="AC482"/>
      <c r="AF482" s="361">
        <f>IF(AND(S.Fee.Involved="Y",S.Fee.DASApprovalRequired="Y"),1,0)</f>
        <v>0</v>
      </c>
      <c r="AG482" s="60">
        <f>H476</f>
        <v>0</v>
      </c>
      <c r="AH482" s="60">
        <f t="shared" si="64"/>
        <v>0</v>
      </c>
      <c r="AI482" s="59"/>
      <c r="AJ482" s="59"/>
      <c r="AK482" s="63" t="str">
        <f>"If approved, "&amp;S.Staff.Subject.Expert.FirstName&amp;" scans and files DAS.PART1.pdf"</f>
        <v>If approved, Brian scans and files DAS.PART1.pdf</v>
      </c>
      <c r="AL482" s="76"/>
    </row>
    <row r="483" spans="1:39" s="23" customFormat="1" ht="14.1" hidden="1" customHeight="1" outlineLevel="1">
      <c r="A483" s="145"/>
      <c r="B483" s="273" t="s">
        <v>127</v>
      </c>
      <c r="C483" s="268" t="s">
        <v>0</v>
      </c>
      <c r="D483" s="274"/>
      <c r="E483" s="274"/>
      <c r="F483" s="257" t="s">
        <v>0</v>
      </c>
      <c r="G483" s="258"/>
      <c r="H483" s="258"/>
      <c r="I483" s="745"/>
      <c r="J483"/>
      <c r="K483"/>
      <c r="L483"/>
      <c r="M483"/>
      <c r="N483"/>
      <c r="O483"/>
      <c r="P483"/>
      <c r="Q483"/>
      <c r="R483"/>
      <c r="S483"/>
      <c r="T483"/>
      <c r="U483"/>
      <c r="X483"/>
      <c r="AB483"/>
      <c r="AC483"/>
      <c r="AF483" s="361">
        <f>IF(AND(S.Fee.Involved="Y",S.Fee.DASApprovalRequired="Y"),1,0)</f>
        <v>0</v>
      </c>
      <c r="AG483" s="58" t="s">
        <v>0</v>
      </c>
      <c r="AH483" s="58"/>
      <c r="AI483" s="58"/>
      <c r="AJ483" s="66"/>
      <c r="AK483" s="44"/>
      <c r="AL483" s="76"/>
    </row>
    <row r="484" spans="1:39" s="23" customFormat="1" ht="14.1" hidden="1" customHeight="1" outlineLevel="1">
      <c r="A484" s="145"/>
      <c r="B484" s="205" t="str">
        <f>AK484</f>
        <v>Brian gathers all fee emails for the Rule Record and saves as:</v>
      </c>
      <c r="C484" s="509" t="str">
        <f>HYPERLINK("\\deqhq1\Rule_Development\Currrent Plan","i")</f>
        <v>i</v>
      </c>
      <c r="D484" s="283"/>
      <c r="E484" s="283"/>
      <c r="F484" s="261">
        <f>NETWORKDAYS(G484,H484,S.DDL_DEQClosed)</f>
        <v>0</v>
      </c>
      <c r="G484" s="256">
        <f>AG484</f>
        <v>0</v>
      </c>
      <c r="H484" s="256">
        <f>AH484</f>
        <v>0</v>
      </c>
      <c r="I484" s="745"/>
      <c r="J484"/>
      <c r="K484"/>
      <c r="L484"/>
      <c r="M484"/>
      <c r="N484"/>
      <c r="O484"/>
      <c r="P484"/>
      <c r="Q484"/>
      <c r="R484"/>
      <c r="S484"/>
      <c r="T484"/>
      <c r="U484"/>
      <c r="X484"/>
      <c r="AB484"/>
      <c r="AC484"/>
      <c r="AF484" s="361">
        <f>IF(AND(S.Fee.Involved="Y",S.Fee.DASApprovalRequired="Y"),1,0)</f>
        <v>0</v>
      </c>
      <c r="AG484" s="60">
        <f>H478</f>
        <v>0</v>
      </c>
      <c r="AH484" s="60">
        <f>G484</f>
        <v>0</v>
      </c>
      <c r="AI484" s="58"/>
      <c r="AJ484" s="66"/>
      <c r="AK484" s="63" t="str">
        <f>S.Staff.Subject.Expert.FirstName&amp;" gathers all fee emails for the Rule Record and saves as:"</f>
        <v>Brian gathers all fee emails for the Rule Record and saves as:</v>
      </c>
      <c r="AL484" s="76"/>
    </row>
    <row r="485" spans="1:39" s="23" customFormat="1" ht="14.1" hidden="1" customHeight="1" outlineLevel="1">
      <c r="A485" s="145"/>
      <c r="B485" s="277" t="s">
        <v>134</v>
      </c>
      <c r="C485" s="268"/>
      <c r="D485" s="268"/>
      <c r="E485" s="268"/>
      <c r="F485" s="262"/>
      <c r="G485" s="258"/>
      <c r="H485" s="258"/>
      <c r="I485" s="745"/>
      <c r="J485"/>
      <c r="K485"/>
      <c r="L485"/>
      <c r="M485"/>
      <c r="N485"/>
      <c r="O485"/>
      <c r="P485"/>
      <c r="Q485"/>
      <c r="R485"/>
      <c r="S485"/>
      <c r="T485"/>
      <c r="U485"/>
      <c r="X485"/>
      <c r="AB485"/>
      <c r="AC485"/>
      <c r="AF485" s="361">
        <f>IF(S.Fee.Involved="Y",1,0)</f>
        <v>0</v>
      </c>
      <c r="AG485" s="58"/>
      <c r="AH485" s="58"/>
      <c r="AI485" s="58"/>
      <c r="AJ485" s="44"/>
      <c r="AK485" s="58" t="s">
        <v>0</v>
      </c>
      <c r="AL485" s="76"/>
    </row>
    <row r="486" spans="1:39" ht="6" customHeight="1" collapsed="1">
      <c r="A486" s="145"/>
      <c r="B486" s="120"/>
      <c r="C486" s="100"/>
      <c r="D486" s="121"/>
      <c r="E486" s="121"/>
      <c r="F486" s="83"/>
      <c r="G486" s="122"/>
      <c r="H486" s="123"/>
      <c r="I486" s="745"/>
      <c r="AF486" s="361" t="s">
        <v>0</v>
      </c>
      <c r="AG486" s="47"/>
      <c r="AH486" s="47"/>
      <c r="AI486" s="59"/>
      <c r="AJ486" s="59"/>
      <c r="AK486" s="62"/>
      <c r="AL486" s="76"/>
      <c r="AM486"/>
    </row>
    <row r="487" spans="1:39" s="23" customFormat="1" ht="20.25" customHeight="1">
      <c r="A487" s="145"/>
      <c r="B487" s="1017" t="str">
        <f>AK22</f>
        <v>Public Notice</v>
      </c>
      <c r="C487" s="1017"/>
      <c r="D487" s="1017"/>
      <c r="E487" s="1017"/>
      <c r="F487" s="1017"/>
      <c r="G487" s="1017"/>
      <c r="H487" s="1017"/>
      <c r="I487" s="745"/>
      <c r="J487"/>
      <c r="K487"/>
      <c r="L487"/>
      <c r="M487"/>
      <c r="N487"/>
      <c r="O487"/>
      <c r="P487"/>
      <c r="Q487"/>
      <c r="R487"/>
      <c r="S487"/>
      <c r="T487"/>
      <c r="U487"/>
      <c r="X487"/>
      <c r="AB487"/>
      <c r="AC487"/>
      <c r="AF487" s="361" t="s">
        <v>0</v>
      </c>
      <c r="AG487" s="76"/>
      <c r="AH487" s="76"/>
      <c r="AI487" s="59"/>
      <c r="AJ487" s="68"/>
      <c r="AK487" s="58"/>
      <c r="AL487" s="76"/>
    </row>
    <row r="488" spans="1:39" s="23" customFormat="1" ht="14.1" customHeight="1">
      <c r="A488" s="145"/>
      <c r="B488" s="975" t="str">
        <f>S.General.CodeName</f>
        <v>GPLMP</v>
      </c>
      <c r="C488" s="86" t="s">
        <v>0</v>
      </c>
      <c r="D488" s="171"/>
      <c r="E488" s="171"/>
      <c r="F488" s="171"/>
      <c r="G488" s="375" t="s">
        <v>57</v>
      </c>
      <c r="H488" s="375" t="s">
        <v>172</v>
      </c>
      <c r="I488" s="745"/>
      <c r="J488"/>
      <c r="K488"/>
      <c r="L488"/>
      <c r="M488"/>
      <c r="N488"/>
      <c r="O488"/>
      <c r="P488"/>
      <c r="Q488"/>
      <c r="R488"/>
      <c r="S488"/>
      <c r="T488"/>
      <c r="U488"/>
      <c r="X488"/>
      <c r="AB488"/>
      <c r="AC488"/>
      <c r="AF488" s="361" t="s">
        <v>0</v>
      </c>
      <c r="AG488" s="76"/>
      <c r="AH488" s="76"/>
      <c r="AI488" s="59"/>
      <c r="AJ488" s="68"/>
      <c r="AK488" s="58"/>
      <c r="AL488" s="76"/>
    </row>
    <row r="489" spans="1:39" ht="14.1" customHeight="1">
      <c r="A489" s="145"/>
      <c r="B489" s="1005" t="s">
        <v>0</v>
      </c>
      <c r="C489" s="1005"/>
      <c r="D489" s="1005"/>
      <c r="E489" s="1005"/>
      <c r="F489" s="1005"/>
      <c r="G489" s="175">
        <f>AG489</f>
        <v>41792</v>
      </c>
      <c r="H489" s="126">
        <f>AH489</f>
        <v>41904</v>
      </c>
      <c r="I489" s="745"/>
      <c r="AF489" s="361">
        <f>IF(S.Notice.Involved="Y",1,0)</f>
        <v>1</v>
      </c>
      <c r="AG489" s="60">
        <f>S.Notice.BANNER.Begin</f>
        <v>41792</v>
      </c>
      <c r="AH489" s="60">
        <f>S.Notice.BANNER.End</f>
        <v>41904</v>
      </c>
      <c r="AI489" s="59"/>
      <c r="AJ489" s="59"/>
      <c r="AK489" s="62"/>
      <c r="AL489" s="76"/>
      <c r="AM489"/>
    </row>
    <row r="490" spans="1:39" ht="6" customHeight="1">
      <c r="A490" s="145">
        <v>111</v>
      </c>
      <c r="B490" s="124"/>
      <c r="C490" s="98"/>
      <c r="D490" s="691"/>
      <c r="E490" s="691"/>
      <c r="F490" s="99"/>
      <c r="G490" s="98"/>
      <c r="H490" s="98"/>
      <c r="I490" s="745"/>
      <c r="AF490" s="361" t="s">
        <v>0</v>
      </c>
      <c r="AG490" s="47"/>
      <c r="AH490" s="47"/>
      <c r="AI490" s="47"/>
      <c r="AJ490" s="44"/>
      <c r="AK490" s="44"/>
      <c r="AL490" s="76"/>
      <c r="AM490"/>
    </row>
    <row r="491" spans="1:39" s="23" customFormat="1" ht="14.1" customHeight="1">
      <c r="A491" s="145"/>
      <c r="B491" s="538" t="s">
        <v>782</v>
      </c>
      <c r="C491" s="512" t="str">
        <f>HYPERLINK("\\deqhq1\Rule_Resources\i\0-VersionHistory.pdf","i")</f>
        <v>i</v>
      </c>
      <c r="D491" s="692"/>
      <c r="E491" s="692"/>
      <c r="F491" s="83"/>
      <c r="G491" s="82"/>
      <c r="H491" s="82"/>
      <c r="I491" s="745"/>
      <c r="J491"/>
      <c r="K491"/>
      <c r="L491"/>
      <c r="M491"/>
      <c r="N491"/>
      <c r="O491"/>
      <c r="P491"/>
      <c r="Q491"/>
      <c r="R491"/>
      <c r="S491"/>
      <c r="T491"/>
      <c r="U491"/>
      <c r="X491"/>
      <c r="AB491"/>
      <c r="AC491"/>
      <c r="AF491" s="362" t="s">
        <v>0</v>
      </c>
      <c r="AG491" s="47"/>
      <c r="AH491" s="59"/>
      <c r="AI491" s="69"/>
      <c r="AJ491" s="69"/>
      <c r="AK491" s="35"/>
      <c r="AL491" s="76"/>
    </row>
    <row r="492" spans="1:39" s="23" customFormat="1" ht="20.25" customHeight="1" thickBot="1">
      <c r="A492" s="145"/>
      <c r="B492" s="523" t="s">
        <v>574</v>
      </c>
      <c r="D492" s="705"/>
      <c r="E492" s="705"/>
      <c r="I492" s="745"/>
      <c r="AF492" s="361">
        <f t="shared" ref="AF492:AF510" si="65">IF(S.Notice.Involved="Y",1,0)</f>
        <v>1</v>
      </c>
      <c r="AG492" s="59"/>
      <c r="AH492" s="59"/>
      <c r="AI492" s="59"/>
      <c r="AJ492" s="62"/>
      <c r="AK492" s="346"/>
      <c r="AL492" s="76"/>
    </row>
    <row r="493" spans="1:39" ht="14.1" customHeight="1">
      <c r="A493" s="145"/>
      <c r="B493" s="221" t="str">
        <f>AK493</f>
        <v>Brian leads drafting of Notice Packet with core team</v>
      </c>
      <c r="C493" s="545" t="s">
        <v>0</v>
      </c>
      <c r="D493" s="714"/>
      <c r="E493" s="887"/>
      <c r="F493" s="23"/>
      <c r="G493" s="939">
        <f t="shared" ref="G493" si="66">AG493</f>
        <v>41792</v>
      </c>
      <c r="H493" s="940">
        <f t="shared" ref="H493" si="67">AH493</f>
        <v>41801</v>
      </c>
      <c r="I493" s="745"/>
      <c r="AF493" s="361">
        <f t="shared" si="65"/>
        <v>1</v>
      </c>
      <c r="AG493" s="566">
        <f>IF(AF493=0,,S.Notice.BANNER.Begin)</f>
        <v>41792</v>
      </c>
      <c r="AH493" s="566">
        <f>IF(AF493=0,,WORKDAY(S.Notice.Submit.ToSponsoringMgr-1,-1,S.DDL_DEQClosed))</f>
        <v>41801</v>
      </c>
      <c r="AI493" s="47"/>
      <c r="AJ493" s="44"/>
      <c r="AK493" s="182" t="str">
        <f>S.Staff.Subject.Expert.FirstName&amp;" leads drafting of Notice Packet with core team"</f>
        <v>Brian leads drafting of Notice Packet with core team</v>
      </c>
      <c r="AL493" s="76"/>
      <c r="AM493"/>
    </row>
    <row r="494" spans="1:39" s="23" customFormat="1" ht="14.1" customHeight="1" outlineLevel="1">
      <c r="A494" s="145"/>
      <c r="B494" s="751" t="s">
        <v>575</v>
      </c>
      <c r="D494" s="705"/>
      <c r="E494" s="705"/>
      <c r="G494" s="941"/>
      <c r="H494" s="942"/>
      <c r="I494" s="745"/>
      <c r="AF494" s="361">
        <f t="shared" si="65"/>
        <v>1</v>
      </c>
      <c r="AG494" s="59"/>
      <c r="AH494" s="59"/>
      <c r="AI494" s="59"/>
      <c r="AJ494" s="62"/>
      <c r="AK494" s="346"/>
      <c r="AL494" s="76"/>
    </row>
    <row r="495" spans="1:39" s="23" customFormat="1" ht="14.1" customHeight="1" outlineLevel="1">
      <c r="A495" s="145"/>
      <c r="B495" s="424" t="s">
        <v>593</v>
      </c>
      <c r="D495" s="705"/>
      <c r="E495" s="705"/>
      <c r="G495" s="941"/>
      <c r="H495" s="942"/>
      <c r="I495" s="745"/>
      <c r="AF495" s="361">
        <f t="shared" si="65"/>
        <v>1</v>
      </c>
      <c r="AG495" s="59"/>
      <c r="AH495" s="59"/>
      <c r="AI495" s="59"/>
      <c r="AJ495" s="62"/>
      <c r="AK495" s="346"/>
      <c r="AL495" s="76"/>
    </row>
    <row r="496" spans="1:39" s="23" customFormat="1" ht="14.1" customHeight="1" outlineLevel="1">
      <c r="A496" s="145"/>
      <c r="B496" s="220" t="s">
        <v>581</v>
      </c>
      <c r="C496" s="545" t="s">
        <v>0</v>
      </c>
      <c r="D496"/>
      <c r="F496"/>
      <c r="G496" s="941"/>
      <c r="H496" s="942"/>
      <c r="I496" s="745"/>
      <c r="AF496" s="361">
        <f t="shared" si="65"/>
        <v>1</v>
      </c>
      <c r="AG496" s="58"/>
      <c r="AH496" s="58"/>
      <c r="AI496" s="59"/>
      <c r="AJ496" s="59"/>
      <c r="AK496" s="346"/>
      <c r="AL496" s="76"/>
    </row>
    <row r="497" spans="1:38" s="23" customFormat="1" ht="14.1" customHeight="1" outlineLevel="1">
      <c r="A497" s="145"/>
      <c r="B497" s="302" t="s">
        <v>582</v>
      </c>
      <c r="C497" s="542"/>
      <c r="D497"/>
      <c r="F497"/>
      <c r="G497" s="941"/>
      <c r="H497" s="942"/>
      <c r="I497" s="745"/>
      <c r="AF497" s="361">
        <f t="shared" si="65"/>
        <v>1</v>
      </c>
      <c r="AG497" s="58"/>
      <c r="AH497" s="58"/>
      <c r="AI497" s="59"/>
      <c r="AJ497" s="59"/>
      <c r="AK497" s="44"/>
      <c r="AL497" s="76"/>
    </row>
    <row r="498" spans="1:38" s="23" customFormat="1" ht="14.1" customHeight="1" outlineLevel="1">
      <c r="A498" s="145"/>
      <c r="B498" s="771" t="s">
        <v>618</v>
      </c>
      <c r="C498" s="282" t="s">
        <v>0</v>
      </c>
      <c r="D498"/>
      <c r="G498" s="941"/>
      <c r="H498" s="942"/>
      <c r="I498" s="745"/>
      <c r="AF498" s="361">
        <f t="shared" si="65"/>
        <v>1</v>
      </c>
      <c r="AG498" s="58"/>
      <c r="AH498" s="58"/>
      <c r="AI498" s="59"/>
      <c r="AJ498" s="59"/>
      <c r="AK498" s="44"/>
      <c r="AL498" s="76"/>
    </row>
    <row r="499" spans="1:38" s="23" customFormat="1" ht="14.1" customHeight="1" outlineLevel="1">
      <c r="A499" s="145"/>
      <c r="B499" s="771" t="s">
        <v>619</v>
      </c>
      <c r="C499" s="282" t="s">
        <v>0</v>
      </c>
      <c r="D499"/>
      <c r="G499" s="941"/>
      <c r="H499" s="942"/>
      <c r="I499" s="745"/>
      <c r="AF499" s="361">
        <f t="shared" si="65"/>
        <v>1</v>
      </c>
      <c r="AG499" s="58"/>
      <c r="AH499" s="58"/>
      <c r="AI499" s="59"/>
      <c r="AJ499" s="59"/>
      <c r="AK499" s="44"/>
      <c r="AL499" s="76"/>
    </row>
    <row r="500" spans="1:38" s="23" customFormat="1" ht="14.1" customHeight="1" outlineLevel="1">
      <c r="A500" s="145"/>
      <c r="B500" s="771" t="s">
        <v>620</v>
      </c>
      <c r="C500" s="282" t="s">
        <v>0</v>
      </c>
      <c r="D500"/>
      <c r="G500" s="941"/>
      <c r="H500" s="942"/>
      <c r="I500" s="745"/>
      <c r="AF500" s="361">
        <f t="shared" si="65"/>
        <v>1</v>
      </c>
      <c r="AG500" s="58"/>
      <c r="AH500" s="58"/>
      <c r="AI500" s="59"/>
      <c r="AJ500" s="59"/>
      <c r="AK500" s="44"/>
      <c r="AL500" s="76"/>
    </row>
    <row r="501" spans="1:38" s="23" customFormat="1" ht="14.1" customHeight="1" outlineLevel="1">
      <c r="A501" s="145"/>
      <c r="B501" s="771" t="s">
        <v>621</v>
      </c>
      <c r="C501" s="282" t="s">
        <v>0</v>
      </c>
      <c r="G501" s="941"/>
      <c r="H501" s="942"/>
      <c r="I501" s="745"/>
      <c r="AF501" s="361">
        <f t="shared" si="65"/>
        <v>1</v>
      </c>
      <c r="AG501" s="58"/>
      <c r="AH501" s="58"/>
      <c r="AI501" s="59"/>
      <c r="AJ501" s="59"/>
      <c r="AK501" s="44"/>
      <c r="AL501" s="76"/>
    </row>
    <row r="502" spans="1:38" s="23" customFormat="1" ht="14.1" customHeight="1" outlineLevel="1">
      <c r="A502" s="145"/>
      <c r="B502" s="771" t="s">
        <v>622</v>
      </c>
      <c r="C502" s="282" t="s">
        <v>0</v>
      </c>
      <c r="G502" s="941"/>
      <c r="H502" s="942"/>
      <c r="I502" s="745"/>
      <c r="AF502" s="361">
        <f t="shared" si="65"/>
        <v>1</v>
      </c>
      <c r="AG502" s="58"/>
      <c r="AH502" s="58"/>
      <c r="AI502" s="59"/>
      <c r="AJ502" s="59"/>
      <c r="AK502" s="44"/>
      <c r="AL502" s="76"/>
    </row>
    <row r="503" spans="1:38" s="23" customFormat="1" ht="14.1" customHeight="1" outlineLevel="1">
      <c r="A503" s="145"/>
      <c r="B503" s="771" t="s">
        <v>623</v>
      </c>
      <c r="C503" s="282" t="s">
        <v>0</v>
      </c>
      <c r="D503"/>
      <c r="G503" s="941"/>
      <c r="H503" s="942"/>
      <c r="I503" s="745"/>
      <c r="AF503" s="361">
        <f t="shared" si="65"/>
        <v>1</v>
      </c>
      <c r="AG503" s="58"/>
      <c r="AH503" s="58"/>
      <c r="AI503" s="59"/>
      <c r="AJ503" s="59"/>
      <c r="AK503" s="44"/>
      <c r="AL503" s="76"/>
    </row>
    <row r="504" spans="1:38" s="23" customFormat="1" ht="14.1" customHeight="1" outlineLevel="1">
      <c r="A504" s="145"/>
      <c r="B504" s="771" t="s">
        <v>624</v>
      </c>
      <c r="C504" s="282" t="s">
        <v>0</v>
      </c>
      <c r="D504"/>
      <c r="G504" s="941"/>
      <c r="H504" s="942"/>
      <c r="I504" s="745"/>
      <c r="AF504" s="361">
        <f t="shared" si="65"/>
        <v>1</v>
      </c>
      <c r="AG504" s="58"/>
      <c r="AH504" s="566">
        <f>S.Notice.Submit.ToRG</f>
        <v>41821</v>
      </c>
      <c r="AI504" s="59"/>
      <c r="AJ504" s="59"/>
      <c r="AK504" s="44"/>
      <c r="AL504" s="76"/>
    </row>
    <row r="505" spans="1:38" s="23" customFormat="1" ht="14.1" customHeight="1" outlineLevel="1">
      <c r="A505" s="145"/>
      <c r="B505" s="772" t="s">
        <v>625</v>
      </c>
      <c r="C505" s="282" t="s">
        <v>0</v>
      </c>
      <c r="D505"/>
      <c r="G505" s="941"/>
      <c r="H505" s="942"/>
      <c r="I505" s="745"/>
      <c r="AF505" s="361">
        <f t="shared" si="65"/>
        <v>1</v>
      </c>
      <c r="AG505" s="58"/>
      <c r="AH505" s="58"/>
      <c r="AI505" s="59"/>
      <c r="AJ505" s="59"/>
      <c r="AK505" s="44"/>
      <c r="AL505" s="76"/>
    </row>
    <row r="506" spans="1:38" s="23" customFormat="1" ht="14.1" customHeight="1" outlineLevel="1">
      <c r="A506" s="145"/>
      <c r="B506" s="220" t="s">
        <v>583</v>
      </c>
      <c r="C506" s="545" t="s">
        <v>0</v>
      </c>
      <c r="D506"/>
      <c r="F506"/>
      <c r="G506" s="941"/>
      <c r="H506" s="942"/>
      <c r="I506" s="745"/>
      <c r="AF506" s="361">
        <f t="shared" si="65"/>
        <v>1</v>
      </c>
      <c r="AG506" s="58"/>
      <c r="AH506" s="58"/>
      <c r="AI506" s="59"/>
      <c r="AJ506" s="59"/>
      <c r="AK506" s="44"/>
      <c r="AL506" s="76"/>
    </row>
    <row r="507" spans="1:38" s="23" customFormat="1" ht="14.1" customHeight="1">
      <c r="A507" s="145"/>
      <c r="B507" s="267" t="str">
        <f>AK507</f>
        <v xml:space="preserve">Brian asks RESOURCES for help and input, especially: </v>
      </c>
      <c r="C507" s="268"/>
      <c r="D507" s="714"/>
      <c r="E507" s="887"/>
      <c r="F507"/>
      <c r="G507" s="943">
        <f t="shared" ref="G507:G520" si="68">AG507</f>
        <v>41792</v>
      </c>
      <c r="H507" s="944">
        <f t="shared" ref="H507:H520" si="69">AH507</f>
        <v>41801</v>
      </c>
      <c r="I507" s="745"/>
      <c r="AF507" s="361">
        <f t="shared" si="65"/>
        <v>1</v>
      </c>
      <c r="AG507" s="566">
        <f>IF(AF507=0,,S.Notice.BANNER.Begin)</f>
        <v>41792</v>
      </c>
      <c r="AH507" s="566">
        <f>IF(AF507=0,,WORKDAY(S.Notice.Submit.ToSponsoringMgr-1,-1,S.DDL_DEQClosed))</f>
        <v>41801</v>
      </c>
      <c r="AI507" s="58"/>
      <c r="AJ507" s="44"/>
      <c r="AK507" s="182" t="str">
        <f>S.Staff.Subject.Expert.FirstName&amp;" asks RESOURCES for help and input, especially: "</f>
        <v xml:space="preserve">Brian asks RESOURCES for help and input, especially: </v>
      </c>
      <c r="AL507" s="76"/>
    </row>
    <row r="508" spans="1:38" s="23" customFormat="1" ht="14.1" customHeight="1">
      <c r="A508" s="145"/>
      <c r="B508" s="806" t="s">
        <v>615</v>
      </c>
      <c r="C508" s="282" t="s">
        <v>0</v>
      </c>
      <c r="G508" s="945"/>
      <c r="H508" s="946"/>
      <c r="I508" s="745"/>
      <c r="AF508" s="361">
        <f t="shared" si="65"/>
        <v>1</v>
      </c>
      <c r="AG508" s="58"/>
      <c r="AH508" s="58"/>
      <c r="AI508" s="59"/>
      <c r="AJ508" s="59"/>
      <c r="AK508" s="44"/>
      <c r="AL508" s="76"/>
    </row>
    <row r="509" spans="1:38" s="23" customFormat="1" ht="0.75" customHeight="1">
      <c r="A509" s="145"/>
      <c r="B509" s="742" t="str">
        <f>AK509</f>
        <v>* Advisory Commiitee not involved</v>
      </c>
      <c r="C509" s="282" t="s">
        <v>0</v>
      </c>
      <c r="D509" s="713"/>
      <c r="E509" s="888"/>
      <c r="F509"/>
      <c r="G509" s="947">
        <f t="shared" si="68"/>
        <v>41792</v>
      </c>
      <c r="H509" s="948">
        <f t="shared" si="69"/>
        <v>41801</v>
      </c>
      <c r="I509" s="745"/>
      <c r="J509"/>
      <c r="K509"/>
      <c r="L509"/>
      <c r="M509"/>
      <c r="N509"/>
      <c r="O509"/>
      <c r="P509"/>
      <c r="Q509"/>
      <c r="R509"/>
      <c r="S509"/>
      <c r="T509"/>
      <c r="U509"/>
      <c r="X509"/>
      <c r="AB509"/>
      <c r="AC509"/>
      <c r="AF509" s="361">
        <f t="shared" si="65"/>
        <v>1</v>
      </c>
      <c r="AG509" s="566">
        <f>$G$507</f>
        <v>41792</v>
      </c>
      <c r="AH509" s="566">
        <f>$H$507</f>
        <v>41801</v>
      </c>
      <c r="AI509" s="59"/>
      <c r="AJ509" s="59"/>
      <c r="AK509" s="67" t="str">
        <f>IF(S.AC.CommitteeInvolved="Y","* Advisory Committee-for fiscal impact","* Advisory Commiitee not involved")</f>
        <v>* Advisory Commiitee not involved</v>
      </c>
      <c r="AL509" s="76"/>
    </row>
    <row r="510" spans="1:38" s="23" customFormat="1" ht="14.1" customHeight="1">
      <c r="A510" s="145"/>
      <c r="B510" s="320" t="s">
        <v>626</v>
      </c>
      <c r="C510" s="282" t="s">
        <v>0</v>
      </c>
      <c r="D510" s="713"/>
      <c r="E510" s="888"/>
      <c r="F510"/>
      <c r="G510" s="947">
        <f t="shared" si="68"/>
        <v>41792</v>
      </c>
      <c r="H510" s="948">
        <f t="shared" si="69"/>
        <v>41801</v>
      </c>
      <c r="I510" s="745"/>
      <c r="J510"/>
      <c r="K510"/>
      <c r="L510"/>
      <c r="M510"/>
      <c r="N510"/>
      <c r="O510"/>
      <c r="P510"/>
      <c r="Q510"/>
      <c r="R510"/>
      <c r="S510"/>
      <c r="T510"/>
      <c r="U510"/>
      <c r="X510"/>
      <c r="AB510"/>
      <c r="AC510"/>
      <c r="AF510" s="361">
        <f t="shared" si="65"/>
        <v>1</v>
      </c>
      <c r="AG510" s="566">
        <f t="shared" ref="AG510:AG512" si="70">$G$507</f>
        <v>41792</v>
      </c>
      <c r="AH510" s="566">
        <f t="shared" ref="AH510:AH512" si="71">$H$507</f>
        <v>41801</v>
      </c>
      <c r="AI510" s="59"/>
      <c r="AJ510" s="59"/>
      <c r="AK510" s="44"/>
      <c r="AL510" s="76"/>
    </row>
    <row r="511" spans="1:38" s="23" customFormat="1" ht="14.1" hidden="1" customHeight="1">
      <c r="A511" s="145"/>
      <c r="B511" s="320" t="str">
        <f t="shared" ref="B511" si="72">AK511</f>
        <v>* AndreaG, for SIP consultation</v>
      </c>
      <c r="C511" s="545" t="s">
        <v>0</v>
      </c>
      <c r="D511" s="713"/>
      <c r="E511" s="888"/>
      <c r="F511"/>
      <c r="G511" s="947">
        <f t="shared" si="68"/>
        <v>41792</v>
      </c>
      <c r="H511" s="948">
        <f t="shared" si="69"/>
        <v>41801</v>
      </c>
      <c r="I511" s="745"/>
      <c r="J511"/>
      <c r="K511"/>
      <c r="L511"/>
      <c r="M511"/>
      <c r="N511"/>
      <c r="O511"/>
      <c r="P511"/>
      <c r="Q511"/>
      <c r="R511"/>
      <c r="S511"/>
      <c r="T511"/>
      <c r="U511"/>
      <c r="X511"/>
      <c r="AB511"/>
      <c r="AC511"/>
      <c r="AF511" s="361">
        <f>IF(AND(S.SIP.Involved="Y",S.Notice.Involved="Y"),1,0)</f>
        <v>1</v>
      </c>
      <c r="AG511" s="566">
        <f t="shared" si="70"/>
        <v>41792</v>
      </c>
      <c r="AH511" s="566">
        <f t="shared" si="71"/>
        <v>41801</v>
      </c>
      <c r="AI511" s="59"/>
      <c r="AJ511" s="59"/>
      <c r="AK511" s="67" t="str">
        <f>IF(S.SIP.Involved="Y","* "&amp;S.Staff.SIPCo&amp;", for SIP consultation","* SIP not involved")</f>
        <v>* AndreaG, for SIP consultation</v>
      </c>
      <c r="AL511" s="76"/>
    </row>
    <row r="512" spans="1:38" s="23" customFormat="1" ht="14.1" customHeight="1">
      <c r="A512" s="145"/>
      <c r="B512" s="220" t="str">
        <f>AK512</f>
        <v>* DavidC for direction and subject consultation, especially to ensure drafts:</v>
      </c>
      <c r="C512" s="545" t="s">
        <v>0</v>
      </c>
      <c r="D512" s="714"/>
      <c r="E512" s="887"/>
      <c r="F512"/>
      <c r="G512" s="947">
        <f t="shared" si="68"/>
        <v>41792</v>
      </c>
      <c r="H512" s="948">
        <f t="shared" si="69"/>
        <v>41801</v>
      </c>
      <c r="I512" s="745"/>
      <c r="AF512" s="361">
        <f t="shared" ref="AF512:AF538" si="73">IF(S.Notice.Involved="Y",1,0)</f>
        <v>1</v>
      </c>
      <c r="AG512" s="566">
        <f t="shared" si="70"/>
        <v>41792</v>
      </c>
      <c r="AH512" s="566">
        <f t="shared" si="71"/>
        <v>41801</v>
      </c>
      <c r="AI512" s="47"/>
      <c r="AJ512" s="44"/>
      <c r="AK512" s="182" t="str">
        <f>"* "&amp;S.Staff.Program.Mgr.FirstName&amp;" for direction and subject consultation, especially to ensure drafts:"</f>
        <v>* DavidC for direction and subject consultation, especially to ensure drafts:</v>
      </c>
      <c r="AL512" s="76"/>
    </row>
    <row r="513" spans="1:38" s="23" customFormat="1" ht="14.1" customHeight="1">
      <c r="A513" s="145"/>
      <c r="B513" s="427" t="s">
        <v>631</v>
      </c>
      <c r="C513" s="282" t="s">
        <v>0</v>
      </c>
      <c r="D513"/>
      <c r="F513"/>
      <c r="G513" s="945"/>
      <c r="H513" s="946"/>
      <c r="I513" s="745"/>
      <c r="AF513" s="361">
        <f t="shared" si="73"/>
        <v>1</v>
      </c>
      <c r="AG513" s="59"/>
      <c r="AH513" s="59"/>
      <c r="AI513" s="59"/>
      <c r="AJ513" s="59"/>
      <c r="AK513" s="44"/>
      <c r="AL513" s="76"/>
    </row>
    <row r="514" spans="1:38" s="23" customFormat="1" ht="14.1" customHeight="1">
      <c r="A514" s="145"/>
      <c r="B514" s="427" t="s">
        <v>632</v>
      </c>
      <c r="C514" s="282" t="s">
        <v>0</v>
      </c>
      <c r="D514"/>
      <c r="F514"/>
      <c r="G514" s="945"/>
      <c r="H514" s="946"/>
      <c r="I514" s="745"/>
      <c r="AF514" s="361">
        <f t="shared" si="73"/>
        <v>1</v>
      </c>
      <c r="AG514" s="59"/>
      <c r="AH514" s="59"/>
      <c r="AI514" s="59"/>
      <c r="AJ514" s="59"/>
      <c r="AK514" s="44"/>
      <c r="AL514" s="76"/>
    </row>
    <row r="515" spans="1:38" s="23" customFormat="1" ht="14.1" customHeight="1">
      <c r="A515" s="145"/>
      <c r="B515" s="269" t="str">
        <f t="shared" ref="B515" si="74">AK515</f>
        <v>* AndreaG for rulemaking best practices consultation</v>
      </c>
      <c r="C515" s="268"/>
      <c r="D515" s="714"/>
      <c r="E515" s="887"/>
      <c r="F515"/>
      <c r="G515" s="947">
        <f t="shared" si="68"/>
        <v>41792</v>
      </c>
      <c r="H515" s="948">
        <f t="shared" si="69"/>
        <v>41801</v>
      </c>
      <c r="I515" s="745"/>
      <c r="AF515" s="361">
        <f t="shared" si="73"/>
        <v>1</v>
      </c>
      <c r="AG515" s="566">
        <f t="shared" ref="AG515:AG530" si="75">$G$507</f>
        <v>41792</v>
      </c>
      <c r="AH515" s="566">
        <f t="shared" ref="AH515:AH530" si="76">$H$507</f>
        <v>41801</v>
      </c>
      <c r="AI515" s="58"/>
      <c r="AJ515" s="44"/>
      <c r="AK515" s="182" t="str">
        <f>"* "&amp;S.Staff.RG.Lead.FirstName&amp;" for rulemaking best practices consultation"</f>
        <v>* AndreaG for rulemaking best practices consultation</v>
      </c>
      <c r="AL515" s="76"/>
    </row>
    <row r="516" spans="1:38" s="23" customFormat="1" ht="14.1" customHeight="1">
      <c r="A516" s="145"/>
      <c r="B516" s="269" t="str">
        <f t="shared" ref="B516" si="77">AK516</f>
        <v>-blank-</v>
      </c>
      <c r="C516" s="268"/>
      <c r="D516" s="714"/>
      <c r="E516" s="887"/>
      <c r="F516"/>
      <c r="G516" s="947">
        <f t="shared" si="68"/>
        <v>41792</v>
      </c>
      <c r="H516" s="948">
        <f t="shared" si="69"/>
        <v>41801</v>
      </c>
      <c r="I516" s="745"/>
      <c r="AF516" s="361">
        <f t="shared" si="73"/>
        <v>1</v>
      </c>
      <c r="AG516" s="566">
        <f t="shared" si="75"/>
        <v>41792</v>
      </c>
      <c r="AH516" s="566">
        <f t="shared" si="76"/>
        <v>41801</v>
      </c>
      <c r="AI516" s="58"/>
      <c r="AJ516" s="44"/>
      <c r="AK516" s="182" t="str">
        <f>IF(S.PublicInformartionOfficer.Involved="Y","* "&amp;S.Staff.PublicAffairsOfficer&amp;" for updates to communication plan, message map, news release","-blank-")</f>
        <v>-blank-</v>
      </c>
      <c r="AL516" s="76"/>
    </row>
    <row r="517" spans="1:38" s="23" customFormat="1" ht="14.1" customHeight="1">
      <c r="A517" s="145"/>
      <c r="B517" s="320" t="str">
        <f>AK517</f>
        <v>* PaulG, if needed for legal consultation</v>
      </c>
      <c r="C517" s="545" t="s">
        <v>0</v>
      </c>
      <c r="D517" s="713"/>
      <c r="E517" s="888"/>
      <c r="F517"/>
      <c r="G517" s="947">
        <f t="shared" si="68"/>
        <v>41792</v>
      </c>
      <c r="H517" s="948">
        <f t="shared" si="69"/>
        <v>41801</v>
      </c>
      <c r="I517" s="745"/>
      <c r="AF517" s="361">
        <f t="shared" si="73"/>
        <v>1</v>
      </c>
      <c r="AG517" s="566">
        <f t="shared" si="75"/>
        <v>41792</v>
      </c>
      <c r="AH517" s="566">
        <f t="shared" si="76"/>
        <v>41801</v>
      </c>
      <c r="AI517" s="59"/>
      <c r="AJ517" s="59"/>
      <c r="AK517" s="67" t="str">
        <f>"* "&amp;S.Staff.AAG&amp;", if needed for legal consultation"</f>
        <v>* PaulG, if needed for legal consultation</v>
      </c>
      <c r="AL517" s="76"/>
    </row>
    <row r="518" spans="1:38" s="23" customFormat="1" ht="14.1" hidden="1" customHeight="1" outlineLevel="1">
      <c r="A518" s="145"/>
      <c r="B518" s="743" t="s">
        <v>576</v>
      </c>
      <c r="C518" s="545" t="s">
        <v>0</v>
      </c>
      <c r="D518" s="713"/>
      <c r="E518" s="888"/>
      <c r="F518"/>
      <c r="G518" s="947">
        <f t="shared" si="68"/>
        <v>41792</v>
      </c>
      <c r="H518" s="948">
        <f t="shared" si="69"/>
        <v>41801</v>
      </c>
      <c r="I518" s="745"/>
      <c r="J518"/>
      <c r="K518"/>
      <c r="L518"/>
      <c r="M518"/>
      <c r="N518"/>
      <c r="O518"/>
      <c r="P518"/>
      <c r="Q518"/>
      <c r="R518"/>
      <c r="S518"/>
      <c r="T518"/>
      <c r="U518"/>
      <c r="X518"/>
      <c r="AB518"/>
      <c r="AC518"/>
      <c r="AF518" s="361">
        <f t="shared" si="73"/>
        <v>1</v>
      </c>
      <c r="AG518" s="566">
        <f t="shared" si="75"/>
        <v>41792</v>
      </c>
      <c r="AH518" s="566">
        <f t="shared" si="76"/>
        <v>41801</v>
      </c>
      <c r="AI518" s="59"/>
      <c r="AJ518" s="59"/>
      <c r="AK518" s="44"/>
      <c r="AL518" s="76"/>
    </row>
    <row r="519" spans="1:38" s="23" customFormat="1" ht="14.1" hidden="1" customHeight="1" outlineLevel="1">
      <c r="A519" s="145"/>
      <c r="B519" s="743" t="s">
        <v>576</v>
      </c>
      <c r="C519" s="545" t="s">
        <v>0</v>
      </c>
      <c r="D519" s="713"/>
      <c r="E519" s="888"/>
      <c r="F519"/>
      <c r="G519" s="947">
        <f t="shared" si="68"/>
        <v>41792</v>
      </c>
      <c r="H519" s="948">
        <f t="shared" si="69"/>
        <v>41801</v>
      </c>
      <c r="I519" s="745"/>
      <c r="J519"/>
      <c r="K519"/>
      <c r="L519"/>
      <c r="M519"/>
      <c r="N519"/>
      <c r="O519"/>
      <c r="P519"/>
      <c r="Q519"/>
      <c r="R519"/>
      <c r="S519"/>
      <c r="T519"/>
      <c r="U519"/>
      <c r="X519"/>
      <c r="AB519"/>
      <c r="AC519"/>
      <c r="AF519" s="361">
        <f t="shared" si="73"/>
        <v>1</v>
      </c>
      <c r="AG519" s="566">
        <f t="shared" si="75"/>
        <v>41792</v>
      </c>
      <c r="AH519" s="566">
        <f t="shared" si="76"/>
        <v>41801</v>
      </c>
      <c r="AI519" s="59"/>
      <c r="AJ519" s="59"/>
      <c r="AK519" s="44"/>
      <c r="AL519" s="76"/>
    </row>
    <row r="520" spans="1:38" s="23" customFormat="1" ht="14.1" hidden="1" customHeight="1" outlineLevel="1">
      <c r="A520" s="145"/>
      <c r="B520" s="743" t="s">
        <v>576</v>
      </c>
      <c r="C520" s="545" t="s">
        <v>0</v>
      </c>
      <c r="D520" s="713"/>
      <c r="E520" s="888"/>
      <c r="F520"/>
      <c r="G520" s="947">
        <f t="shared" si="68"/>
        <v>41792</v>
      </c>
      <c r="H520" s="948">
        <f t="shared" si="69"/>
        <v>41801</v>
      </c>
      <c r="I520" s="745"/>
      <c r="J520"/>
      <c r="K520"/>
      <c r="L520"/>
      <c r="M520"/>
      <c r="N520"/>
      <c r="O520"/>
      <c r="P520"/>
      <c r="Q520"/>
      <c r="R520"/>
      <c r="S520"/>
      <c r="T520"/>
      <c r="U520"/>
      <c r="X520"/>
      <c r="AB520"/>
      <c r="AC520"/>
      <c r="AF520" s="361">
        <f t="shared" si="73"/>
        <v>1</v>
      </c>
      <c r="AG520" s="566">
        <f t="shared" si="75"/>
        <v>41792</v>
      </c>
      <c r="AH520" s="566">
        <f t="shared" si="76"/>
        <v>41801</v>
      </c>
      <c r="AI520" s="59"/>
      <c r="AJ520" s="59"/>
      <c r="AK520" s="44"/>
      <c r="AL520" s="76"/>
    </row>
    <row r="521" spans="1:38" s="23" customFormat="1" ht="14.1" customHeight="1" collapsed="1" thickBot="1">
      <c r="A521" s="145"/>
      <c r="B521" s="267" t="str">
        <f t="shared" ref="B521" si="78">AK521</f>
        <v>Brian continually refines draft Notice Packet to consider RESOURCES input</v>
      </c>
      <c r="C521" s="268"/>
      <c r="D521" s="714"/>
      <c r="E521" s="887"/>
      <c r="F521"/>
      <c r="G521" s="949">
        <f>AG521</f>
        <v>41792</v>
      </c>
      <c r="H521" s="950">
        <f t="shared" ref="H521" si="79">AH521</f>
        <v>41801</v>
      </c>
      <c r="I521" s="745"/>
      <c r="AF521" s="361">
        <f t="shared" ref="AF521:AF572" si="80">IF(S.Notice.Involved="Y",1,0)</f>
        <v>1</v>
      </c>
      <c r="AG521" s="566">
        <f t="shared" si="75"/>
        <v>41792</v>
      </c>
      <c r="AH521" s="566">
        <f t="shared" si="76"/>
        <v>41801</v>
      </c>
      <c r="AI521" s="58"/>
      <c r="AJ521" s="44"/>
      <c r="AK521" s="182" t="str">
        <f>S.Staff.Subject.Expert.FirstName&amp;" continually refines draft Notice Packet to consider RESOURCES input"</f>
        <v>Brian continually refines draft Notice Packet to consider RESOURCES input</v>
      </c>
      <c r="AL521" s="76"/>
    </row>
    <row r="522" spans="1:38" s="23" customFormat="1" ht="14.1" customHeight="1" outlineLevel="1">
      <c r="A522" s="145"/>
      <c r="B522" s="320" t="s">
        <v>650</v>
      </c>
      <c r="C522" s="282" t="s">
        <v>0</v>
      </c>
      <c r="D522" s="282" t="s">
        <v>0</v>
      </c>
      <c r="E522" s="282"/>
      <c r="I522" s="745"/>
      <c r="AF522" s="361">
        <f t="shared" si="80"/>
        <v>1</v>
      </c>
      <c r="AG522" s="59"/>
      <c r="AH522" s="59"/>
      <c r="AI522" s="59"/>
      <c r="AJ522" s="59"/>
      <c r="AK522" s="44"/>
      <c r="AL522" s="76"/>
    </row>
    <row r="523" spans="1:38" s="23" customFormat="1" ht="14.1" customHeight="1" outlineLevel="1">
      <c r="A523" s="145"/>
      <c r="B523" s="320" t="str">
        <f>AK523</f>
        <v>* verifies/adjusts prevously scheduled briefing &amp; review with Uri</v>
      </c>
      <c r="C523" s="282" t="s">
        <v>0</v>
      </c>
      <c r="D523" s="282" t="s">
        <v>0</v>
      </c>
      <c r="E523" s="282"/>
      <c r="F523"/>
      <c r="G523"/>
      <c r="H523"/>
      <c r="I523" s="745"/>
      <c r="J523"/>
      <c r="K523"/>
      <c r="L523"/>
      <c r="M523"/>
      <c r="N523"/>
      <c r="O523"/>
      <c r="P523"/>
      <c r="Q523"/>
      <c r="R523"/>
      <c r="S523"/>
      <c r="T523"/>
      <c r="U523"/>
      <c r="X523"/>
      <c r="AB523"/>
      <c r="AC523"/>
      <c r="AF523" s="361">
        <f t="shared" si="80"/>
        <v>1</v>
      </c>
      <c r="AG523" s="59"/>
      <c r="AH523" s="59"/>
      <c r="AI523" s="59"/>
      <c r="AJ523" s="59"/>
      <c r="AK523" s="182" t="str">
        <f>"* verifies/adjusts prevously scheduled briefing &amp; review with "&amp;S.Staff.Assistant.DA.ShortName</f>
        <v>* verifies/adjusts prevously scheduled briefing &amp; review with Uri</v>
      </c>
      <c r="AL523" s="76"/>
    </row>
    <row r="524" spans="1:38" s="23" customFormat="1" ht="14.1" customHeight="1" outlineLevel="1">
      <c r="A524" s="145"/>
      <c r="B524" s="269" t="str">
        <f t="shared" ref="B524" si="81">AK524</f>
        <v>* asks PaulG for legal sufficiency if warranted</v>
      </c>
      <c r="C524" s="268"/>
      <c r="D524" s="282" t="s">
        <v>0</v>
      </c>
      <c r="E524" s="282"/>
      <c r="F524"/>
      <c r="I524" s="745"/>
      <c r="AF524" s="361">
        <f t="shared" si="80"/>
        <v>1</v>
      </c>
      <c r="AG524" s="59"/>
      <c r="AH524" s="59"/>
      <c r="AI524" s="58"/>
      <c r="AJ524" s="44"/>
      <c r="AK524" s="182" t="str">
        <f>"* asks "&amp;S.Staff.AAG&amp;" for legal sufficiency if warranted"</f>
        <v>* asks PaulG for legal sufficiency if warranted</v>
      </c>
      <c r="AL524" s="76"/>
    </row>
    <row r="525" spans="1:38" s="23" customFormat="1" ht="14.1" customHeight="1" outlineLevel="1">
      <c r="A525" s="145"/>
      <c r="B525" s="269" t="str">
        <f t="shared" ref="B525:B529" si="82">AK525</f>
        <v>* addresses PaulG concerns and discusses with DavidC as needed</v>
      </c>
      <c r="C525" s="268"/>
      <c r="D525" s="282" t="s">
        <v>0</v>
      </c>
      <c r="E525" s="282"/>
      <c r="F525"/>
      <c r="I525" s="745"/>
      <c r="AF525" s="361">
        <f t="shared" si="80"/>
        <v>1</v>
      </c>
      <c r="AG525" s="59"/>
      <c r="AH525" s="59"/>
      <c r="AI525" s="58"/>
      <c r="AJ525" s="44"/>
      <c r="AK525" s="182" t="str">
        <f>"* addresses "&amp;S.Staff.AAG&amp;" concerns and discusses with "&amp;S.Staff.Program.Mgr.FirstName&amp;" as needed"</f>
        <v>* addresses PaulG concerns and discusses with DavidC as needed</v>
      </c>
      <c r="AL525" s="76"/>
    </row>
    <row r="526" spans="1:38" s="23" customFormat="1" ht="14.1" customHeight="1" outlineLevel="1">
      <c r="A526" s="145"/>
      <c r="B526" s="220" t="str">
        <f t="shared" si="82"/>
        <v>* informs DavidC about the approach, issues and potential delays</v>
      </c>
      <c r="C526" s="545" t="s">
        <v>0</v>
      </c>
      <c r="I526" s="745"/>
      <c r="AF526" s="361">
        <f t="shared" si="80"/>
        <v>1</v>
      </c>
      <c r="AG526" s="59"/>
      <c r="AH526" s="59"/>
      <c r="AI526" s="47"/>
      <c r="AJ526" s="44"/>
      <c r="AK526" s="182" t="str">
        <f>"* informs "&amp;S.Staff.Program.Mgr.FirstName&amp;" about the approach, issues and potential delays"</f>
        <v>* informs DavidC about the approach, issues and potential delays</v>
      </c>
      <c r="AL526" s="76"/>
    </row>
    <row r="527" spans="1:38" s="23" customFormat="1" ht="14.1" customHeight="1" outlineLevel="1">
      <c r="A527" s="145"/>
      <c r="B527" s="220" t="s">
        <v>652</v>
      </c>
      <c r="C527" s="220"/>
      <c r="D527" s="220"/>
      <c r="E527" s="220"/>
      <c r="F527" s="220"/>
      <c r="G527" s="40"/>
      <c r="I527" s="745"/>
      <c r="AF527" s="361">
        <f t="shared" si="80"/>
        <v>1</v>
      </c>
      <c r="AG527" s="59"/>
      <c r="AH527" s="59"/>
      <c r="AI527" s="47"/>
      <c r="AJ527" s="44"/>
      <c r="AK527" s="44"/>
      <c r="AL527" s="76"/>
    </row>
    <row r="528" spans="1:38" s="23" customFormat="1" ht="14.1" customHeight="1" outlineLevel="1">
      <c r="A528" s="145"/>
      <c r="B528" s="220" t="s">
        <v>653</v>
      </c>
      <c r="C528" s="220"/>
      <c r="D528" s="220"/>
      <c r="E528" s="220"/>
      <c r="F528" s="220"/>
      <c r="G528" s="40"/>
      <c r="H528" s="40"/>
      <c r="I528" s="745"/>
      <c r="AF528" s="361">
        <f t="shared" si="80"/>
        <v>1</v>
      </c>
      <c r="AG528" s="59"/>
      <c r="AH528" s="59"/>
      <c r="AI528" s="47"/>
      <c r="AJ528" s="44"/>
      <c r="AK528" s="44"/>
      <c r="AL528" s="76"/>
    </row>
    <row r="529" spans="1:38" s="23" customFormat="1" ht="14.1" customHeight="1" outlineLevel="1">
      <c r="A529" s="145"/>
      <c r="B529" s="269" t="str">
        <f t="shared" si="82"/>
        <v>* informs AndreaG about potential delays for and develop contingency, if needed</v>
      </c>
      <c r="C529" s="268"/>
      <c r="D529" s="282" t="s">
        <v>0</v>
      </c>
      <c r="E529" s="282"/>
      <c r="I529" s="745"/>
      <c r="AF529" s="361">
        <f t="shared" si="80"/>
        <v>1</v>
      </c>
      <c r="AG529" s="59"/>
      <c r="AH529" s="59"/>
      <c r="AI529" s="58"/>
      <c r="AJ529" s="44"/>
      <c r="AK529" s="182" t="str">
        <f>"* informs "&amp;S.Staff.RG.Lead.FirstName&amp;" about potential delays for and develop contingency, if needed"</f>
        <v>* informs AndreaG about potential delays for and develop contingency, if needed</v>
      </c>
      <c r="AL529" s="76"/>
    </row>
    <row r="530" spans="1:38" s="23" customFormat="1" ht="14.1" customHeight="1" thickBot="1">
      <c r="A530" s="145"/>
      <c r="B530" s="779" t="str">
        <f>AK530</f>
        <v>Brian asks subject contributors, including DavidC for consensus on</v>
      </c>
      <c r="C530" s="282" t="s">
        <v>0</v>
      </c>
      <c r="D530" s="714"/>
      <c r="E530" s="887"/>
      <c r="G530" s="949">
        <f>AG530</f>
        <v>41792</v>
      </c>
      <c r="H530" s="950">
        <f t="shared" ref="H530" si="83">AH530</f>
        <v>41801</v>
      </c>
      <c r="I530" s="745"/>
      <c r="AF530" s="361">
        <f t="shared" si="80"/>
        <v>1</v>
      </c>
      <c r="AG530" s="566">
        <f t="shared" si="75"/>
        <v>41792</v>
      </c>
      <c r="AH530" s="566">
        <f t="shared" si="76"/>
        <v>41801</v>
      </c>
      <c r="AI530" s="59"/>
      <c r="AJ530" s="59"/>
      <c r="AK530" s="182" t="str">
        <f>S.Staff.Subject.Expert.FirstName&amp;" asks subject contributors, including "&amp;S.Staff.Program.Mgr.FirstName&amp;" for consensus on"</f>
        <v>Brian asks subject contributors, including DavidC for consensus on</v>
      </c>
      <c r="AL530" s="76"/>
    </row>
    <row r="531" spans="1:38" s="23" customFormat="1" ht="14.1" customHeight="1">
      <c r="A531" s="145"/>
      <c r="B531" s="207" t="s">
        <v>771</v>
      </c>
      <c r="C531" s="220"/>
      <c r="D531" s="220"/>
      <c r="E531" s="220"/>
      <c r="F531" s="220"/>
      <c r="G531" s="40"/>
      <c r="I531" s="745"/>
      <c r="AF531" s="361">
        <f t="shared" si="80"/>
        <v>1</v>
      </c>
      <c r="AG531" s="47"/>
      <c r="AH531" s="47"/>
      <c r="AI531" s="47"/>
      <c r="AJ531" s="44"/>
      <c r="AK531" s="44"/>
      <c r="AL531" s="76"/>
    </row>
    <row r="532" spans="1:38" s="23" customFormat="1" ht="14.1" customHeight="1">
      <c r="A532" s="145"/>
      <c r="B532" s="267" t="str">
        <f t="shared" ref="B532" si="84">AK532</f>
        <v>Brian verifies draft rules to ensure:</v>
      </c>
      <c r="C532" s="268"/>
      <c r="D532"/>
      <c r="F532"/>
      <c r="G532"/>
      <c r="H532"/>
      <c r="I532" s="745"/>
      <c r="J532"/>
      <c r="K532"/>
      <c r="L532"/>
      <c r="M532"/>
      <c r="N532"/>
      <c r="O532"/>
      <c r="P532"/>
      <c r="Q532"/>
      <c r="R532"/>
      <c r="S532"/>
      <c r="T532"/>
      <c r="U532"/>
      <c r="X532"/>
      <c r="AB532"/>
      <c r="AC532"/>
      <c r="AF532" s="361">
        <f t="shared" si="73"/>
        <v>1</v>
      </c>
      <c r="AG532" s="58"/>
      <c r="AH532" s="58"/>
      <c r="AI532" s="58"/>
      <c r="AJ532" s="44"/>
      <c r="AK532" s="182" t="str">
        <f>S.Staff.Subject.Expert.FirstName&amp;" verifies draft rules to ensure:"</f>
        <v>Brian verifies draft rules to ensure:</v>
      </c>
      <c r="AL532" s="76"/>
    </row>
    <row r="533" spans="1:38" s="23" customFormat="1" ht="14.1" customHeight="1" outlineLevel="1">
      <c r="A533" s="145"/>
      <c r="B533" s="302" t="s">
        <v>594</v>
      </c>
      <c r="C533" s="510" t="str">
        <f>HYPERLINK("http://arcweb.sos.state.or.us/pages/rules/oars_300/oar_340/340_tofc.html","i")</f>
        <v>i</v>
      </c>
      <c r="D533" s="283"/>
      <c r="E533" s="750"/>
      <c r="F533"/>
      <c r="G533"/>
      <c r="H533"/>
      <c r="I533" s="745"/>
      <c r="J533"/>
      <c r="K533"/>
      <c r="L533"/>
      <c r="M533"/>
      <c r="N533"/>
      <c r="O533"/>
      <c r="P533"/>
      <c r="Q533"/>
      <c r="R533"/>
      <c r="S533"/>
      <c r="T533"/>
      <c r="U533"/>
      <c r="X533"/>
      <c r="AB533"/>
      <c r="AC533"/>
      <c r="AF533" s="361">
        <f t="shared" si="73"/>
        <v>1</v>
      </c>
      <c r="AG533" s="58"/>
      <c r="AH533" s="58"/>
      <c r="AI533" s="59"/>
      <c r="AJ533" s="59"/>
      <c r="AK533" s="44"/>
      <c r="AL533" s="76"/>
    </row>
    <row r="534" spans="1:38" s="23" customFormat="1" ht="14.1" customHeight="1" outlineLevel="1">
      <c r="A534" s="145"/>
      <c r="B534" s="302" t="s">
        <v>595</v>
      </c>
      <c r="C534" s="542"/>
      <c r="D534" s="283"/>
      <c r="E534" s="750"/>
      <c r="F534"/>
      <c r="I534" s="745"/>
      <c r="AF534" s="361">
        <f t="shared" si="73"/>
        <v>1</v>
      </c>
      <c r="AG534" s="58"/>
      <c r="AH534" s="58"/>
      <c r="AI534" s="59"/>
      <c r="AJ534" s="59"/>
      <c r="AK534" s="44"/>
      <c r="AL534" s="76"/>
    </row>
    <row r="535" spans="1:38" s="23" customFormat="1" ht="14.1" customHeight="1" outlineLevel="1">
      <c r="A535" s="145"/>
      <c r="B535" s="302" t="s">
        <v>577</v>
      </c>
      <c r="C535" s="542"/>
      <c r="D535" s="283"/>
      <c r="E535" s="750"/>
      <c r="F535"/>
      <c r="G535"/>
      <c r="H535"/>
      <c r="I535" s="745"/>
      <c r="J535"/>
      <c r="K535"/>
      <c r="L535"/>
      <c r="M535"/>
      <c r="N535"/>
      <c r="O535"/>
      <c r="P535"/>
      <c r="Q535"/>
      <c r="R535"/>
      <c r="S535"/>
      <c r="T535"/>
      <c r="U535"/>
      <c r="X535"/>
      <c r="AB535"/>
      <c r="AC535"/>
      <c r="AF535" s="361">
        <f t="shared" si="73"/>
        <v>1</v>
      </c>
      <c r="AG535" s="58"/>
      <c r="AH535" s="58"/>
      <c r="AI535" s="59"/>
      <c r="AJ535" s="59"/>
      <c r="AK535" s="44"/>
      <c r="AL535" s="76"/>
    </row>
    <row r="536" spans="1:38" s="23" customFormat="1" ht="14.1" customHeight="1" outlineLevel="1">
      <c r="A536" s="145"/>
      <c r="B536" s="302" t="s">
        <v>578</v>
      </c>
      <c r="C536" s="542"/>
      <c r="D536" s="283"/>
      <c r="E536" s="750"/>
      <c r="F536"/>
      <c r="G536"/>
      <c r="H536"/>
      <c r="I536" s="745"/>
      <c r="J536"/>
      <c r="K536"/>
      <c r="L536"/>
      <c r="M536"/>
      <c r="N536"/>
      <c r="O536"/>
      <c r="P536"/>
      <c r="Q536"/>
      <c r="R536"/>
      <c r="S536"/>
      <c r="T536"/>
      <c r="U536"/>
      <c r="X536"/>
      <c r="AB536"/>
      <c r="AC536"/>
      <c r="AF536" s="361">
        <f t="shared" si="73"/>
        <v>1</v>
      </c>
      <c r="AG536" s="58"/>
      <c r="AH536" s="58"/>
      <c r="AI536" s="59"/>
      <c r="AJ536" s="59"/>
      <c r="AK536" s="44"/>
      <c r="AL536" s="76"/>
    </row>
    <row r="537" spans="1:38" s="23" customFormat="1" ht="14.1" customHeight="1" outlineLevel="1">
      <c r="A537" s="145"/>
      <c r="B537" s="741" t="str">
        <f>AK537</f>
        <v>* SIP note is at bottom of all SIP rules</v>
      </c>
      <c r="C537" s="542"/>
      <c r="D537" s="283"/>
      <c r="E537" s="750"/>
      <c r="F537"/>
      <c r="G537"/>
      <c r="H537"/>
      <c r="I537" s="745"/>
      <c r="J537"/>
      <c r="K537"/>
      <c r="L537"/>
      <c r="M537"/>
      <c r="N537"/>
      <c r="O537"/>
      <c r="P537"/>
      <c r="Q537"/>
      <c r="R537"/>
      <c r="S537"/>
      <c r="T537"/>
      <c r="U537"/>
      <c r="X537"/>
      <c r="AB537"/>
      <c r="AC537"/>
      <c r="AF537" s="361">
        <f>IF(AND(S.SIP.Involved="Y",S.Notice.Involved="Y"),1,0)</f>
        <v>1</v>
      </c>
      <c r="AG537" s="58"/>
      <c r="AH537" s="58"/>
      <c r="AI537" s="59"/>
      <c r="AJ537" s="59"/>
      <c r="AK537" s="182" t="str">
        <f>IF(S.SIP.Involved="Y","* SIP note is at bottom of all SIP rules","* SIP rules are not involved")</f>
        <v>* SIP note is at bottom of all SIP rules</v>
      </c>
      <c r="AL537" s="76"/>
    </row>
    <row r="538" spans="1:38" s="23" customFormat="1" ht="20.25" customHeight="1">
      <c r="A538" s="145"/>
      <c r="B538" s="523" t="s">
        <v>580</v>
      </c>
      <c r="C538" s="282"/>
      <c r="I538" s="745"/>
      <c r="AF538" s="361">
        <f t="shared" si="73"/>
        <v>1</v>
      </c>
      <c r="AG538" s="58"/>
      <c r="AH538" s="58"/>
      <c r="AI538" s="59"/>
      <c r="AJ538" s="59"/>
      <c r="AK538" s="44"/>
      <c r="AL538" s="76"/>
    </row>
    <row r="539" spans="1:38" s="23" customFormat="1" ht="14.1" customHeight="1">
      <c r="A539" s="145"/>
      <c r="B539" s="284" t="str">
        <f t="shared" ref="B539:B546" si="85">AK539</f>
        <v>Brian asks Carol to schedule future time on Uri's calendar for:</v>
      </c>
      <c r="C539" s="1026" t="s">
        <v>629</v>
      </c>
      <c r="D539" s="1026"/>
      <c r="E539" s="1026"/>
      <c r="F539" s="1026"/>
      <c r="G539" s="1027"/>
      <c r="H539" s="256">
        <f t="shared" ref="H539" si="86">AH539</f>
        <v>41782</v>
      </c>
      <c r="I539" s="745"/>
      <c r="J539"/>
      <c r="K539"/>
      <c r="L539"/>
      <c r="M539"/>
      <c r="N539"/>
      <c r="O539"/>
      <c r="P539"/>
      <c r="Q539"/>
      <c r="R539"/>
      <c r="S539"/>
      <c r="T539"/>
      <c r="U539"/>
      <c r="X539"/>
      <c r="AB539"/>
      <c r="AC539"/>
      <c r="AF539" s="361">
        <f t="shared" ref="AF539:AF546" si="87">IF(S.Notice.Involved="Y",1,0)</f>
        <v>1</v>
      </c>
      <c r="AG539" s="58"/>
      <c r="AH539" s="60">
        <f>IF(AF539=0,,WORKDAY(S.Notice.Submit.ToADA-59,-1,S.DDL_DEQClosed))</f>
        <v>41782</v>
      </c>
      <c r="AI539" s="59"/>
      <c r="AJ539" s="59"/>
      <c r="AK539" s="182" t="str">
        <f>S.Staff.Subject.Expert.FirstName&amp;" asks "&amp;S.Staff.DA.Support.ForProgram.FirstName&amp;" to schedule future time on "&amp;S.Staff.Assistant.DA.ShortName&amp;"'s calendar for:"</f>
        <v>Brian asks Carol to schedule future time on Uri's calendar for:</v>
      </c>
      <c r="AL539" s="76"/>
    </row>
    <row r="540" spans="1:38" s="23" customFormat="1" ht="14.1" customHeight="1">
      <c r="A540" s="145"/>
      <c r="B540" s="320" t="str">
        <f t="shared" si="85"/>
        <v>* Uri briefing meeting with Brian, DavidC and AndreaG</v>
      </c>
      <c r="C540" s="1026" t="s">
        <v>628</v>
      </c>
      <c r="D540" s="1028"/>
      <c r="E540" s="1028"/>
      <c r="F540" s="1028"/>
      <c r="G540" s="1029"/>
      <c r="H540" s="263">
        <f>AH540</f>
        <v>41844</v>
      </c>
      <c r="I540" s="745"/>
      <c r="J540"/>
      <c r="K540"/>
      <c r="L540"/>
      <c r="M540"/>
      <c r="N540"/>
      <c r="O540"/>
      <c r="P540"/>
      <c r="Q540"/>
      <c r="R540"/>
      <c r="S540"/>
      <c r="T540"/>
      <c r="U540"/>
      <c r="X540"/>
      <c r="AB540"/>
      <c r="AC540"/>
      <c r="AF540" s="361">
        <f t="shared" si="87"/>
        <v>1</v>
      </c>
      <c r="AG540" s="58"/>
      <c r="AH540" s="60">
        <f>IF(AF540=0,,WORKDAY(S.Notice.Submit.ToADA,-1,S.DDL_DEQClosed))</f>
        <v>41844</v>
      </c>
      <c r="AI540" s="59"/>
      <c r="AJ540" s="59"/>
      <c r="AK540" s="182" t="str">
        <f>"* "&amp;S.Staff.Assistant.DA.ShortName&amp;" briefing meeting with "&amp;S.Staff.Subject.Expert.FirstName&amp;", "&amp;S.Staff.Program.Mgr.FirstName&amp;" and "&amp;S.Staff.RG.Lead.FirstName</f>
        <v>* Uri briefing meeting with Brian, DavidC and AndreaG</v>
      </c>
      <c r="AL540" s="76"/>
    </row>
    <row r="541" spans="1:38" s="23" customFormat="1" ht="14.1" customHeight="1">
      <c r="A541" s="145"/>
      <c r="B541" s="742" t="str">
        <f t="shared" si="85"/>
        <v>* time on Uri's calendar to review Notice Packet during preview week</v>
      </c>
      <c r="C541" s="1026" t="s">
        <v>627</v>
      </c>
      <c r="D541" s="1026"/>
      <c r="E541" s="1026"/>
      <c r="F541" s="1026"/>
      <c r="G541" s="1027"/>
      <c r="H541" s="263">
        <f>AH541</f>
        <v>41845</v>
      </c>
      <c r="I541" s="745"/>
      <c r="J541"/>
      <c r="K541"/>
      <c r="L541"/>
      <c r="M541"/>
      <c r="N541"/>
      <c r="O541"/>
      <c r="P541"/>
      <c r="Q541"/>
      <c r="R541"/>
      <c r="S541"/>
      <c r="T541"/>
      <c r="U541"/>
      <c r="X541"/>
      <c r="AB541"/>
      <c r="AC541"/>
      <c r="AF541" s="361">
        <f t="shared" si="87"/>
        <v>1</v>
      </c>
      <c r="AG541" s="58"/>
      <c r="AH541" s="60">
        <f>IF(AF541=0,,S.Notice.Submit.ToADA)</f>
        <v>41845</v>
      </c>
      <c r="AI541" s="59"/>
      <c r="AJ541" s="59"/>
      <c r="AK541" s="182" t="str">
        <f>"* time on "&amp;S.Staff.Assistant.DA.ShortName&amp;"'s calendar to review Notice Packet during preview week"</f>
        <v>* time on Uri's calendar to review Notice Packet during preview week</v>
      </c>
      <c r="AL541" s="76"/>
    </row>
    <row r="542" spans="1:38" s="23" customFormat="1" ht="14.1" customHeight="1">
      <c r="A542" s="145"/>
      <c r="B542" s="221" t="str">
        <f t="shared" si="85"/>
        <v>Brian schedules time on DavidC calendar to review Notice Packet</v>
      </c>
      <c r="C542" s="545" t="s">
        <v>0</v>
      </c>
      <c r="D542"/>
      <c r="F542"/>
      <c r="I542" s="745"/>
      <c r="AF542" s="361">
        <f t="shared" si="87"/>
        <v>1</v>
      </c>
      <c r="AG542" s="58"/>
      <c r="AH542" s="58"/>
      <c r="AI542" s="47"/>
      <c r="AJ542" s="44"/>
      <c r="AK542" s="182" t="str">
        <f>S.Staff.Subject.Expert.FirstName&amp;" schedules time on "&amp;S.Staff.Program.Mgr.FirstName&amp;" calendar to review Notice Packet"</f>
        <v>Brian schedules time on DavidC calendar to review Notice Packet</v>
      </c>
      <c r="AL542" s="76"/>
    </row>
    <row r="543" spans="1:38" s="23" customFormat="1" ht="14.1" customHeight="1">
      <c r="A543" s="145"/>
      <c r="B543" s="221" t="str">
        <f t="shared" ref="B543" si="88">AK543</f>
        <v>Brian keeps DavidC informed about progress</v>
      </c>
      <c r="C543" s="1026" t="s">
        <v>627</v>
      </c>
      <c r="D543" s="1026"/>
      <c r="E543" s="1026"/>
      <c r="F543" s="1026"/>
      <c r="G543" s="1027"/>
      <c r="H543" s="263">
        <f>AH543</f>
        <v>41803</v>
      </c>
      <c r="I543" s="745"/>
      <c r="AF543" s="361">
        <f t="shared" si="87"/>
        <v>1</v>
      </c>
      <c r="AG543" s="58"/>
      <c r="AH543" s="60">
        <f>IF(AF543=0,,S.Notice.Submit.ToSponsoringMgr)</f>
        <v>41803</v>
      </c>
      <c r="AI543" s="47"/>
      <c r="AJ543" s="44"/>
      <c r="AK543" s="182" t="str">
        <f>S.Staff.Subject.Expert.FirstName&amp;" keeps "&amp;S.Staff.Program.Mgr.FirstName&amp;" informed about progress"</f>
        <v>Brian keeps DavidC informed about progress</v>
      </c>
      <c r="AL543" s="76"/>
    </row>
    <row r="544" spans="1:38" s="23" customFormat="1" ht="14.1" customHeight="1">
      <c r="A544" s="145"/>
      <c r="B544" s="221" t="str">
        <f t="shared" si="85"/>
        <v>DavidC keeps Uri informed about progress</v>
      </c>
      <c r="C544" s="545" t="s">
        <v>0</v>
      </c>
      <c r="D544"/>
      <c r="F544"/>
      <c r="I544" s="745"/>
      <c r="AF544" s="361">
        <f t="shared" si="87"/>
        <v>1</v>
      </c>
      <c r="AG544" s="58"/>
      <c r="AH544" s="58"/>
      <c r="AI544" s="47"/>
      <c r="AJ544" s="44"/>
      <c r="AK544" s="182" t="str">
        <f>S.Staff.Program.Mgr.FirstName&amp;" keeps "&amp;S.Staff.Assistant.DA.ShortName&amp;" informed about progress"</f>
        <v>DavidC keeps Uri informed about progress</v>
      </c>
      <c r="AL544" s="76"/>
    </row>
    <row r="545" spans="1:38" s="23" customFormat="1" ht="14.1" customHeight="1">
      <c r="A545" s="145"/>
      <c r="B545" s="221" t="str">
        <f t="shared" ref="B545" si="89">AK545</f>
        <v>Uri keeps DavidL informed about potential risks &amp; delays</v>
      </c>
      <c r="C545" s="545" t="s">
        <v>0</v>
      </c>
      <c r="F545"/>
      <c r="I545" s="745"/>
      <c r="AF545" s="361">
        <f t="shared" si="87"/>
        <v>1</v>
      </c>
      <c r="AG545" s="58"/>
      <c r="AH545" s="58"/>
      <c r="AI545" s="47"/>
      <c r="AJ545" s="44"/>
      <c r="AK545" s="182" t="str">
        <f>S.Staff.Assistant.DA.ShortName&amp;" keeps "&amp;S.Staff.DA.ForProgram.FirstName&amp;" informed about potential risks &amp; delays"</f>
        <v>Uri keeps DavidL informed about potential risks &amp; delays</v>
      </c>
      <c r="AL545" s="76"/>
    </row>
    <row r="546" spans="1:38" s="23" customFormat="1" ht="14.1" customHeight="1">
      <c r="A546" s="145"/>
      <c r="B546" s="221" t="str">
        <f t="shared" si="85"/>
        <v>AndreaG keeps DavidL informed about risks &amp; progress</v>
      </c>
      <c r="C546" s="545" t="s">
        <v>0</v>
      </c>
      <c r="F546"/>
      <c r="I546" s="745"/>
      <c r="AF546" s="361">
        <f t="shared" si="87"/>
        <v>1</v>
      </c>
      <c r="AG546" s="58"/>
      <c r="AH546" s="58"/>
      <c r="AI546" s="47"/>
      <c r="AJ546" s="44"/>
      <c r="AK546" s="182" t="str">
        <f>S.Staff.RG.Lead.FirstName&amp;" keeps "&amp;S.Staff.DA.ForRulesGroup.FirstName&amp;" informed about risks &amp; progress"</f>
        <v>AndreaG keeps DavidL informed about risks &amp; progress</v>
      </c>
      <c r="AL546" s="76"/>
    </row>
    <row r="547" spans="1:38" s="23" customFormat="1" ht="20.25" hidden="1" customHeight="1" outlineLevel="1" thickBot="1">
      <c r="A547" s="145"/>
      <c r="B547" s="523" t="s">
        <v>596</v>
      </c>
      <c r="C547" s="282"/>
      <c r="F547"/>
      <c r="I547" s="745"/>
      <c r="AF547" s="361">
        <f>IF(AND(S.SIP.Involved="Y",S.Notice.Involved="Y"),1,0)</f>
        <v>1</v>
      </c>
      <c r="AG547" s="58"/>
      <c r="AH547" s="58"/>
      <c r="AI547" s="59"/>
      <c r="AJ547" s="59"/>
      <c r="AK547" s="44"/>
      <c r="AL547" s="76"/>
    </row>
    <row r="548" spans="1:38" s="23" customFormat="1" ht="14.1" hidden="1" customHeight="1" outlineLevel="1" thickBot="1">
      <c r="A548" s="145"/>
      <c r="B548" s="465" t="s">
        <v>281</v>
      </c>
      <c r="C548" s="415" t="s">
        <v>206</v>
      </c>
      <c r="D548" s="283"/>
      <c r="E548" s="750"/>
      <c r="F548"/>
      <c r="G548" s="291">
        <f t="shared" ref="G548:G559" si="90">AG548</f>
        <v>0</v>
      </c>
      <c r="H548" s="291">
        <f t="shared" ref="H548:H559" si="91">AH548</f>
        <v>0</v>
      </c>
      <c r="I548" s="745"/>
      <c r="J548"/>
      <c r="K548"/>
      <c r="L548"/>
      <c r="M548"/>
      <c r="N548"/>
      <c r="O548"/>
      <c r="P548"/>
      <c r="Q548"/>
      <c r="R548"/>
      <c r="S548"/>
      <c r="T548"/>
      <c r="U548"/>
      <c r="X548"/>
      <c r="AB548"/>
      <c r="AC548"/>
      <c r="AF548" s="361">
        <f>IF(S.Notice.CustomReviewLoop1="Y",1,0)</f>
        <v>0</v>
      </c>
      <c r="AG548" s="60">
        <f t="shared" ref="AG548:AG559" si="92">IF(AF548=0,,S.Notice.BANNER.Begin)</f>
        <v>0</v>
      </c>
      <c r="AH548" s="60">
        <f t="shared" ref="AH548:AH559" si="93">IF(AF548=0,,WORKDAY(S.Notice.ADABriefing,-1,S.DDL_DEQClosed))</f>
        <v>0</v>
      </c>
      <c r="AI548" s="59"/>
      <c r="AJ548" s="44"/>
      <c r="AK548" s="44"/>
      <c r="AL548" s="76"/>
    </row>
    <row r="549" spans="1:38" s="23" customFormat="1" ht="14.1" hidden="1" customHeight="1" outlineLevel="1">
      <c r="A549" s="145"/>
      <c r="B549" s="467" t="s">
        <v>242</v>
      </c>
      <c r="C549" s="545" t="s">
        <v>0</v>
      </c>
      <c r="D549" s="715"/>
      <c r="E549" s="889"/>
      <c r="F549"/>
      <c r="G549" s="291">
        <f t="shared" si="90"/>
        <v>0</v>
      </c>
      <c r="H549" s="291">
        <f t="shared" si="91"/>
        <v>0</v>
      </c>
      <c r="I549" s="745"/>
      <c r="J549"/>
      <c r="K549"/>
      <c r="L549"/>
      <c r="M549"/>
      <c r="N549"/>
      <c r="O549"/>
      <c r="P549"/>
      <c r="Q549"/>
      <c r="R549"/>
      <c r="S549"/>
      <c r="T549"/>
      <c r="U549"/>
      <c r="X549"/>
      <c r="AB549"/>
      <c r="AC549"/>
      <c r="AF549" s="361">
        <f>IF(S.Notice.CustomReviewLoop1="Y",1,0)</f>
        <v>0</v>
      </c>
      <c r="AG549" s="60">
        <f t="shared" si="92"/>
        <v>0</v>
      </c>
      <c r="AH549" s="60">
        <f t="shared" si="93"/>
        <v>0</v>
      </c>
      <c r="AI549" s="59"/>
      <c r="AJ549" s="159"/>
      <c r="AK549" s="44"/>
      <c r="AL549" s="76"/>
    </row>
    <row r="550" spans="1:38" s="23" customFormat="1" ht="14.1" hidden="1" customHeight="1" outlineLevel="1">
      <c r="A550" s="145"/>
      <c r="B550" s="467" t="s">
        <v>242</v>
      </c>
      <c r="C550" s="545" t="s">
        <v>0</v>
      </c>
      <c r="D550" s="715"/>
      <c r="E550" s="889"/>
      <c r="F550"/>
      <c r="G550" s="291">
        <f t="shared" si="90"/>
        <v>0</v>
      </c>
      <c r="H550" s="291">
        <f t="shared" si="91"/>
        <v>0</v>
      </c>
      <c r="I550" s="745"/>
      <c r="J550"/>
      <c r="K550"/>
      <c r="L550"/>
      <c r="M550"/>
      <c r="N550"/>
      <c r="O550"/>
      <c r="P550"/>
      <c r="Q550"/>
      <c r="R550"/>
      <c r="S550"/>
      <c r="T550"/>
      <c r="U550"/>
      <c r="X550"/>
      <c r="AB550"/>
      <c r="AC550"/>
      <c r="AF550" s="361">
        <f>IF(S.Notice.CustomReviewLoop1="Y",1,0)</f>
        <v>0</v>
      </c>
      <c r="AG550" s="60">
        <f t="shared" si="92"/>
        <v>0</v>
      </c>
      <c r="AH550" s="60">
        <f t="shared" si="93"/>
        <v>0</v>
      </c>
      <c r="AI550" s="59"/>
      <c r="AJ550" s="159"/>
      <c r="AK550" s="44"/>
      <c r="AL550" s="76"/>
    </row>
    <row r="551" spans="1:38" s="23" customFormat="1" ht="14.1" hidden="1" customHeight="1" outlineLevel="1" thickBot="1">
      <c r="A551" s="145"/>
      <c r="B551" s="467" t="s">
        <v>242</v>
      </c>
      <c r="C551" s="545" t="s">
        <v>0</v>
      </c>
      <c r="D551" s="715"/>
      <c r="E551" s="889"/>
      <c r="F551"/>
      <c r="G551" s="291">
        <f t="shared" si="90"/>
        <v>0</v>
      </c>
      <c r="H551" s="291">
        <f t="shared" si="91"/>
        <v>0</v>
      </c>
      <c r="I551" s="745"/>
      <c r="J551"/>
      <c r="K551"/>
      <c r="L551"/>
      <c r="M551"/>
      <c r="N551"/>
      <c r="O551"/>
      <c r="P551"/>
      <c r="Q551"/>
      <c r="R551"/>
      <c r="S551"/>
      <c r="T551"/>
      <c r="U551"/>
      <c r="X551"/>
      <c r="AB551"/>
      <c r="AC551"/>
      <c r="AF551" s="361">
        <f>IF(S.Notice.CustomReviewLoop1="Y",1,0)</f>
        <v>0</v>
      </c>
      <c r="AG551" s="60">
        <f t="shared" si="92"/>
        <v>0</v>
      </c>
      <c r="AH551" s="60">
        <f t="shared" si="93"/>
        <v>0</v>
      </c>
      <c r="AI551" s="59"/>
      <c r="AJ551" s="159"/>
      <c r="AK551" s="44"/>
      <c r="AL551" s="76"/>
    </row>
    <row r="552" spans="1:38" s="23" customFormat="1" ht="14.1" hidden="1" customHeight="1" outlineLevel="1" thickBot="1">
      <c r="A552" s="145"/>
      <c r="B552" s="468" t="s">
        <v>244</v>
      </c>
      <c r="C552" s="415" t="s">
        <v>206</v>
      </c>
      <c r="D552" s="283"/>
      <c r="E552" s="750"/>
      <c r="F552"/>
      <c r="G552" s="291">
        <f t="shared" si="90"/>
        <v>0</v>
      </c>
      <c r="H552" s="291">
        <f t="shared" si="91"/>
        <v>0</v>
      </c>
      <c r="I552" s="745"/>
      <c r="J552"/>
      <c r="K552"/>
      <c r="L552"/>
      <c r="M552"/>
      <c r="N552"/>
      <c r="O552"/>
      <c r="P552"/>
      <c r="Q552"/>
      <c r="R552"/>
      <c r="S552"/>
      <c r="T552"/>
      <c r="U552"/>
      <c r="X552"/>
      <c r="AB552"/>
      <c r="AC552"/>
      <c r="AF552" s="361">
        <f>IF(AND(S.Notice.CustomReviewLoop1="Y",S.Notice.CustomReviewLoop2="Y"),1,0)</f>
        <v>0</v>
      </c>
      <c r="AG552" s="60">
        <f t="shared" si="92"/>
        <v>0</v>
      </c>
      <c r="AH552" s="60">
        <f t="shared" si="93"/>
        <v>0</v>
      </c>
      <c r="AI552" s="59"/>
      <c r="AJ552" s="44"/>
      <c r="AK552" s="44"/>
      <c r="AL552" s="76"/>
    </row>
    <row r="553" spans="1:38" s="23" customFormat="1" ht="14.1" hidden="1" customHeight="1" outlineLevel="1">
      <c r="A553" s="145"/>
      <c r="B553" s="469" t="s">
        <v>242</v>
      </c>
      <c r="C553" s="545" t="s">
        <v>0</v>
      </c>
      <c r="D553" s="715"/>
      <c r="E553" s="889"/>
      <c r="F553"/>
      <c r="G553" s="291">
        <f t="shared" si="90"/>
        <v>0</v>
      </c>
      <c r="H553" s="291">
        <f t="shared" si="91"/>
        <v>0</v>
      </c>
      <c r="I553" s="745"/>
      <c r="J553"/>
      <c r="K553"/>
      <c r="L553"/>
      <c r="M553"/>
      <c r="N553"/>
      <c r="O553"/>
      <c r="P553"/>
      <c r="Q553"/>
      <c r="R553"/>
      <c r="S553"/>
      <c r="T553"/>
      <c r="U553"/>
      <c r="X553"/>
      <c r="AB553"/>
      <c r="AC553"/>
      <c r="AF553" s="361">
        <f>IF(AND(S.Notice.CustomReviewLoop1="Y",S.Notice.CustomReviewLoop2="Y"),1,0)</f>
        <v>0</v>
      </c>
      <c r="AG553" s="60">
        <f t="shared" si="92"/>
        <v>0</v>
      </c>
      <c r="AH553" s="60">
        <f t="shared" si="93"/>
        <v>0</v>
      </c>
      <c r="AI553" s="59"/>
      <c r="AJ553" s="159"/>
      <c r="AK553" s="44"/>
      <c r="AL553" s="76"/>
    </row>
    <row r="554" spans="1:38" s="23" customFormat="1" ht="14.1" hidden="1" customHeight="1" outlineLevel="1">
      <c r="A554" s="145"/>
      <c r="B554" s="469" t="s">
        <v>242</v>
      </c>
      <c r="C554" s="545" t="s">
        <v>0</v>
      </c>
      <c r="D554" s="715"/>
      <c r="E554" s="889"/>
      <c r="F554"/>
      <c r="G554" s="291">
        <f t="shared" si="90"/>
        <v>0</v>
      </c>
      <c r="H554" s="291">
        <f t="shared" si="91"/>
        <v>0</v>
      </c>
      <c r="I554" s="745"/>
      <c r="J554"/>
      <c r="K554"/>
      <c r="L554"/>
      <c r="M554"/>
      <c r="N554"/>
      <c r="O554"/>
      <c r="P554"/>
      <c r="Q554"/>
      <c r="R554"/>
      <c r="S554"/>
      <c r="T554"/>
      <c r="U554"/>
      <c r="X554"/>
      <c r="AB554"/>
      <c r="AC554"/>
      <c r="AF554" s="361">
        <f>IF(AND(S.Notice.CustomReviewLoop1="Y",S.Notice.CustomReviewLoop2="Y"),1,0)</f>
        <v>0</v>
      </c>
      <c r="AG554" s="60">
        <f t="shared" si="92"/>
        <v>0</v>
      </c>
      <c r="AH554" s="60">
        <f t="shared" si="93"/>
        <v>0</v>
      </c>
      <c r="AI554" s="59"/>
      <c r="AJ554" s="159"/>
      <c r="AK554" s="44"/>
      <c r="AL554" s="76"/>
    </row>
    <row r="555" spans="1:38" s="23" customFormat="1" ht="14.1" hidden="1" customHeight="1" outlineLevel="1" thickBot="1">
      <c r="A555" s="145"/>
      <c r="B555" s="469" t="s">
        <v>242</v>
      </c>
      <c r="C555" s="545" t="s">
        <v>0</v>
      </c>
      <c r="D555" s="715"/>
      <c r="E555" s="889"/>
      <c r="F555"/>
      <c r="G555" s="291">
        <f t="shared" si="90"/>
        <v>0</v>
      </c>
      <c r="H555" s="291">
        <f t="shared" si="91"/>
        <v>0</v>
      </c>
      <c r="I555" s="745"/>
      <c r="J555"/>
      <c r="K555"/>
      <c r="L555"/>
      <c r="M555"/>
      <c r="N555"/>
      <c r="O555"/>
      <c r="P555"/>
      <c r="Q555"/>
      <c r="R555"/>
      <c r="S555"/>
      <c r="T555"/>
      <c r="U555"/>
      <c r="X555"/>
      <c r="AB555"/>
      <c r="AC555"/>
      <c r="AF555" s="361">
        <f>IF(AND(S.Notice.CustomReviewLoop1="Y",S.Notice.CustomReviewLoop2="Y"),1,0)</f>
        <v>0</v>
      </c>
      <c r="AG555" s="60">
        <f t="shared" si="92"/>
        <v>0</v>
      </c>
      <c r="AH555" s="60">
        <f t="shared" si="93"/>
        <v>0</v>
      </c>
      <c r="AI555" s="59"/>
      <c r="AJ555" s="159"/>
      <c r="AK555" s="44"/>
      <c r="AL555" s="76"/>
    </row>
    <row r="556" spans="1:38" s="23" customFormat="1" ht="14.1" hidden="1" customHeight="1" outlineLevel="1" thickBot="1">
      <c r="A556" s="145"/>
      <c r="B556" s="470" t="s">
        <v>245</v>
      </c>
      <c r="C556" s="415" t="s">
        <v>206</v>
      </c>
      <c r="D556" s="283"/>
      <c r="E556" s="750"/>
      <c r="F556"/>
      <c r="G556" s="291">
        <f t="shared" si="90"/>
        <v>0</v>
      </c>
      <c r="H556" s="291">
        <f t="shared" si="91"/>
        <v>0</v>
      </c>
      <c r="I556" s="745"/>
      <c r="J556"/>
      <c r="K556"/>
      <c r="L556"/>
      <c r="M556"/>
      <c r="N556"/>
      <c r="O556"/>
      <c r="P556"/>
      <c r="Q556"/>
      <c r="R556"/>
      <c r="S556"/>
      <c r="T556"/>
      <c r="U556"/>
      <c r="X556"/>
      <c r="AB556"/>
      <c r="AC556"/>
      <c r="AF556" s="361">
        <f>IF(AND(S.Notice.CustomReviewLoop1="Y",S.Notice.CustomReviewLoop2="Y",S.Notice.CustomReviewLoop3="Y"),1,0)</f>
        <v>0</v>
      </c>
      <c r="AG556" s="60">
        <f t="shared" si="92"/>
        <v>0</v>
      </c>
      <c r="AH556" s="60">
        <f t="shared" si="93"/>
        <v>0</v>
      </c>
      <c r="AI556" s="59"/>
      <c r="AJ556" s="44"/>
      <c r="AK556" s="44"/>
      <c r="AL556" s="76"/>
    </row>
    <row r="557" spans="1:38" s="23" customFormat="1" ht="14.1" hidden="1" customHeight="1" outlineLevel="1">
      <c r="A557" s="145"/>
      <c r="B557" s="471" t="s">
        <v>242</v>
      </c>
      <c r="C557" s="545" t="s">
        <v>0</v>
      </c>
      <c r="D557" s="715"/>
      <c r="E557" s="889"/>
      <c r="F557"/>
      <c r="G557" s="291">
        <f t="shared" si="90"/>
        <v>0</v>
      </c>
      <c r="H557" s="291">
        <f t="shared" si="91"/>
        <v>0</v>
      </c>
      <c r="I557" s="745"/>
      <c r="J557"/>
      <c r="K557"/>
      <c r="L557"/>
      <c r="M557"/>
      <c r="N557"/>
      <c r="O557"/>
      <c r="P557"/>
      <c r="Q557"/>
      <c r="R557"/>
      <c r="S557"/>
      <c r="T557"/>
      <c r="U557"/>
      <c r="X557"/>
      <c r="AB557"/>
      <c r="AC557"/>
      <c r="AF557" s="361">
        <f>IF(AND(S.Notice.CustomReviewLoop1="Y",S.Notice.CustomReviewLoop2="Y",S.Notice.CustomReviewLoop3="Y"),1,0)</f>
        <v>0</v>
      </c>
      <c r="AG557" s="60">
        <f t="shared" si="92"/>
        <v>0</v>
      </c>
      <c r="AH557" s="60">
        <f t="shared" si="93"/>
        <v>0</v>
      </c>
      <c r="AI557" s="59"/>
      <c r="AJ557" s="159"/>
      <c r="AK557" s="44"/>
      <c r="AL557" s="76"/>
    </row>
    <row r="558" spans="1:38" s="23" customFormat="1" ht="14.1" hidden="1" customHeight="1" outlineLevel="1">
      <c r="A558" s="145"/>
      <c r="B558" s="471" t="s">
        <v>242</v>
      </c>
      <c r="C558" s="545" t="s">
        <v>0</v>
      </c>
      <c r="D558" s="715"/>
      <c r="E558" s="889"/>
      <c r="F558"/>
      <c r="G558" s="291">
        <f t="shared" si="90"/>
        <v>0</v>
      </c>
      <c r="H558" s="291">
        <f t="shared" si="91"/>
        <v>0</v>
      </c>
      <c r="I558" s="745"/>
      <c r="J558"/>
      <c r="K558"/>
      <c r="L558"/>
      <c r="M558"/>
      <c r="N558"/>
      <c r="O558"/>
      <c r="P558"/>
      <c r="Q558"/>
      <c r="R558"/>
      <c r="S558"/>
      <c r="T558"/>
      <c r="U558"/>
      <c r="X558"/>
      <c r="AB558"/>
      <c r="AC558"/>
      <c r="AF558" s="361">
        <f>IF(AND(S.Notice.CustomReviewLoop1="Y",S.Notice.CustomReviewLoop2="Y",S.Notice.CustomReviewLoop3="Y"),1,0)</f>
        <v>0</v>
      </c>
      <c r="AG558" s="60">
        <f t="shared" si="92"/>
        <v>0</v>
      </c>
      <c r="AH558" s="60">
        <f t="shared" si="93"/>
        <v>0</v>
      </c>
      <c r="AI558" s="59"/>
      <c r="AJ558" s="159"/>
      <c r="AK558" s="44"/>
      <c r="AL558" s="76"/>
    </row>
    <row r="559" spans="1:38" s="23" customFormat="1" ht="14.1" hidden="1" customHeight="1" outlineLevel="1">
      <c r="A559" s="145"/>
      <c r="B559" s="471" t="s">
        <v>242</v>
      </c>
      <c r="C559" s="545" t="s">
        <v>0</v>
      </c>
      <c r="D559" s="715"/>
      <c r="E559" s="889"/>
      <c r="F559"/>
      <c r="G559" s="291">
        <f t="shared" si="90"/>
        <v>0</v>
      </c>
      <c r="H559" s="291">
        <f t="shared" si="91"/>
        <v>0</v>
      </c>
      <c r="I559" s="745"/>
      <c r="J559"/>
      <c r="K559"/>
      <c r="L559"/>
      <c r="M559"/>
      <c r="N559"/>
      <c r="O559"/>
      <c r="P559"/>
      <c r="Q559"/>
      <c r="R559"/>
      <c r="S559"/>
      <c r="T559"/>
      <c r="U559"/>
      <c r="X559"/>
      <c r="AB559"/>
      <c r="AC559"/>
      <c r="AF559" s="361">
        <f>IF(AND(S.Notice.CustomReviewLoop1="Y",S.Notice.CustomReviewLoop2="Y",S.Notice.CustomReviewLoop3="Y"),1,0)</f>
        <v>0</v>
      </c>
      <c r="AG559" s="60">
        <f t="shared" si="92"/>
        <v>0</v>
      </c>
      <c r="AH559" s="60">
        <f t="shared" si="93"/>
        <v>0</v>
      </c>
      <c r="AI559" s="59"/>
      <c r="AJ559" s="159"/>
      <c r="AK559" s="44"/>
      <c r="AL559" s="76"/>
    </row>
    <row r="560" spans="1:38" s="23" customFormat="1" ht="14.1" hidden="1" customHeight="1" outlineLevel="1">
      <c r="A560" s="145"/>
      <c r="B560" s="471"/>
      <c r="C560" s="545"/>
      <c r="F560"/>
      <c r="I560" s="745"/>
      <c r="AF560" s="361">
        <f>IF(AND(S.SIP.Involved="Y",S.Notice.Involved="Y"),1,0)</f>
        <v>1</v>
      </c>
      <c r="AG560" s="58"/>
      <c r="AH560" s="58"/>
      <c r="AI560" s="59"/>
      <c r="AJ560" s="159"/>
      <c r="AK560" s="44"/>
      <c r="AL560" s="76"/>
    </row>
    <row r="561" spans="1:38" s="23" customFormat="1" ht="20.25" customHeight="1" collapsed="1" thickBot="1">
      <c r="A561" s="145"/>
      <c r="B561" s="523" t="s">
        <v>772</v>
      </c>
      <c r="C561" s="282"/>
      <c r="D561" s="40"/>
      <c r="E561" s="40"/>
      <c r="F561" s="40"/>
      <c r="G561" s="40"/>
      <c r="H561" s="40"/>
      <c r="I561" s="745"/>
      <c r="AF561" s="361">
        <f t="shared" si="80"/>
        <v>1</v>
      </c>
      <c r="AG561" s="58"/>
      <c r="AH561" s="58"/>
      <c r="AI561" s="59"/>
      <c r="AJ561" s="59"/>
      <c r="AK561" s="44"/>
      <c r="AL561" s="76"/>
    </row>
    <row r="562" spans="1:38" s="23" customFormat="1" ht="30" customHeight="1" thickTop="1">
      <c r="A562" s="145"/>
      <c r="B562" s="779" t="str">
        <f>AK562</f>
        <v>DavidC looks at Notice Packet ensure:</v>
      </c>
      <c r="C562" s="282" t="s">
        <v>0</v>
      </c>
      <c r="D562" s="40"/>
      <c r="E562" s="40"/>
      <c r="F562" s="40"/>
      <c r="G562" s="1019" t="s">
        <v>688</v>
      </c>
      <c r="H562" s="1020"/>
      <c r="I562" s="745"/>
      <c r="AE562" s="860"/>
      <c r="AF562" s="361">
        <f t="shared" si="80"/>
        <v>1</v>
      </c>
      <c r="AG562" s="59"/>
      <c r="AH562" s="59"/>
      <c r="AI562" s="59"/>
      <c r="AJ562" s="59"/>
      <c r="AK562" s="182" t="str">
        <f>S.Staff.Program.Mgr.FirstName&amp;" looks at Notice Packet ensure:"</f>
        <v>DavidC looks at Notice Packet ensure:</v>
      </c>
      <c r="AL562" s="76"/>
    </row>
    <row r="563" spans="1:38" s="23" customFormat="1" ht="14.1" customHeight="1">
      <c r="A563" s="145"/>
      <c r="B563" s="269" t="s">
        <v>765</v>
      </c>
      <c r="C563" s="282" t="s">
        <v>0</v>
      </c>
      <c r="D563" s="283"/>
      <c r="E563" s="750"/>
      <c r="F563" s="40"/>
      <c r="G563" s="933">
        <f>AG563</f>
        <v>41803</v>
      </c>
      <c r="H563" s="934">
        <f>AH563</f>
        <v>41810</v>
      </c>
      <c r="I563" s="745"/>
      <c r="AE563" s="860"/>
      <c r="AF563" s="361">
        <f t="shared" si="80"/>
        <v>1</v>
      </c>
      <c r="AG563" s="60">
        <f>S.Notice.Submit.ToSponsoringMgr</f>
        <v>41803</v>
      </c>
      <c r="AH563" s="60">
        <f>H23</f>
        <v>41810</v>
      </c>
      <c r="AI563" s="59"/>
      <c r="AJ563" s="59"/>
      <c r="AK563" s="44"/>
      <c r="AL563" s="76"/>
    </row>
    <row r="564" spans="1:38" s="23" customFormat="1" ht="14.1" customHeight="1">
      <c r="A564" s="145"/>
      <c r="B564" s="269" t="s">
        <v>766</v>
      </c>
      <c r="C564" s="282" t="s">
        <v>0</v>
      </c>
      <c r="G564" s="935" t="s">
        <v>764</v>
      </c>
      <c r="H564" s="936" t="s">
        <v>763</v>
      </c>
      <c r="I564" s="745"/>
      <c r="AE564" s="860"/>
      <c r="AF564" s="361">
        <f t="shared" si="80"/>
        <v>1</v>
      </c>
      <c r="AG564" s="59"/>
      <c r="AH564" s="59"/>
      <c r="AI564" s="59"/>
      <c r="AJ564" s="59"/>
      <c r="AK564" s="44"/>
      <c r="AL564" s="76"/>
    </row>
    <row r="565" spans="1:38" s="23" customFormat="1" ht="14.1" customHeight="1" thickBot="1">
      <c r="A565" s="145"/>
      <c r="B565" s="269" t="s">
        <v>759</v>
      </c>
      <c r="C565" s="282" t="s">
        <v>0</v>
      </c>
      <c r="D565"/>
      <c r="F565"/>
      <c r="G565" s="937" t="s">
        <v>0</v>
      </c>
      <c r="H565" s="938" t="s">
        <v>0</v>
      </c>
      <c r="I565" s="745"/>
      <c r="AE565" s="860"/>
      <c r="AF565" s="361">
        <f t="shared" si="80"/>
        <v>1</v>
      </c>
      <c r="AG565" s="59"/>
      <c r="AH565" s="59"/>
      <c r="AI565" s="59"/>
      <c r="AJ565" s="59"/>
      <c r="AK565" s="44"/>
      <c r="AL565" s="76"/>
    </row>
    <row r="566" spans="1:38" s="23" customFormat="1" ht="14.1" customHeight="1" thickTop="1">
      <c r="A566" s="145"/>
      <c r="B566" s="267" t="str">
        <f>AK566</f>
        <v>DavidC:</v>
      </c>
      <c r="C566" s="282" t="s">
        <v>0</v>
      </c>
      <c r="H566" s="953"/>
      <c r="I566" s="745"/>
      <c r="AF566" s="361">
        <f t="shared" si="80"/>
        <v>1</v>
      </c>
      <c r="AG566" s="59"/>
      <c r="AH566" s="59"/>
      <c r="AI566" s="59"/>
      <c r="AJ566" s="59"/>
      <c r="AK566" s="182" t="str">
        <f>S.Staff.Program.Mgr.FirstName&amp;":"</f>
        <v>DavidC:</v>
      </c>
      <c r="AL566" s="76"/>
    </row>
    <row r="567" spans="1:38" s="23" customFormat="1" ht="14.1" customHeight="1">
      <c r="A567" s="145"/>
      <c r="B567" s="269" t="s">
        <v>773</v>
      </c>
      <c r="C567" s="282" t="s">
        <v>0</v>
      </c>
      <c r="G567" s="40"/>
      <c r="H567" s="40"/>
      <c r="I567" s="745"/>
      <c r="AE567" s="40"/>
      <c r="AF567" s="361">
        <f t="shared" si="80"/>
        <v>1</v>
      </c>
      <c r="AG567" s="59"/>
      <c r="AH567" s="59"/>
      <c r="AI567" s="59"/>
      <c r="AJ567" s="59"/>
      <c r="AK567" s="44"/>
      <c r="AL567" s="76"/>
    </row>
    <row r="568" spans="1:38" s="23" customFormat="1" ht="14.1" customHeight="1">
      <c r="A568" s="145"/>
      <c r="B568" s="269" t="str">
        <f>AK568</f>
        <v>* notifies Brian when complete</v>
      </c>
      <c r="C568" s="282" t="s">
        <v>0</v>
      </c>
      <c r="G568" s="40"/>
      <c r="H568" s="40"/>
      <c r="I568" s="745"/>
      <c r="AE568" s="40"/>
      <c r="AF568" s="361">
        <f t="shared" si="80"/>
        <v>1</v>
      </c>
      <c r="AG568" s="59"/>
      <c r="AH568" s="59"/>
      <c r="AI568" s="59"/>
      <c r="AJ568" s="59"/>
      <c r="AK568" s="182" t="str">
        <f>"* notifies "&amp;S.Staff.Subject.Expert.FirstName&amp;" when complete"</f>
        <v>* notifies Brian when complete</v>
      </c>
      <c r="AL568" s="76"/>
    </row>
    <row r="569" spans="1:38" s="23" customFormat="1" ht="14.1" customHeight="1">
      <c r="A569" s="145"/>
      <c r="B569" s="779" t="str">
        <f>AK569</f>
        <v>Brian:</v>
      </c>
      <c r="C569" s="282" t="s">
        <v>0</v>
      </c>
      <c r="D569" s="283"/>
      <c r="E569" s="750"/>
      <c r="G569" s="256">
        <f>AG569</f>
        <v>41813</v>
      </c>
      <c r="H569" s="954">
        <f>AH569</f>
        <v>41820</v>
      </c>
      <c r="I569" s="745"/>
      <c r="AF569" s="361">
        <f t="shared" si="80"/>
        <v>1</v>
      </c>
      <c r="AG569" s="60">
        <f>WORKDAY(H563,1,S.DDL_DEQClosed)</f>
        <v>41813</v>
      </c>
      <c r="AH569" s="60">
        <f>IF(AF569=0,,WORKDAY(S.Notice.Submit.ToRG,-1,S.DDL_DEQClosed))</f>
        <v>41820</v>
      </c>
      <c r="AI569" s="59"/>
      <c r="AJ569" s="59"/>
      <c r="AK569" s="182" t="str">
        <f>S.Staff.Subject.Expert.FirstName&amp;":"</f>
        <v>Brian:</v>
      </c>
      <c r="AL569" s="76"/>
    </row>
    <row r="570" spans="1:38" s="23" customFormat="1" ht="14.1" customHeight="1">
      <c r="A570" s="145"/>
      <c r="B570" s="269" t="str">
        <f>AK570</f>
        <v>* addresses DavidC's technical concerns</v>
      </c>
      <c r="C570" s="282" t="s">
        <v>0</v>
      </c>
      <c r="G570" s="40"/>
      <c r="H570" s="40"/>
      <c r="I570" s="745"/>
      <c r="AE570" s="40"/>
      <c r="AF570" s="361">
        <f t="shared" si="80"/>
        <v>1</v>
      </c>
      <c r="AG570" s="59"/>
      <c r="AH570" s="59"/>
      <c r="AI570" s="59"/>
      <c r="AJ570" s="59"/>
      <c r="AK570" s="182" t="str">
        <f>"* addresses "&amp;S.Staff.Program.Mgr.FirstName&amp;"'s technical concerns"</f>
        <v>* addresses DavidC's technical concerns</v>
      </c>
      <c r="AL570" s="76"/>
    </row>
    <row r="571" spans="1:38" s="23" customFormat="1" ht="14.1" customHeight="1" thickBot="1">
      <c r="A571" s="145"/>
      <c r="B571" s="269" t="str">
        <f>AK571</f>
        <v>* submits Notice and Proposed Rules to Rule Publication (AndreaG)</v>
      </c>
      <c r="C571" s="282" t="s">
        <v>0</v>
      </c>
      <c r="G571" s="40"/>
      <c r="H571" s="784"/>
      <c r="I571" s="745"/>
      <c r="AE571" s="40"/>
      <c r="AF571" s="361">
        <f t="shared" si="80"/>
        <v>1</v>
      </c>
      <c r="AG571" s="59"/>
      <c r="AH571" s="59"/>
      <c r="AI571" s="59"/>
      <c r="AJ571" s="59"/>
      <c r="AK571" s="182" t="str">
        <f>"* submits Notice and Proposed Rules to Rule Publication ("&amp;S.Staff.RG.Lead.FirstName&amp;")"</f>
        <v>* submits Notice and Proposed Rules to Rule Publication (AndreaG)</v>
      </c>
      <c r="AL571" s="76"/>
    </row>
    <row r="572" spans="1:38" s="23" customFormat="1" ht="24.75" customHeight="1" thickTop="1">
      <c r="A572" s="145"/>
      <c r="B572" s="779" t="str">
        <f>AK572</f>
        <v>AndreaG leads initial Rule Publication work that includes:</v>
      </c>
      <c r="C572" s="268"/>
      <c r="D572" s="40"/>
      <c r="E572" s="40"/>
      <c r="F572"/>
      <c r="G572" s="1015" t="s">
        <v>613</v>
      </c>
      <c r="H572" s="1016"/>
      <c r="I572" s="745"/>
      <c r="AF572" s="361">
        <f t="shared" si="80"/>
        <v>1</v>
      </c>
      <c r="AG572" s="59"/>
      <c r="AH572" s="59"/>
      <c r="AI572" s="58"/>
      <c r="AJ572" s="44"/>
      <c r="AK572" s="810" t="str">
        <f>S.Staff.RG.Lead.FirstName&amp;" leads initial Rule Publication work that includes:"</f>
        <v>AndreaG leads initial Rule Publication work that includes:</v>
      </c>
      <c r="AL572" s="76"/>
    </row>
    <row r="573" spans="1:38" s="23" customFormat="1" ht="14.1" customHeight="1">
      <c r="A573" s="145" t="s">
        <v>0</v>
      </c>
      <c r="B573" s="269" t="s">
        <v>684</v>
      </c>
      <c r="C573" s="268"/>
      <c r="D573" s="714"/>
      <c r="E573" s="887"/>
      <c r="F573"/>
      <c r="G573" s="951">
        <f>AG573</f>
        <v>41821</v>
      </c>
      <c r="H573" s="934">
        <f>AH573</f>
        <v>41831</v>
      </c>
      <c r="I573" s="745"/>
      <c r="AF573" s="361">
        <f t="shared" ref="AF573:AF580" si="94">IF(S.Notice.Involved="Y",1,0)</f>
        <v>1</v>
      </c>
      <c r="AG573" s="566">
        <f>S.Notice.Submit.ToRG</f>
        <v>41821</v>
      </c>
      <c r="AH573" s="566">
        <f>H24</f>
        <v>41831</v>
      </c>
      <c r="AI573" s="58"/>
      <c r="AJ573" s="44"/>
      <c r="AK573" s="44"/>
      <c r="AL573" s="76"/>
    </row>
    <row r="574" spans="1:38" s="23" customFormat="1" ht="14.1" customHeight="1" thickBot="1">
      <c r="A574" s="145"/>
      <c r="B574" s="269" t="s">
        <v>610</v>
      </c>
      <c r="C574" s="268"/>
      <c r="D574"/>
      <c r="F574"/>
      <c r="G574" s="959" t="s">
        <v>764</v>
      </c>
      <c r="H574" s="960" t="s">
        <v>763</v>
      </c>
      <c r="I574" s="745"/>
      <c r="AF574" s="361">
        <f t="shared" si="94"/>
        <v>1</v>
      </c>
      <c r="AG574" s="58"/>
      <c r="AH574" s="58"/>
      <c r="AI574" s="58"/>
      <c r="AJ574" s="44"/>
      <c r="AK574" s="44"/>
      <c r="AL574" s="76"/>
    </row>
    <row r="575" spans="1:38" s="23" customFormat="1" ht="14.1" customHeight="1" thickTop="1" thickBot="1">
      <c r="A575" s="145"/>
      <c r="B575" s="289" t="s">
        <v>768</v>
      </c>
      <c r="C575" s="358" t="str">
        <f>HYPERLINK("\\deqhq1\Rule_Resources\i\Final Review Checklist.docx","i")</f>
        <v>i</v>
      </c>
      <c r="D575" s="325"/>
      <c r="E575" s="325"/>
      <c r="F575" s="262"/>
      <c r="G575" s="258"/>
      <c r="H575" s="258"/>
      <c r="I575" s="745"/>
      <c r="AF575" s="361">
        <f t="shared" si="94"/>
        <v>1</v>
      </c>
      <c r="AG575" s="58"/>
      <c r="AH575" s="58"/>
      <c r="AI575" s="59"/>
      <c r="AJ575" s="59"/>
      <c r="AK575" s="74"/>
      <c r="AL575" s="76"/>
    </row>
    <row r="576" spans="1:38" s="23" customFormat="1" ht="14.1" customHeight="1">
      <c r="A576" s="145"/>
      <c r="B576" s="320" t="str">
        <f>AK576</f>
        <v>* obtaining/consolidating BrianW, StephanieC &amp; AndreaG edits as needed</v>
      </c>
      <c r="C576" s="282"/>
      <c r="D576"/>
      <c r="F576"/>
      <c r="G576" s="40"/>
      <c r="H576" s="40"/>
      <c r="I576" s="745"/>
      <c r="AF576" s="361">
        <f t="shared" si="94"/>
        <v>1</v>
      </c>
      <c r="AG576" s="59"/>
      <c r="AH576" s="59"/>
      <c r="AI576" s="59"/>
      <c r="AJ576" s="59"/>
      <c r="AK576" s="182" t="str">
        <f>"* obtaining/consolidating "&amp;S.Staff.PublicAffairsOfficer&amp;", "&amp;S.Staff.EQCAssistant&amp;" &amp; "&amp;S.Staff.SIPCo&amp;" edits as needed"</f>
        <v>* obtaining/consolidating BrianW, StephanieC &amp; AndreaG edits as needed</v>
      </c>
      <c r="AL576" s="76"/>
    </row>
    <row r="577" spans="1:39" s="23" customFormat="1" ht="14.1" customHeight="1">
      <c r="A577" s="145"/>
      <c r="B577" s="814" t="s">
        <v>671</v>
      </c>
      <c r="C577" s="282"/>
      <c r="G577" s="40"/>
      <c r="H577" s="40"/>
      <c r="I577" s="745"/>
      <c r="AF577" s="361">
        <f t="shared" si="94"/>
        <v>1</v>
      </c>
      <c r="AG577" s="59"/>
      <c r="AH577" s="59"/>
      <c r="AI577" s="59"/>
      <c r="AJ577" s="59"/>
      <c r="AK577" s="44"/>
      <c r="AL577" s="76"/>
    </row>
    <row r="578" spans="1:39" s="23" customFormat="1" ht="14.1" customHeight="1">
      <c r="A578" s="145"/>
      <c r="B578" s="320" t="s">
        <v>651</v>
      </c>
      <c r="C578" s="282"/>
      <c r="F578"/>
      <c r="G578" s="40"/>
      <c r="H578" s="40"/>
      <c r="I578" s="745"/>
      <c r="AF578" s="361">
        <f t="shared" si="94"/>
        <v>1</v>
      </c>
      <c r="AG578" s="59"/>
      <c r="AH578" s="59"/>
      <c r="AI578" s="59"/>
      <c r="AJ578" s="59"/>
      <c r="AK578" s="44"/>
      <c r="AL578" s="76"/>
    </row>
    <row r="579" spans="1:39" s="631" customFormat="1" ht="14.1" customHeight="1">
      <c r="A579" s="600"/>
      <c r="B579" s="773" t="str">
        <f t="shared" ref="B579:B580" si="95">AK579</f>
        <v>Brian &amp; AndreaG prepare drafts for preview</v>
      </c>
      <c r="C579" s="268" t="s">
        <v>0</v>
      </c>
      <c r="D579" s="774"/>
      <c r="E579" s="890"/>
      <c r="F579"/>
      <c r="G579" s="256">
        <f t="shared" ref="G579" si="96">AG579</f>
        <v>41834</v>
      </c>
      <c r="H579" s="256">
        <f t="shared" ref="H579:H584" si="97">AH579</f>
        <v>41837</v>
      </c>
      <c r="I579" s="931"/>
      <c r="AF579" s="361">
        <f t="shared" si="94"/>
        <v>1</v>
      </c>
      <c r="AG579" s="775">
        <f>WORKDAY(H573,1,S.DDL_DEQClosed)</f>
        <v>41834</v>
      </c>
      <c r="AH579" s="775">
        <f>WORKDAY(G579,3,S.DDL_DEQClosed)</f>
        <v>41837</v>
      </c>
      <c r="AI579" s="59"/>
      <c r="AJ579" s="59"/>
      <c r="AK579" s="776" t="str">
        <f>S.Staff.Subject.Expert.FirstName&amp;" &amp; "&amp;S.Staff.RG.Lead.FirstName&amp;" prepare drafts for preview"</f>
        <v>Brian &amp; AndreaG prepare drafts for preview</v>
      </c>
      <c r="AL579" s="76"/>
    </row>
    <row r="580" spans="1:39" s="23" customFormat="1" ht="14.1" customHeight="1">
      <c r="A580" s="145"/>
      <c r="B580" s="267" t="str">
        <f t="shared" si="95"/>
        <v>DavidC approves moving forward with Notice and Proposed Rules</v>
      </c>
      <c r="C580" s="268" t="s">
        <v>0</v>
      </c>
      <c r="D580" s="283"/>
      <c r="E580" s="750"/>
      <c r="G580" s="256">
        <f>AG580</f>
        <v>41838</v>
      </c>
      <c r="H580" s="256">
        <f t="shared" si="97"/>
        <v>41841</v>
      </c>
      <c r="I580" s="745"/>
      <c r="AF580" s="361">
        <f t="shared" si="94"/>
        <v>1</v>
      </c>
      <c r="AG580" s="60">
        <f>IF(AF580=0,,WORKDAY(H579,1,S.DDL_DEQClosed))</f>
        <v>41838</v>
      </c>
      <c r="AH580" s="60">
        <f>IF(AF580=0,,WORKDAY(G580,1,S.DDL_DEQClosed))</f>
        <v>41841</v>
      </c>
      <c r="AI580" s="59"/>
      <c r="AJ580" s="59"/>
      <c r="AK580" s="182" t="str">
        <f>S.Staff.Program.Mgr.FirstName&amp;" approves moving forward with Notice and Proposed Rules"</f>
        <v>DavidC approves moving forward with Notice and Proposed Rules</v>
      </c>
      <c r="AL580" s="76"/>
    </row>
    <row r="581" spans="1:39" ht="14.1" hidden="1" customHeight="1" outlineLevel="1" thickBot="1">
      <c r="A581" s="145"/>
      <c r="B581" s="359" t="str">
        <f t="shared" ref="B581:B584" si="98">AK581</f>
        <v>2nd loop of DavidC's Notice Packet review and approval</v>
      </c>
      <c r="C581" s="481" t="s">
        <v>206</v>
      </c>
      <c r="D581" s="283"/>
      <c r="E581" s="750"/>
      <c r="F581"/>
      <c r="G581" s="256">
        <f>AG581</f>
        <v>0</v>
      </c>
      <c r="H581" s="256">
        <f t="shared" si="97"/>
        <v>0</v>
      </c>
      <c r="I581" s="745"/>
      <c r="AF581" s="361">
        <f>IF(AND(S.Notice.ApprovePacketLoop2="Y",S.Notice.Involved="Y"),1,0)</f>
        <v>0</v>
      </c>
      <c r="AG581" s="60">
        <f>IF(AF581=0,,WORKDAY(H580,1,S.DDL_DEQClosed))</f>
        <v>0</v>
      </c>
      <c r="AH581" s="60">
        <f>IF(AF581=0,,WORKDAY(G581,3,S.DDL_DEQClosed))</f>
        <v>0</v>
      </c>
      <c r="AI581" s="59"/>
      <c r="AJ581" s="59"/>
      <c r="AK581" s="182" t="str">
        <f>"2nd loop of "&amp;S.Staff.Program.Mgr.FirstName&amp;"'s Notice Packet review and approval"</f>
        <v>2nd loop of DavidC's Notice Packet review and approval</v>
      </c>
      <c r="AL581" s="76"/>
      <c r="AM581"/>
    </row>
    <row r="582" spans="1:39" ht="14.1" hidden="1" customHeight="1" outlineLevel="1" thickBot="1">
      <c r="A582" s="145"/>
      <c r="B582" s="339" t="str">
        <f t="shared" si="98"/>
        <v>3rd loop of DavidC's Notice Packet review and approval</v>
      </c>
      <c r="C582" s="481" t="s">
        <v>206</v>
      </c>
      <c r="D582" s="283"/>
      <c r="E582" s="750"/>
      <c r="F582"/>
      <c r="G582" s="256">
        <f t="shared" ref="G582:G583" si="99">AG582</f>
        <v>0</v>
      </c>
      <c r="H582" s="256">
        <f t="shared" si="97"/>
        <v>0</v>
      </c>
      <c r="I582" s="745"/>
      <c r="AF582" s="361">
        <f>IF(AND(S.Notice.ApprovePacketLoop3="Y",S.Notice.Involved="Y"),1,0)</f>
        <v>0</v>
      </c>
      <c r="AG582" s="60">
        <f>IF(AF582=0,,WORKDAY(H581,1,S.DDL_DEQClosed))</f>
        <v>0</v>
      </c>
      <c r="AH582" s="60">
        <f>IF(AF582=0,,WORKDAY(G582,3,S.DDL_DEQClosed))</f>
        <v>0</v>
      </c>
      <c r="AI582" s="59"/>
      <c r="AJ582" s="59"/>
      <c r="AK582" s="182" t="str">
        <f>"3rd loop of "&amp;S.Staff.Program.Mgr.FirstName&amp;"'s Notice Packet review and approval"</f>
        <v>3rd loop of DavidC's Notice Packet review and approval</v>
      </c>
      <c r="AL582" s="76"/>
      <c r="AM582"/>
    </row>
    <row r="583" spans="1:39" ht="14.1" hidden="1" customHeight="1" outlineLevel="1" thickBot="1">
      <c r="A583" s="145"/>
      <c r="B583" s="440" t="str">
        <f t="shared" si="98"/>
        <v>4th loop of DavidC's Notice Packet review and approval</v>
      </c>
      <c r="C583" s="481" t="s">
        <v>206</v>
      </c>
      <c r="D583" s="283"/>
      <c r="E583" s="750"/>
      <c r="F583"/>
      <c r="G583" s="256">
        <f t="shared" si="99"/>
        <v>0</v>
      </c>
      <c r="H583" s="256">
        <f t="shared" si="97"/>
        <v>0</v>
      </c>
      <c r="I583" s="745"/>
      <c r="AF583" s="361">
        <f>IF(AND(S.Notice.ApprovePacketLoop4="Y",S.Notice.Involved="Y"),1,0)</f>
        <v>0</v>
      </c>
      <c r="AG583" s="60">
        <f>IF(AF583=0,,WORKDAY(H582,1,S.DDL_DEQClosed))</f>
        <v>0</v>
      </c>
      <c r="AH583" s="60">
        <f>IF(AF583=0,,WORKDAY(G583,3,S.DDL_DEQClosed))</f>
        <v>0</v>
      </c>
      <c r="AI583" s="59"/>
      <c r="AJ583" s="59"/>
      <c r="AK583" s="182" t="str">
        <f>"4th loop of "&amp;S.Staff.Program.Mgr.FirstName&amp;"'s Notice Packet review and approval"</f>
        <v>4th loop of DavidC's Notice Packet review and approval</v>
      </c>
      <c r="AL583" s="76"/>
      <c r="AM583"/>
    </row>
    <row r="584" spans="1:39" s="23" customFormat="1" ht="14.1" customHeight="1" collapsed="1">
      <c r="A584" s="145"/>
      <c r="B584" s="267" t="str">
        <f t="shared" si="98"/>
        <v>Brian &amp; AndreaG address any concerns that may block DavidC's approval</v>
      </c>
      <c r="C584" s="282" t="s">
        <v>0</v>
      </c>
      <c r="D584" s="283"/>
      <c r="E584" s="750"/>
      <c r="F584"/>
      <c r="G584" s="256">
        <f>AG584</f>
        <v>41842</v>
      </c>
      <c r="H584" s="256">
        <f t="shared" si="97"/>
        <v>41843</v>
      </c>
      <c r="I584" s="745"/>
      <c r="AF584" s="361">
        <f t="shared" ref="AF584:AF592" si="100">IF(S.Notice.Involved="Y",1,0)</f>
        <v>1</v>
      </c>
      <c r="AG584" s="60">
        <f>WORKDAY(MAX(H562:H583),1,S.DDL_DEQClosed)</f>
        <v>41842</v>
      </c>
      <c r="AH584" s="60">
        <f>IF(AF584=0,,WORKDAY(G584,1,S.DDL_DEQClosed))</f>
        <v>41843</v>
      </c>
      <c r="AI584" s="59"/>
      <c r="AJ584" s="59"/>
      <c r="AK584" s="182" t="str">
        <f>S.Staff.Subject.Expert.FirstName&amp;" &amp; "&amp;S.Staff.RG.Lead.FirstName&amp;" address any concerns that may block "&amp;S.Staff.Program.Mgr.FirstName&amp;"'s approval"</f>
        <v>Brian &amp; AndreaG address any concerns that may block DavidC's approval</v>
      </c>
      <c r="AL584" s="76"/>
    </row>
    <row r="585" spans="1:39" s="23" customFormat="1" ht="20.25" customHeight="1">
      <c r="A585" s="145"/>
      <c r="B585" s="523" t="s">
        <v>776</v>
      </c>
      <c r="C585" s="541"/>
      <c r="D585" s="705"/>
      <c r="E585" s="705"/>
      <c r="F585"/>
      <c r="I585" s="745"/>
      <c r="AF585" s="361">
        <f t="shared" si="100"/>
        <v>1</v>
      </c>
      <c r="AG585" s="59"/>
      <c r="AH585" s="59"/>
      <c r="AI585" s="59"/>
      <c r="AJ585" s="59"/>
      <c r="AK585" s="44"/>
      <c r="AL585" s="76"/>
    </row>
    <row r="586" spans="1:39" s="23" customFormat="1" ht="14.1" customHeight="1">
      <c r="A586" s="145"/>
      <c r="B586" s="267" t="str">
        <f t="shared" ref="B586:B590" si="101">AK586</f>
        <v>AndreaG drafts EMAIL.PREVIEW - instructions in template:</v>
      </c>
      <c r="C586" s="509" t="str">
        <f>HYPERLINK("\\deqhq1\Rule_Resources\i\EMAIL.Preview.docx","i")</f>
        <v>i</v>
      </c>
      <c r="D586" s="283"/>
      <c r="E586" s="750"/>
      <c r="F586"/>
      <c r="H586" s="265">
        <f>AH586</f>
        <v>41843</v>
      </c>
      <c r="I586" s="745"/>
      <c r="AF586" s="361">
        <f t="shared" si="100"/>
        <v>1</v>
      </c>
      <c r="AG586" s="59"/>
      <c r="AH586" s="60">
        <f>IF(AF586=0,,H584)</f>
        <v>41843</v>
      </c>
      <c r="AI586" s="59"/>
      <c r="AJ586" s="59"/>
      <c r="AK586" s="182" t="str">
        <f>S.Staff.RG.Lead.FirstName&amp;" drafts EMAIL.PREVIEW - instructions in template:"</f>
        <v>AndreaG drafts EMAIL.PREVIEW - instructions in template:</v>
      </c>
      <c r="AL586" s="76"/>
    </row>
    <row r="587" spans="1:39" s="23" customFormat="1" ht="14.1" customHeight="1">
      <c r="A587" s="145"/>
      <c r="B587" s="320" t="str">
        <f t="shared" si="101"/>
        <v>* sends draft to Uri before briefing, copies Brian &amp; DavidC</v>
      </c>
      <c r="C587" s="541" t="s">
        <v>0</v>
      </c>
      <c r="D587" s="705"/>
      <c r="E587" s="705"/>
      <c r="F587"/>
      <c r="I587" s="745"/>
      <c r="AF587" s="361">
        <f t="shared" si="100"/>
        <v>1</v>
      </c>
      <c r="AG587" s="59"/>
      <c r="AH587" s="59"/>
      <c r="AI587" s="59"/>
      <c r="AJ587" s="59"/>
      <c r="AK587" s="182" t="str">
        <f>"* sends draft to "&amp;S.Staff.Assistant.DA.ShortName&amp;" before briefing, copies "&amp;S.Staff.Subject.Expert.FirstName&amp;" &amp; "&amp;S.Staff.Program.Mgr.FirstName</f>
        <v>* sends draft to Uri before briefing, copies Brian &amp; DavidC</v>
      </c>
      <c r="AL587" s="76"/>
    </row>
    <row r="588" spans="1:39" ht="14.1" customHeight="1">
      <c r="A588" s="145"/>
      <c r="B588" s="284" t="str">
        <f t="shared" si="101"/>
        <v>Brian, DavidC &amp; AndreaG:</v>
      </c>
      <c r="C588" s="541" t="s">
        <v>0</v>
      </c>
      <c r="D588" s="705"/>
      <c r="E588" s="705"/>
      <c r="F588"/>
      <c r="G588"/>
      <c r="H588"/>
      <c r="I588" s="745"/>
      <c r="AF588" s="361">
        <f t="shared" si="100"/>
        <v>1</v>
      </c>
      <c r="AG588" s="59"/>
      <c r="AH588" s="59"/>
      <c r="AI588" s="59"/>
      <c r="AJ588" s="59"/>
      <c r="AK588" s="182" t="str">
        <f>S.Staff.Subject.Expert.FirstName&amp;", "&amp;S.Staff.Program.Mgr.FirstName&amp;" &amp; "&amp;S.Staff.RG.Lead.FirstName&amp;":"</f>
        <v>Brian, DavidC &amp; AndreaG:</v>
      </c>
      <c r="AL588" s="76"/>
      <c r="AM588"/>
    </row>
    <row r="589" spans="1:39" s="23" customFormat="1" ht="14.1" customHeight="1">
      <c r="A589" s="145"/>
      <c r="B589" s="320" t="str">
        <f t="shared" si="101"/>
        <v>* brief Uri</v>
      </c>
      <c r="C589" s="478" t="s">
        <v>0</v>
      </c>
      <c r="D589" s="283"/>
      <c r="E589" s="750"/>
      <c r="F589"/>
      <c r="G589" s="918" t="s">
        <v>762</v>
      </c>
      <c r="H589" s="256">
        <f>AH589</f>
        <v>41844</v>
      </c>
      <c r="I589" s="745"/>
      <c r="J589"/>
      <c r="K589"/>
      <c r="L589"/>
      <c r="M589"/>
      <c r="N589"/>
      <c r="O589"/>
      <c r="P589"/>
      <c r="Q589"/>
      <c r="R589"/>
      <c r="S589"/>
      <c r="T589"/>
      <c r="U589"/>
      <c r="X589"/>
      <c r="AB589"/>
      <c r="AC589"/>
      <c r="AF589" s="361">
        <f t="shared" si="100"/>
        <v>1</v>
      </c>
      <c r="AG589" s="59"/>
      <c r="AH589" s="60">
        <f>IF(AF540=0,,WORKDAY(S.Notice.Submit.ToADA,-1,S.DDL_DEQClosed))</f>
        <v>41844</v>
      </c>
      <c r="AI589" s="59" t="s">
        <v>0</v>
      </c>
      <c r="AJ589" s="59"/>
      <c r="AK589" s="182" t="str">
        <f>"* brief "&amp;S.Staff.Assistant.DA.ShortName</f>
        <v>* brief Uri</v>
      </c>
      <c r="AL589" s="76"/>
    </row>
    <row r="590" spans="1:39" s="23" customFormat="1" ht="14.1" customHeight="1" thickBot="1">
      <c r="A590" s="145"/>
      <c r="B590" s="320" t="str">
        <f t="shared" si="101"/>
        <v>* remind Uri this is also his review/approval period</v>
      </c>
      <c r="C590" s="541" t="s">
        <v>0</v>
      </c>
      <c r="D590" s="705"/>
      <c r="E590" s="705"/>
      <c r="F590"/>
      <c r="G590" s="784"/>
      <c r="H590" s="784"/>
      <c r="I590" s="745"/>
      <c r="J590"/>
      <c r="K590"/>
      <c r="L590"/>
      <c r="M590"/>
      <c r="N590"/>
      <c r="O590"/>
      <c r="P590"/>
      <c r="Q590"/>
      <c r="R590"/>
      <c r="S590"/>
      <c r="T590"/>
      <c r="U590"/>
      <c r="X590"/>
      <c r="AB590"/>
      <c r="AC590"/>
      <c r="AF590" s="361">
        <f t="shared" si="100"/>
        <v>1</v>
      </c>
      <c r="AG590" s="59"/>
      <c r="AH590" s="59"/>
      <c r="AI590" s="59"/>
      <c r="AJ590" s="59"/>
      <c r="AK590" s="182" t="str">
        <f>"* remind "&amp;S.Staff.Assistant.DA.ShortName&amp;" this is also "&amp;S.Staff.Assistant.DA.Pronoun&amp;" review/approval period"</f>
        <v>* remind Uri this is also his review/approval period</v>
      </c>
      <c r="AL590" s="76"/>
    </row>
    <row r="591" spans="1:39" s="23" customFormat="1" ht="14.1" customHeight="1" thickTop="1">
      <c r="A591" s="145"/>
      <c r="B591" s="284" t="str">
        <f>AK591</f>
        <v xml:space="preserve">Uri personalizes and sends EMAIL.PREVIEW </v>
      </c>
      <c r="C591" s="541"/>
      <c r="D591" s="701"/>
      <c r="E591" s="701"/>
      <c r="F591" s="781"/>
      <c r="G591" s="1030" t="s">
        <v>636</v>
      </c>
      <c r="H591" s="1031"/>
      <c r="I591" s="745"/>
      <c r="AE591" s="780"/>
      <c r="AF591" s="361">
        <f t="shared" si="100"/>
        <v>1</v>
      </c>
      <c r="AG591" s="59"/>
      <c r="AH591" s="59"/>
      <c r="AI591" s="59"/>
      <c r="AJ591" s="59"/>
      <c r="AK591" s="182" t="str">
        <f>S.Staff.Assistant.DA.ShortName&amp;" personalizes and sends EMAIL.PREVIEW "</f>
        <v xml:space="preserve">Uri personalizes and sends EMAIL.PREVIEW </v>
      </c>
      <c r="AL591" s="76"/>
    </row>
    <row r="592" spans="1:39" s="23" customFormat="1" ht="14.1" customHeight="1">
      <c r="A592" s="145"/>
      <c r="B592" s="530" t="str">
        <f>AK592</f>
        <v>To… Dick, DavidL, Leadership Team &amp; StephanieC</v>
      </c>
      <c r="C592" s="541"/>
      <c r="D592" s="701"/>
      <c r="E592" s="701"/>
      <c r="F592" s="781"/>
      <c r="G592" s="955" t="s">
        <v>57</v>
      </c>
      <c r="H592" s="956" t="s">
        <v>172</v>
      </c>
      <c r="I592" s="745"/>
      <c r="AE592" s="780"/>
      <c r="AF592" s="361">
        <f t="shared" si="100"/>
        <v>1</v>
      </c>
      <c r="AG592" s="59"/>
      <c r="AH592" s="59"/>
      <c r="AI592" s="59"/>
      <c r="AJ592" s="59"/>
      <c r="AK592" s="182" t="str">
        <f>"To… "&amp;S.Staff.Director&amp;", "&amp;S.Staff.DA.ForProgram.FirstName&amp;", Leadership Team &amp; "&amp;S.Staff.EQCAssistant</f>
        <v>To… Dick, DavidL, Leadership Team &amp; StephanieC</v>
      </c>
      <c r="AL592" s="76"/>
    </row>
    <row r="593" spans="1:39" s="23" customFormat="1" ht="14.1" customHeight="1">
      <c r="A593" s="145"/>
      <c r="B593" s="530" t="s">
        <v>777</v>
      </c>
      <c r="C593" s="541" t="s">
        <v>0</v>
      </c>
      <c r="D593" s="265"/>
      <c r="E593" s="891"/>
      <c r="F593" s="781"/>
      <c r="G593" s="957">
        <f>AG593</f>
        <v>41845</v>
      </c>
      <c r="H593" s="958">
        <f>AH593</f>
        <v>41852</v>
      </c>
      <c r="I593" s="745"/>
      <c r="J593"/>
      <c r="K593"/>
      <c r="L593"/>
      <c r="M593"/>
      <c r="N593"/>
      <c r="O593"/>
      <c r="P593"/>
      <c r="Q593"/>
      <c r="R593"/>
      <c r="S593"/>
      <c r="T593"/>
      <c r="U593"/>
      <c r="X593"/>
      <c r="AB593"/>
      <c r="AC593"/>
      <c r="AE593" s="780"/>
      <c r="AF593" s="361">
        <f t="shared" ref="AF593:AF602" si="102">IF(S.Notice.Involved="Y",1,0)</f>
        <v>1</v>
      </c>
      <c r="AG593" s="60">
        <f>S.Notice.Submit.ToADA</f>
        <v>41845</v>
      </c>
      <c r="AH593" s="60">
        <f>IF(AF593=0,,AH25)</f>
        <v>41852</v>
      </c>
      <c r="AI593" s="59"/>
      <c r="AJ593" s="59"/>
      <c r="AK593" s="44"/>
      <c r="AL593" s="76"/>
    </row>
    <row r="594" spans="1:39" s="23" customFormat="1" ht="14.1" customHeight="1" thickBot="1">
      <c r="A594" s="145"/>
      <c r="C594" s="545" t="s">
        <v>0</v>
      </c>
      <c r="D594" s="583"/>
      <c r="E594" s="40"/>
      <c r="F594" s="781"/>
      <c r="G594" s="1032" t="s">
        <v>637</v>
      </c>
      <c r="H594" s="1033"/>
      <c r="I594" s="745"/>
      <c r="J594"/>
      <c r="K594"/>
      <c r="L594"/>
      <c r="M594"/>
      <c r="N594"/>
      <c r="O594"/>
      <c r="P594"/>
      <c r="Q594"/>
      <c r="R594"/>
      <c r="S594"/>
      <c r="T594"/>
      <c r="U594"/>
      <c r="X594"/>
      <c r="AB594"/>
      <c r="AC594"/>
      <c r="AE594" s="780"/>
      <c r="AF594" s="361">
        <f t="shared" si="102"/>
        <v>1</v>
      </c>
      <c r="AG594" s="59"/>
      <c r="AH594" s="58"/>
      <c r="AI594" s="59"/>
      <c r="AJ594" s="59"/>
      <c r="AK594" s="44"/>
      <c r="AL594" s="76"/>
    </row>
    <row r="595" spans="1:39" ht="6" customHeight="1" thickTop="1">
      <c r="A595" s="145"/>
      <c r="C595" s="306"/>
      <c r="D595" s="40"/>
      <c r="E595" s="40"/>
      <c r="F595" s="40"/>
      <c r="G595"/>
      <c r="H595"/>
      <c r="I595" s="745"/>
      <c r="AF595" s="361">
        <f t="shared" si="102"/>
        <v>1</v>
      </c>
      <c r="AG595" s="58"/>
      <c r="AH595" s="58"/>
      <c r="AI595" s="59"/>
      <c r="AJ595" s="59"/>
      <c r="AK595" s="44"/>
      <c r="AL595" s="76"/>
      <c r="AM595"/>
    </row>
    <row r="596" spans="1:39" s="23" customFormat="1" ht="14.1" customHeight="1">
      <c r="A596" s="145"/>
      <c r="B596" s="267" t="str">
        <f>AK596</f>
        <v>Brian:</v>
      </c>
      <c r="C596" s="268"/>
      <c r="D596" s="283"/>
      <c r="E596" s="750"/>
      <c r="F596"/>
      <c r="G596" s="265">
        <f>AG596</f>
        <v>41845</v>
      </c>
      <c r="H596" s="265">
        <f>AH596</f>
        <v>41857</v>
      </c>
      <c r="I596" s="745"/>
      <c r="J596"/>
      <c r="K596"/>
      <c r="L596"/>
      <c r="M596"/>
      <c r="N596"/>
      <c r="O596"/>
      <c r="P596"/>
      <c r="Q596"/>
      <c r="R596"/>
      <c r="S596"/>
      <c r="T596"/>
      <c r="U596"/>
      <c r="X596"/>
      <c r="AB596"/>
      <c r="AC596"/>
      <c r="AF596" s="361">
        <f t="shared" si="102"/>
        <v>1</v>
      </c>
      <c r="AG596" s="60">
        <f>IF(AF596=0,,S.Notice.PreviewBegin)</f>
        <v>41845</v>
      </c>
      <c r="AH596" s="60">
        <f>IF(AF596=0,,WORKDAY(AH593+6,-1,S.DDL_DEQClosed))</f>
        <v>41857</v>
      </c>
      <c r="AI596" s="58"/>
      <c r="AJ596" s="44"/>
      <c r="AK596" s="182" t="str">
        <f>S.Staff.Subject.Expert.FirstName&amp;":"</f>
        <v>Brian:</v>
      </c>
      <c r="AL596" s="76"/>
    </row>
    <row r="597" spans="1:39" s="23" customFormat="1" ht="14.1" customHeight="1">
      <c r="A597" s="145"/>
      <c r="B597" s="289" t="s">
        <v>234</v>
      </c>
      <c r="C597" s="509" t="str">
        <f>HYPERLINK("\\deqhq1\Rule_Development\Currrent Plan","i")</f>
        <v>i</v>
      </c>
      <c r="D597" s="283"/>
      <c r="E597" s="750"/>
      <c r="I597" s="745"/>
      <c r="J597"/>
      <c r="K597"/>
      <c r="L597"/>
      <c r="M597"/>
      <c r="N597"/>
      <c r="O597"/>
      <c r="P597"/>
      <c r="Q597"/>
      <c r="R597"/>
      <c r="S597"/>
      <c r="T597"/>
      <c r="U597"/>
      <c r="X597"/>
      <c r="AB597"/>
      <c r="AC597"/>
      <c r="AF597" s="361">
        <f t="shared" si="102"/>
        <v>1</v>
      </c>
      <c r="AG597" s="58"/>
      <c r="AH597" s="58"/>
      <c r="AI597" s="58"/>
      <c r="AJ597" s="59"/>
      <c r="AK597" s="44"/>
      <c r="AL597" s="76"/>
    </row>
    <row r="598" spans="1:39" ht="14.1" customHeight="1">
      <c r="A598" s="145"/>
      <c r="B598" s="289" t="str">
        <f t="shared" ref="B598" si="103">AK598</f>
        <v>* talks with DavidC, decides how to address any feedback from preview</v>
      </c>
      <c r="C598" s="545" t="s">
        <v>0</v>
      </c>
      <c r="D598" s="283"/>
      <c r="E598" s="750"/>
      <c r="F598"/>
      <c r="G598"/>
      <c r="H598"/>
      <c r="I598" s="745"/>
      <c r="AF598" s="361">
        <f t="shared" si="102"/>
        <v>1</v>
      </c>
      <c r="AG598" s="58"/>
      <c r="AH598" s="58"/>
      <c r="AI598" s="59"/>
      <c r="AJ598" s="59"/>
      <c r="AK598" s="182" t="str">
        <f>"* talks with "&amp; S.Staff.Program.Mgr.FirstName&amp;", decides how to address any feedback from preview"</f>
        <v>* talks with DavidC, decides how to address any feedback from preview</v>
      </c>
      <c r="AL598" s="76"/>
      <c r="AM598"/>
    </row>
    <row r="599" spans="1:39" s="23" customFormat="1" ht="14.1" customHeight="1">
      <c r="A599" s="145"/>
      <c r="B599" s="289" t="s">
        <v>202</v>
      </c>
      <c r="C599" s="545" t="s">
        <v>0</v>
      </c>
      <c r="D599" s="283"/>
      <c r="E599" s="750"/>
      <c r="F599"/>
      <c r="I599" s="745"/>
      <c r="J599"/>
      <c r="K599"/>
      <c r="L599"/>
      <c r="M599"/>
      <c r="N599"/>
      <c r="O599"/>
      <c r="P599"/>
      <c r="Q599"/>
      <c r="R599"/>
      <c r="S599"/>
      <c r="T599"/>
      <c r="U599"/>
      <c r="X599"/>
      <c r="AB599"/>
      <c r="AC599"/>
      <c r="AF599" s="361">
        <f t="shared" si="102"/>
        <v>1</v>
      </c>
      <c r="AG599" s="58"/>
      <c r="AH599" s="58"/>
      <c r="AI599" s="59"/>
      <c r="AJ599" s="59"/>
      <c r="AK599" s="44"/>
      <c r="AL599" s="76"/>
    </row>
    <row r="600" spans="1:39" ht="14.1" customHeight="1">
      <c r="A600" s="145"/>
      <c r="B600" s="220" t="s">
        <v>638</v>
      </c>
      <c r="C600" s="545" t="s">
        <v>0</v>
      </c>
      <c r="D600" s="283"/>
      <c r="E600" s="750"/>
      <c r="F600"/>
      <c r="G600" s="23"/>
      <c r="H600" s="23"/>
      <c r="I600" s="745"/>
      <c r="AF600" s="361">
        <f t="shared" si="102"/>
        <v>1</v>
      </c>
      <c r="AG600" s="58"/>
      <c r="AH600" s="58"/>
      <c r="AI600" s="59"/>
      <c r="AJ600" s="59"/>
      <c r="AK600" s="44"/>
      <c r="AL600" s="76"/>
      <c r="AM600"/>
    </row>
    <row r="601" spans="1:39" ht="14.1" customHeight="1">
      <c r="A601" s="145"/>
      <c r="B601" s="298" t="str">
        <f>AK601</f>
        <v>* finalizes Notice Packet with DavidC</v>
      </c>
      <c r="C601" s="541" t="s">
        <v>0</v>
      </c>
      <c r="D601" s="283"/>
      <c r="E601" s="750"/>
      <c r="F601"/>
      <c r="G601" s="40"/>
      <c r="H601" s="23"/>
      <c r="I601" s="745"/>
      <c r="AF601" s="361">
        <f t="shared" si="102"/>
        <v>1</v>
      </c>
      <c r="AG601" s="58"/>
      <c r="AH601" s="58"/>
      <c r="AI601" s="59"/>
      <c r="AJ601" s="59"/>
      <c r="AK601" s="182" t="str">
        <f>"* finalizes Notice Packet with "&amp;S.Staff.Program.Mgr.FirstName</f>
        <v>* finalizes Notice Packet with DavidC</v>
      </c>
      <c r="AL601" s="76"/>
      <c r="AM601"/>
    </row>
    <row r="602" spans="1:39" s="23" customFormat="1" ht="14.1" customHeight="1" thickBot="1">
      <c r="A602" s="145"/>
      <c r="B602" s="529" t="str">
        <f t="shared" ref="B602" si="104">AK602</f>
        <v>DavidC:</v>
      </c>
      <c r="F602"/>
      <c r="I602" s="745"/>
      <c r="J602"/>
      <c r="K602"/>
      <c r="L602"/>
      <c r="M602"/>
      <c r="N602"/>
      <c r="O602"/>
      <c r="P602"/>
      <c r="Q602"/>
      <c r="R602"/>
      <c r="S602"/>
      <c r="T602"/>
      <c r="U602"/>
      <c r="X602"/>
      <c r="AB602"/>
      <c r="AC602"/>
      <c r="AF602" s="361">
        <f t="shared" si="102"/>
        <v>1</v>
      </c>
      <c r="AG602" s="58"/>
      <c r="AH602" s="58"/>
      <c r="AI602" s="59"/>
      <c r="AJ602" s="59"/>
      <c r="AK602" s="182" t="str">
        <f>S.Staff.Program.Mgr.FirstName&amp;":"</f>
        <v>DavidC:</v>
      </c>
      <c r="AL602" s="76"/>
    </row>
    <row r="603" spans="1:39" s="23" customFormat="1" ht="14.1" customHeight="1" thickBot="1">
      <c r="A603" s="145"/>
      <c r="B603" s="298" t="str">
        <f>AK603</f>
        <v>* determines whether Uri needs a second review    'Y' if 2nd review needed&gt;</v>
      </c>
      <c r="C603" s="481" t="s">
        <v>206</v>
      </c>
      <c r="D603" s="283"/>
      <c r="E603" s="750"/>
      <c r="F603"/>
      <c r="G603" s="265">
        <f>AG603</f>
        <v>0</v>
      </c>
      <c r="H603" s="265">
        <f>AH603</f>
        <v>41857</v>
      </c>
      <c r="I603" s="745"/>
      <c r="J603"/>
      <c r="K603"/>
      <c r="L603"/>
      <c r="M603"/>
      <c r="N603"/>
      <c r="O603"/>
      <c r="P603"/>
      <c r="Q603"/>
      <c r="R603"/>
      <c r="S603"/>
      <c r="T603"/>
      <c r="U603"/>
      <c r="X603"/>
      <c r="AB603"/>
      <c r="AC603"/>
      <c r="AF603" s="361">
        <f>IF(AND(C603="Y",S.Notice.Involved="Y"),1,0)</f>
        <v>0</v>
      </c>
      <c r="AG603" s="60">
        <f>IF(AF603=0,,AH593)</f>
        <v>0</v>
      </c>
      <c r="AH603" s="60">
        <f>H596</f>
        <v>41857</v>
      </c>
      <c r="AI603" s="59"/>
      <c r="AJ603" s="59"/>
      <c r="AK603" s="182" t="str">
        <f>"* determines whether "&amp;S.Staff.Assistant.DA.ShortName&amp;" needs a second review    'Y' if 2nd review needed&gt;"</f>
        <v>* determines whether Uri needs a second review    'Y' if 2nd review needed&gt;</v>
      </c>
      <c r="AL603" s="76"/>
    </row>
    <row r="604" spans="1:39" s="23" customFormat="1" ht="14.1" customHeight="1">
      <c r="A604" s="145"/>
      <c r="B604" s="298" t="str">
        <f>AK604</f>
        <v>* manages Uri's 2nd review and approval</v>
      </c>
      <c r="C604" s="541" t="s">
        <v>0</v>
      </c>
      <c r="D604" s="705"/>
      <c r="E604" s="705"/>
      <c r="F604"/>
      <c r="G604"/>
      <c r="H604"/>
      <c r="I604" s="745"/>
      <c r="J604"/>
      <c r="K604"/>
      <c r="L604"/>
      <c r="M604"/>
      <c r="N604"/>
      <c r="O604"/>
      <c r="P604"/>
      <c r="Q604"/>
      <c r="R604"/>
      <c r="S604"/>
      <c r="T604"/>
      <c r="U604"/>
      <c r="X604"/>
      <c r="AB604"/>
      <c r="AC604"/>
      <c r="AF604" s="361">
        <f>IF(AND(C603="Y",S.Notice.Involved="Y"),1,0)</f>
        <v>0</v>
      </c>
      <c r="AG604" s="59"/>
      <c r="AH604" s="59"/>
      <c r="AI604" s="59"/>
      <c r="AJ604" s="59"/>
      <c r="AK604" s="182" t="str">
        <f>"* manages "&amp;S.Staff.Assistant.DA.ShortName&amp;"'s 2nd review and approval"</f>
        <v>* manages Uri's 2nd review and approval</v>
      </c>
      <c r="AL604" s="76"/>
    </row>
    <row r="605" spans="1:39" s="23" customFormat="1" ht="14.1" customHeight="1">
      <c r="A605" s="145"/>
      <c r="B605" s="289" t="str">
        <f>AK605</f>
        <v>* emails approval to move forward with Notice to Brian &amp; AndreaG</v>
      </c>
      <c r="C605" s="1042" t="s">
        <v>0</v>
      </c>
      <c r="D605" s="1042"/>
      <c r="E605" s="1042"/>
      <c r="F605" s="1042"/>
      <c r="G605" s="1042"/>
      <c r="H605" s="811">
        <f t="shared" ref="H605" si="105">AH605</f>
        <v>41858</v>
      </c>
      <c r="I605" s="745"/>
      <c r="J605"/>
      <c r="K605"/>
      <c r="L605"/>
      <c r="M605"/>
      <c r="N605"/>
      <c r="O605"/>
      <c r="P605"/>
      <c r="Q605"/>
      <c r="R605"/>
      <c r="S605"/>
      <c r="T605"/>
      <c r="U605"/>
      <c r="X605"/>
      <c r="AB605"/>
      <c r="AC605"/>
      <c r="AF605" s="361">
        <f>IF(S.Notice.Involved="Y",1,0)</f>
        <v>1</v>
      </c>
      <c r="AG605" s="59"/>
      <c r="AH605" s="60">
        <f>WORKDAY(AH603+2,-1,S.DDL_DEQClosed)</f>
        <v>41858</v>
      </c>
      <c r="AI605" s="59"/>
      <c r="AJ605" s="59"/>
      <c r="AK605" s="182" t="str">
        <f>"* emails approval to move forward with Notice to "&amp;S.Staff.Subject.Expert.FirstName&amp;" &amp; "&amp;S.Staff.RG.Lead.FirstName</f>
        <v>* emails approval to move forward with Notice to Brian &amp; AndreaG</v>
      </c>
      <c r="AL605" s="76"/>
    </row>
    <row r="606" spans="1:39" s="23" customFormat="1" ht="14.1" customHeight="1">
      <c r="A606" s="145" t="s">
        <v>0</v>
      </c>
      <c r="B606" s="285" t="str">
        <f t="shared" ref="B606" si="106">AK606</f>
        <v>AndreaG, depending on input from preview, leads Rule Publication work that:</v>
      </c>
      <c r="C606" s="321"/>
      <c r="D606" s="478" t="s">
        <v>0</v>
      </c>
      <c r="E606" s="478"/>
      <c r="F606" s="478"/>
      <c r="G606" s="256">
        <f>AG606</f>
        <v>41859</v>
      </c>
      <c r="I606" s="745"/>
      <c r="J606"/>
      <c r="K606"/>
      <c r="L606"/>
      <c r="M606"/>
      <c r="N606"/>
      <c r="O606"/>
      <c r="P606"/>
      <c r="Q606"/>
      <c r="R606"/>
      <c r="S606"/>
      <c r="T606"/>
      <c r="U606"/>
      <c r="X606"/>
      <c r="AB606"/>
      <c r="AC606"/>
      <c r="AF606" s="361">
        <f t="shared" ref="AF606:AF622" si="107">IF(S.Notice.Involved="Y",1,0)</f>
        <v>1</v>
      </c>
      <c r="AG606" s="60">
        <f>WORKDAY(S.Notice.MgrNoticeApproval,1,S.DDL_DEQClosed)</f>
        <v>41859</v>
      </c>
      <c r="AH606" s="58"/>
      <c r="AI606" s="59"/>
      <c r="AJ606" s="59"/>
      <c r="AK606" s="182" t="str">
        <f>S.Staff.RG.Lead.FirstName&amp;", depending on input from preview, leads Rule Publication work that:"</f>
        <v>AndreaG, depending on input from preview, leads Rule Publication work that:</v>
      </c>
      <c r="AL606" s="76"/>
    </row>
    <row r="607" spans="1:39" s="23" customFormat="1" ht="26.25" customHeight="1">
      <c r="A607" s="145" t="s">
        <v>0</v>
      </c>
      <c r="B607" s="289" t="s">
        <v>689</v>
      </c>
      <c r="C607" s="321"/>
      <c r="D607" s="716"/>
      <c r="E607" s="716"/>
      <c r="F607" s="287"/>
      <c r="G607" s="288"/>
      <c r="H607" s="288"/>
      <c r="I607" s="745"/>
      <c r="AF607" s="361">
        <f t="shared" si="107"/>
        <v>1</v>
      </c>
      <c r="AG607" s="58"/>
      <c r="AH607" s="58"/>
      <c r="AI607" s="59"/>
      <c r="AJ607" s="59"/>
      <c r="AK607" s="159" t="s">
        <v>0</v>
      </c>
      <c r="AL607" s="76"/>
    </row>
    <row r="608" spans="1:39" s="23" customFormat="1" ht="14.1" customHeight="1">
      <c r="A608" s="145"/>
      <c r="B608" s="289" t="s">
        <v>693</v>
      </c>
      <c r="C608" s="321"/>
      <c r="D608" s="716"/>
      <c r="E608" s="716"/>
      <c r="F608" s="287"/>
      <c r="G608" s="288"/>
      <c r="H608" s="288"/>
      <c r="I608" s="745"/>
      <c r="AF608" s="361">
        <f t="shared" si="107"/>
        <v>1</v>
      </c>
      <c r="AG608" s="58"/>
      <c r="AH608" s="58"/>
      <c r="AI608" s="59"/>
      <c r="AJ608" s="59"/>
      <c r="AK608" s="159" t="s">
        <v>0</v>
      </c>
      <c r="AL608" s="76"/>
    </row>
    <row r="609" spans="1:38" s="23" customFormat="1" ht="14.1" customHeight="1">
      <c r="A609" s="145"/>
      <c r="B609" s="289" t="str">
        <f>AK609</f>
        <v>* verifies/clarifies additional edits with Brian &amp; DavidC as warranted</v>
      </c>
      <c r="C609" s="321"/>
      <c r="D609" s="1034"/>
      <c r="E609" s="1034"/>
      <c r="F609" s="1034"/>
      <c r="G609" s="1034"/>
      <c r="I609" s="745"/>
      <c r="J609"/>
      <c r="K609"/>
      <c r="L609"/>
      <c r="M609"/>
      <c r="N609"/>
      <c r="O609"/>
      <c r="P609"/>
      <c r="Q609"/>
      <c r="R609"/>
      <c r="S609"/>
      <c r="T609"/>
      <c r="U609"/>
      <c r="X609"/>
      <c r="AB609"/>
      <c r="AC609"/>
      <c r="AF609" s="361">
        <f t="shared" si="107"/>
        <v>1</v>
      </c>
      <c r="AG609" s="58"/>
      <c r="AH609" s="58"/>
      <c r="AI609" s="59"/>
      <c r="AJ609" s="59"/>
      <c r="AK609" s="182" t="str">
        <f>"* verifies/clarifies additional edits with "&amp;S.Staff.Subject.Expert.FirstName&amp;" &amp; "&amp;S.Staff.Program.Mgr.FirstName&amp;" as warranted"</f>
        <v>* verifies/clarifies additional edits with Brian &amp; DavidC as warranted</v>
      </c>
      <c r="AL609" s="76"/>
    </row>
    <row r="610" spans="1:38" s="23" customFormat="1" ht="14.1" customHeight="1">
      <c r="A610" s="145"/>
      <c r="B610" s="529" t="str">
        <f t="shared" ref="B610" si="108">AK610</f>
        <v>DavidC emails Brian &amp; AndreaG approval to publish notice</v>
      </c>
      <c r="C610" s="1040" t="s">
        <v>691</v>
      </c>
      <c r="D610" s="1040"/>
      <c r="E610" s="1040"/>
      <c r="F610" s="1040"/>
      <c r="G610" s="1041"/>
      <c r="H610" s="256">
        <f>AH610</f>
        <v>41864</v>
      </c>
      <c r="I610" s="745"/>
      <c r="AF610" s="361">
        <f t="shared" si="107"/>
        <v>1</v>
      </c>
      <c r="AG610" s="58"/>
      <c r="AH610" s="60">
        <f>WORKDAY(G606,3,S.DDL_DEQClosed)</f>
        <v>41864</v>
      </c>
      <c r="AI610" s="59"/>
      <c r="AJ610" s="59"/>
      <c r="AK610" s="182" t="str">
        <f>S.Staff.Program.Mgr.FirstName&amp;" emails "&amp;S.Staff.Subject.Expert.FirstName&amp;" &amp; "&amp;S.Staff.RG.Lead.FirstName&amp;" approval to publish notice"</f>
        <v>DavidC emails Brian &amp; AndreaG approval to publish notice</v>
      </c>
      <c r="AL610" s="76"/>
    </row>
    <row r="611" spans="1:38" s="23" customFormat="1" ht="14.1" customHeight="1">
      <c r="A611" s="145"/>
      <c r="B611" s="267" t="str">
        <f>AK611</f>
        <v>Brian:</v>
      </c>
      <c r="C611" s="268"/>
      <c r="D611" s="268"/>
      <c r="E611" s="268"/>
      <c r="F611" s="262"/>
      <c r="G611"/>
      <c r="H611" s="258"/>
      <c r="I611" s="745"/>
      <c r="J611"/>
      <c r="K611"/>
      <c r="L611"/>
      <c r="M611"/>
      <c r="N611"/>
      <c r="O611"/>
      <c r="P611"/>
      <c r="Q611"/>
      <c r="R611"/>
      <c r="S611"/>
      <c r="T611"/>
      <c r="U611"/>
      <c r="X611"/>
      <c r="AB611"/>
      <c r="AC611"/>
      <c r="AF611" s="361">
        <f>IF(S.Notice.Involved="Y",1,0)</f>
        <v>1</v>
      </c>
      <c r="AG611" s="58"/>
      <c r="AH611" s="58"/>
      <c r="AI611" s="58"/>
      <c r="AJ611" s="44"/>
      <c r="AK611" s="182" t="str">
        <f>S.Staff.Subject.Expert.FirstName&amp;":"</f>
        <v>Brian:</v>
      </c>
      <c r="AL611" s="76"/>
    </row>
    <row r="612" spans="1:38" s="23" customFormat="1" ht="14.1" customHeight="1">
      <c r="A612" s="145"/>
      <c r="B612" s="298" t="s">
        <v>260</v>
      </c>
      <c r="C612" s="541" t="s">
        <v>0</v>
      </c>
      <c r="D612" s="283"/>
      <c r="E612" s="750"/>
      <c r="F612"/>
      <c r="G612"/>
      <c r="I612" s="745"/>
      <c r="J612"/>
      <c r="K612"/>
      <c r="L612"/>
      <c r="M612"/>
      <c r="N612"/>
      <c r="O612"/>
      <c r="P612"/>
      <c r="Q612"/>
      <c r="R612"/>
      <c r="S612"/>
      <c r="T612"/>
      <c r="U612"/>
      <c r="X612"/>
      <c r="AB612"/>
      <c r="AC612"/>
      <c r="AF612" s="361">
        <f>IF(S.Notice.Involved="Y",1,0)</f>
        <v>1</v>
      </c>
      <c r="AG612" s="47" t="s">
        <v>0</v>
      </c>
      <c r="AH612" s="59"/>
      <c r="AI612" s="59"/>
      <c r="AJ612" s="59"/>
      <c r="AK612" s="74" t="s">
        <v>0</v>
      </c>
      <c r="AL612" s="76"/>
    </row>
    <row r="613" spans="1:38" s="23" customFormat="1" ht="20.25" customHeight="1">
      <c r="A613" s="145"/>
      <c r="B613" s="523" t="s">
        <v>614</v>
      </c>
      <c r="C613" s="545"/>
      <c r="D613" s="705"/>
      <c r="E613" s="705"/>
      <c r="I613" s="745"/>
      <c r="AF613" s="361">
        <f>IF(AND(S.Notice.Involved="Y",S.Notice.AD.Involved="Y"),1,0)</f>
        <v>1</v>
      </c>
      <c r="AG613" s="59"/>
      <c r="AH613" s="59"/>
      <c r="AI613" s="59"/>
      <c r="AJ613" s="59"/>
      <c r="AK613" s="44"/>
      <c r="AL613" s="76"/>
    </row>
    <row r="614" spans="1:38" s="23" customFormat="1" ht="14.1" customHeight="1">
      <c r="A614" s="145"/>
      <c r="B614" s="267" t="str">
        <f>AK614</f>
        <v>Brian:</v>
      </c>
      <c r="C614" s="268"/>
      <c r="D614" s="268"/>
      <c r="E614" s="268"/>
      <c r="F614" s="262"/>
      <c r="G614" s="258"/>
      <c r="H614" s="258"/>
      <c r="I614" s="745"/>
      <c r="AF614" s="361">
        <f>IF(S.Notice.Involved="Y",1,0)</f>
        <v>1</v>
      </c>
      <c r="AG614" s="58"/>
      <c r="AH614" s="58"/>
      <c r="AI614" s="58"/>
      <c r="AJ614" s="44"/>
      <c r="AK614" s="182" t="str">
        <f>S.Staff.Subject.Expert.FirstName&amp;":"</f>
        <v>Brian:</v>
      </c>
      <c r="AL614" s="76"/>
    </row>
    <row r="615" spans="1:38" s="23" customFormat="1" ht="14.1" hidden="1" customHeight="1">
      <c r="A615" s="145"/>
      <c r="B615" s="298" t="s">
        <v>692</v>
      </c>
      <c r="C615" s="545" t="s">
        <v>0</v>
      </c>
      <c r="D615" s="283"/>
      <c r="E615" s="750"/>
      <c r="H615" s="256">
        <f t="shared" ref="H615" si="109">AH615</f>
        <v>41864</v>
      </c>
      <c r="I615" s="745"/>
      <c r="AF615" s="361">
        <f>IF(S.SIP.Involved="Y",1,0)</f>
        <v>1</v>
      </c>
      <c r="AG615" s="48"/>
      <c r="AH615" s="60">
        <f>S.Notice.OK.ToPublish</f>
        <v>41864</v>
      </c>
      <c r="AI615" s="59"/>
      <c r="AJ615" s="59"/>
      <c r="AK615" s="74"/>
      <c r="AL615" s="76"/>
    </row>
    <row r="616" spans="1:38" s="23" customFormat="1" ht="14.1" customHeight="1">
      <c r="A616" s="145" t="s">
        <v>0</v>
      </c>
      <c r="B616" s="285" t="str">
        <f t="shared" ref="B616" si="110">AK616</f>
        <v>AndreaG works with Rule Publication to:</v>
      </c>
      <c r="C616" s="321"/>
      <c r="D616" s="478" t="s">
        <v>0</v>
      </c>
      <c r="E616" s="478"/>
      <c r="F616" s="478"/>
      <c r="G616" s="256">
        <f>AG616</f>
        <v>41859</v>
      </c>
      <c r="I616" s="745"/>
      <c r="AF616" s="361">
        <f t="shared" si="107"/>
        <v>1</v>
      </c>
      <c r="AG616" s="60">
        <f>WORKDAY(S.Notice.MgrNoticeApproval,1,S.DDL_DEQClosed)</f>
        <v>41859</v>
      </c>
      <c r="AH616" s="58"/>
      <c r="AI616" s="59"/>
      <c r="AJ616" s="59"/>
      <c r="AK616" s="182" t="str">
        <f>S.Staff.RG.Lead.FirstName&amp;" works with Rule Publication to:"</f>
        <v>AndreaG works with Rule Publication to:</v>
      </c>
      <c r="AL616" s="76"/>
    </row>
    <row r="617" spans="1:38" s="23" customFormat="1" ht="14.1" customHeight="1" thickBot="1">
      <c r="A617" s="145"/>
      <c r="B617" s="289" t="str">
        <f t="shared" ref="B617" si="111">AK617</f>
        <v>* establishes Outlook comment box for University students with Brian as owner</v>
      </c>
      <c r="C617" s="321"/>
      <c r="D617" s="716"/>
      <c r="E617" s="716"/>
      <c r="F617" s="287"/>
      <c r="G617" s="288"/>
      <c r="H617" s="288"/>
      <c r="I617" s="745"/>
      <c r="J617"/>
      <c r="K617"/>
      <c r="L617"/>
      <c r="M617"/>
      <c r="N617"/>
      <c r="O617"/>
      <c r="P617"/>
      <c r="Q617"/>
      <c r="R617"/>
      <c r="S617"/>
      <c r="T617"/>
      <c r="U617"/>
      <c r="X617"/>
      <c r="AB617"/>
      <c r="AC617"/>
      <c r="AF617" s="361">
        <f t="shared" si="107"/>
        <v>1</v>
      </c>
      <c r="AG617" s="58"/>
      <c r="AH617" s="58"/>
      <c r="AI617" s="59"/>
      <c r="AJ617" s="59"/>
      <c r="AK617" s="182" t="str">
        <f>"* establishes Outlook comment box for University students with "&amp;S.Staff.Subject.Expert.FirstName&amp;" as owner"</f>
        <v>* establishes Outlook comment box for University students with Brian as owner</v>
      </c>
      <c r="AL617" s="76"/>
    </row>
    <row r="618" spans="1:38" s="23" customFormat="1" ht="14.1" customHeight="1" thickBot="1">
      <c r="A618" s="145"/>
      <c r="B618" s="812" t="s">
        <v>655</v>
      </c>
      <c r="C618" s="358" t="s">
        <v>49</v>
      </c>
      <c r="D618" s="325"/>
      <c r="E618" s="325"/>
      <c r="F618" s="262"/>
      <c r="G618" s="258"/>
      <c r="H618" s="258"/>
      <c r="I618" s="745"/>
      <c r="J618"/>
      <c r="K618"/>
      <c r="L618"/>
      <c r="M618"/>
      <c r="N618"/>
      <c r="O618"/>
      <c r="P618"/>
      <c r="Q618"/>
      <c r="R618"/>
      <c r="S618"/>
      <c r="T618"/>
      <c r="U618"/>
      <c r="X618"/>
      <c r="AB618"/>
      <c r="AC618"/>
      <c r="AF618" s="361">
        <f t="shared" si="107"/>
        <v>1</v>
      </c>
      <c r="AG618" s="58"/>
      <c r="AH618" s="58"/>
      <c r="AI618" s="59"/>
      <c r="AJ618" s="59"/>
      <c r="AK618" s="74"/>
      <c r="AL618" s="76"/>
    </row>
    <row r="619" spans="1:38" s="23" customFormat="1" ht="14.1" customHeight="1" thickBot="1">
      <c r="A619" s="145"/>
      <c r="B619" s="289" t="s">
        <v>656</v>
      </c>
      <c r="C619" s="542"/>
      <c r="D619" s="325"/>
      <c r="E619" s="325"/>
      <c r="F619" s="262"/>
      <c r="G619" s="258"/>
      <c r="H619" s="258"/>
      <c r="I619" s="745"/>
      <c r="J619"/>
      <c r="K619"/>
      <c r="L619"/>
      <c r="M619"/>
      <c r="N619"/>
      <c r="O619"/>
      <c r="P619"/>
      <c r="Q619"/>
      <c r="R619"/>
      <c r="S619"/>
      <c r="T619"/>
      <c r="U619"/>
      <c r="X619"/>
      <c r="AB619"/>
      <c r="AC619"/>
      <c r="AF619" s="361">
        <f t="shared" si="107"/>
        <v>1</v>
      </c>
      <c r="AG619" s="58"/>
      <c r="AH619" s="58"/>
      <c r="AI619" s="59"/>
      <c r="AJ619" s="59"/>
      <c r="AK619" s="74"/>
      <c r="AL619" s="76"/>
    </row>
    <row r="620" spans="1:38" s="23" customFormat="1" ht="14.1" customHeight="1" thickBot="1">
      <c r="A620" s="145"/>
      <c r="B620" s="289" t="s">
        <v>767</v>
      </c>
      <c r="C620" s="358" t="str">
        <f>HYPERLINK("\\deqhq1\Rule_Resources\i\Final Review Checklist.docx","i")</f>
        <v>i</v>
      </c>
      <c r="D620" s="325"/>
      <c r="E620" s="325"/>
      <c r="F620" s="262"/>
      <c r="G620" s="258"/>
      <c r="H620" s="258"/>
      <c r="I620" s="745"/>
      <c r="AF620" s="361">
        <f t="shared" si="107"/>
        <v>1</v>
      </c>
      <c r="AG620" s="58"/>
      <c r="AH620" s="58"/>
      <c r="AI620" s="59"/>
      <c r="AJ620" s="59"/>
      <c r="AK620" s="74"/>
      <c r="AL620" s="76"/>
    </row>
    <row r="621" spans="1:38" s="23" customFormat="1" ht="14.1" customHeight="1" thickBot="1">
      <c r="A621" s="145"/>
      <c r="B621" s="289" t="s">
        <v>660</v>
      </c>
      <c r="C621" s="542"/>
      <c r="D621" s="325"/>
      <c r="E621" s="325"/>
      <c r="F621" s="262"/>
      <c r="G621" s="258"/>
      <c r="H621" s="258"/>
      <c r="I621" s="745"/>
      <c r="AF621" s="361">
        <f t="shared" si="107"/>
        <v>1</v>
      </c>
      <c r="AG621" s="58"/>
      <c r="AH621" s="58"/>
      <c r="AI621" s="59"/>
      <c r="AJ621" s="59"/>
      <c r="AK621" s="74"/>
      <c r="AL621" s="76"/>
    </row>
    <row r="622" spans="1:38" s="23" customFormat="1" ht="14.1" customHeight="1" thickBot="1">
      <c r="A622" s="145"/>
      <c r="B622" s="289" t="str">
        <f>"* submits notice to SOS for publication in Oregon Bulletin"</f>
        <v>* submits notice to SOS for publication in Oregon Bulletin</v>
      </c>
      <c r="C622" s="358" t="str">
        <f>HYPERLINK("http://oarnoticefilings.sos.state.or.us","i")</f>
        <v>i</v>
      </c>
      <c r="D622" s="717"/>
      <c r="E622" s="717"/>
      <c r="F622"/>
      <c r="G622"/>
      <c r="H622"/>
      <c r="I622" s="745"/>
      <c r="J622"/>
      <c r="K622"/>
      <c r="L622"/>
      <c r="M622"/>
      <c r="N622"/>
      <c r="O622"/>
      <c r="P622"/>
      <c r="Q622"/>
      <c r="R622"/>
      <c r="S622"/>
      <c r="T622"/>
      <c r="U622"/>
      <c r="X622"/>
      <c r="AB622"/>
      <c r="AC622"/>
      <c r="AF622" s="361">
        <f t="shared" si="107"/>
        <v>1</v>
      </c>
      <c r="AG622" s="59"/>
      <c r="AH622" s="59"/>
      <c r="AI622" s="59"/>
      <c r="AJ622" s="59"/>
      <c r="AK622" s="74"/>
      <c r="AL622" s="76"/>
    </row>
    <row r="623" spans="1:38" s="23" customFormat="1" ht="14.1" customHeight="1" thickBot="1">
      <c r="A623" s="145" t="s">
        <v>0</v>
      </c>
      <c r="B623" s="289" t="s">
        <v>658</v>
      </c>
      <c r="C623" s="545" t="s">
        <v>0</v>
      </c>
      <c r="D623" s="717"/>
      <c r="E623" s="717"/>
      <c r="F623"/>
      <c r="G623"/>
      <c r="H623"/>
      <c r="I623" s="745"/>
      <c r="J623"/>
      <c r="K623"/>
      <c r="L623"/>
      <c r="M623"/>
      <c r="N623"/>
      <c r="O623"/>
      <c r="P623"/>
      <c r="Q623"/>
      <c r="R623"/>
      <c r="S623"/>
      <c r="T623"/>
      <c r="U623"/>
      <c r="X623"/>
      <c r="AB623"/>
      <c r="AC623"/>
      <c r="AF623" s="361">
        <f>IF(AND(S.Notice.DASNotification=TRUE,S.Notice.Involved="Y"),1,0)</f>
        <v>0</v>
      </c>
      <c r="AG623" s="48"/>
      <c r="AH623" s="48"/>
      <c r="AI623" s="59"/>
      <c r="AJ623" s="59"/>
      <c r="AK623" s="74"/>
      <c r="AL623" s="76"/>
    </row>
    <row r="624" spans="1:38" s="23" customFormat="1" ht="14.1" customHeight="1" thickBot="1">
      <c r="A624" s="145"/>
      <c r="B624" s="289" t="s">
        <v>659</v>
      </c>
      <c r="C624" s="358" t="str">
        <f>HYPERLINK("\\deqhq1\Rule_Development\Currrent Plan","i")</f>
        <v>i</v>
      </c>
      <c r="D624" s="717"/>
      <c r="E624" s="717"/>
      <c r="I624" s="745"/>
      <c r="AF624" s="361">
        <f>IF(S.Notice.Involved="Y",1,0)</f>
        <v>1</v>
      </c>
      <c r="AG624" s="59"/>
      <c r="AH624" s="59"/>
      <c r="AI624" s="59"/>
      <c r="AJ624" s="59"/>
      <c r="AK624" s="74"/>
      <c r="AL624" s="76"/>
    </row>
    <row r="625" spans="1:39" s="23" customFormat="1" ht="14.1" customHeight="1">
      <c r="A625" s="145"/>
      <c r="B625" s="753" t="str">
        <f>AK625</f>
        <v>Brian leads:</v>
      </c>
      <c r="C625" s="548"/>
      <c r="D625"/>
      <c r="F625" s="40"/>
      <c r="I625" s="745"/>
      <c r="AF625" s="361">
        <f>IF(AND(S.Notice.Involved="Y",S.Notice.AD.Involved="Y"),1,0)</f>
        <v>1</v>
      </c>
      <c r="AG625" s="59"/>
      <c r="AH625" s="59"/>
      <c r="AI625" s="59"/>
      <c r="AJ625" s="59"/>
      <c r="AK625" s="182" t="str">
        <f>S.Staff.Subject.Expert.FirstName&amp;" leads:"</f>
        <v>Brian leads:</v>
      </c>
      <c r="AL625" s="76"/>
    </row>
    <row r="626" spans="1:39" s="23" customFormat="1" ht="14.1" customHeight="1" thickBot="1">
      <c r="A626" s="145"/>
      <c r="B626" s="289" t="s">
        <v>686</v>
      </c>
      <c r="C626" s="545" t="s">
        <v>0</v>
      </c>
      <c r="D626" s="1022" t="s">
        <v>654</v>
      </c>
      <c r="E626" s="1022"/>
      <c r="F626" s="1022"/>
      <c r="G626" s="1023"/>
      <c r="H626" s="974">
        <f>AH626</f>
        <v>41855</v>
      </c>
      <c r="I626" s="745"/>
      <c r="AF626" s="361">
        <f>IF(AND(S.Notice.AD.Involved="Y",S.Notice.Involved="Y"),1,0)</f>
        <v>1</v>
      </c>
      <c r="AG626" s="59"/>
      <c r="AH626" s="60">
        <f>IF(AF626=0,,S.Notice.AD.ToContractServices)</f>
        <v>41855</v>
      </c>
      <c r="AI626" s="59"/>
      <c r="AJ626" s="59"/>
      <c r="AK626" s="182" t="str">
        <f>"* modifies documents as needed"</f>
        <v>* modifies documents as needed</v>
      </c>
      <c r="AL626" s="76"/>
    </row>
    <row r="627" spans="1:39" s="23" customFormat="1" ht="14.1" customHeight="1" thickBot="1">
      <c r="A627" s="145"/>
      <c r="B627" s="289" t="s">
        <v>661</v>
      </c>
      <c r="C627" s="358" t="s">
        <v>49</v>
      </c>
      <c r="D627" s="283"/>
      <c r="E627" s="750"/>
      <c r="F627" s="262"/>
      <c r="G627" s="258"/>
      <c r="H627"/>
      <c r="I627" s="745"/>
      <c r="J627"/>
      <c r="K627"/>
      <c r="L627"/>
      <c r="M627"/>
      <c r="N627"/>
      <c r="O627"/>
      <c r="P627"/>
      <c r="Q627"/>
      <c r="R627"/>
      <c r="S627"/>
      <c r="T627"/>
      <c r="U627"/>
      <c r="X627"/>
      <c r="AB627"/>
      <c r="AC627"/>
      <c r="AF627" s="361">
        <f t="shared" ref="AF627:AF633" si="112">IF(S.Notice.Involved="Y",1,0)</f>
        <v>1</v>
      </c>
      <c r="AG627" s="58"/>
      <c r="AH627" s="58"/>
      <c r="AI627" s="59"/>
      <c r="AJ627" s="59"/>
      <c r="AK627" s="74"/>
      <c r="AL627" s="76"/>
    </row>
    <row r="628" spans="1:39" s="23" customFormat="1" ht="14.1" customHeight="1" thickBot="1">
      <c r="A628" s="145"/>
      <c r="B628" s="298" t="s">
        <v>663</v>
      </c>
      <c r="C628" s="500" t="s">
        <v>49</v>
      </c>
      <c r="D628" s="283"/>
      <c r="E628" s="750"/>
      <c r="F628"/>
      <c r="G628"/>
      <c r="H628"/>
      <c r="I628" s="745"/>
      <c r="J628"/>
      <c r="K628"/>
      <c r="L628"/>
      <c r="M628"/>
      <c r="N628"/>
      <c r="O628"/>
      <c r="P628"/>
      <c r="Q628"/>
      <c r="R628"/>
      <c r="S628"/>
      <c r="T628"/>
      <c r="U628"/>
      <c r="X628"/>
      <c r="AB628"/>
      <c r="AC628"/>
      <c r="AF628" s="361">
        <f t="shared" si="112"/>
        <v>1</v>
      </c>
      <c r="AG628" s="48"/>
      <c r="AH628" s="58"/>
      <c r="AI628" s="59"/>
      <c r="AJ628" s="59"/>
      <c r="AK628" s="74"/>
      <c r="AL628" s="76"/>
    </row>
    <row r="629" spans="1:39" s="23" customFormat="1" ht="14.1" customHeight="1">
      <c r="A629" s="145"/>
      <c r="B629" s="289" t="s">
        <v>662</v>
      </c>
      <c r="C629" s="542"/>
      <c r="D629" s="283"/>
      <c r="E629" s="750"/>
      <c r="F629" s="262"/>
      <c r="G629" s="258"/>
      <c r="H629" s="258"/>
      <c r="I629" s="745"/>
      <c r="AF629" s="361">
        <f t="shared" si="112"/>
        <v>1</v>
      </c>
      <c r="AG629" s="58"/>
      <c r="AH629" s="58"/>
      <c r="AI629" s="59"/>
      <c r="AJ629" s="59"/>
      <c r="AK629" s="182" t="str">
        <f>"* validates Web page, comment form, hearing date accuracy with "&amp;S.Staff.Subject.Expert.FirstName</f>
        <v>* validates Web page, comment form, hearing date accuracy with Brian</v>
      </c>
      <c r="AL629" s="76"/>
    </row>
    <row r="630" spans="1:39" ht="14.1" customHeight="1">
      <c r="A630" s="145"/>
      <c r="B630" s="289" t="s">
        <v>690</v>
      </c>
      <c r="C630" s="545" t="s">
        <v>0</v>
      </c>
      <c r="D630" s="1021" t="s">
        <v>0</v>
      </c>
      <c r="E630" s="1022"/>
      <c r="F630" s="1022"/>
      <c r="G630" s="1023"/>
      <c r="H630" s="263">
        <f>AH630</f>
        <v>41869</v>
      </c>
      <c r="I630" s="745"/>
      <c r="AF630" s="361">
        <f t="shared" si="112"/>
        <v>1</v>
      </c>
      <c r="AG630" s="59"/>
      <c r="AH630" s="60">
        <f>IF(AF630=0,,S.Notice.OpenComment)</f>
        <v>41869</v>
      </c>
      <c r="AI630" s="59"/>
      <c r="AJ630" s="59"/>
      <c r="AK630" s="74"/>
      <c r="AL630" s="76"/>
      <c r="AM630"/>
    </row>
    <row r="631" spans="1:39" s="23" customFormat="1" ht="14.1" customHeight="1">
      <c r="A631" s="145"/>
      <c r="B631" s="423" t="s">
        <v>180</v>
      </c>
      <c r="C631" s="545" t="s">
        <v>0</v>
      </c>
      <c r="D631" s="283"/>
      <c r="E631" s="892"/>
      <c r="F631" s="813"/>
      <c r="G631" s="40"/>
      <c r="H631"/>
      <c r="I631" s="745"/>
      <c r="J631"/>
      <c r="K631"/>
      <c r="L631"/>
      <c r="M631"/>
      <c r="N631"/>
      <c r="O631"/>
      <c r="P631"/>
      <c r="Q631"/>
      <c r="R631"/>
      <c r="S631"/>
      <c r="T631"/>
      <c r="U631"/>
      <c r="X631"/>
      <c r="AB631"/>
      <c r="AC631"/>
      <c r="AF631" s="361">
        <f t="shared" si="112"/>
        <v>1</v>
      </c>
      <c r="AG631" s="59"/>
      <c r="AH631" s="59" t="s">
        <v>0</v>
      </c>
      <c r="AI631" s="59"/>
      <c r="AJ631" s="59"/>
      <c r="AK631" s="159" t="s">
        <v>0</v>
      </c>
      <c r="AL631" s="76"/>
    </row>
    <row r="632" spans="1:39" s="23" customFormat="1" ht="14.1" customHeight="1">
      <c r="A632" s="145"/>
      <c r="B632" s="423" t="s">
        <v>188</v>
      </c>
      <c r="C632" s="545" t="s">
        <v>0</v>
      </c>
      <c r="D632" s="283"/>
      <c r="E632" s="750"/>
      <c r="F632"/>
      <c r="G632"/>
      <c r="H632"/>
      <c r="I632" s="745"/>
      <c r="J632"/>
      <c r="K632"/>
      <c r="L632"/>
      <c r="M632"/>
      <c r="N632"/>
      <c r="O632"/>
      <c r="P632"/>
      <c r="Q632"/>
      <c r="R632"/>
      <c r="S632"/>
      <c r="T632"/>
      <c r="U632"/>
      <c r="X632"/>
      <c r="AB632"/>
      <c r="AC632"/>
      <c r="AF632" s="361">
        <f t="shared" si="112"/>
        <v>1</v>
      </c>
      <c r="AG632" s="59"/>
      <c r="AH632" s="59" t="s">
        <v>0</v>
      </c>
      <c r="AI632" s="59"/>
      <c r="AJ632" s="59"/>
      <c r="AK632" s="159" t="s">
        <v>0</v>
      </c>
      <c r="AL632" s="76"/>
    </row>
    <row r="633" spans="1:39" s="23" customFormat="1" ht="14.1" customHeight="1">
      <c r="A633" s="145"/>
      <c r="B633" s="423" t="s">
        <v>189</v>
      </c>
      <c r="C633" s="545" t="s">
        <v>0</v>
      </c>
      <c r="D633" s="283"/>
      <c r="E633" s="750"/>
      <c r="F633"/>
      <c r="G633"/>
      <c r="H633"/>
      <c r="I633" s="745"/>
      <c r="J633"/>
      <c r="K633"/>
      <c r="L633"/>
      <c r="M633"/>
      <c r="N633"/>
      <c r="O633"/>
      <c r="P633"/>
      <c r="Q633"/>
      <c r="R633"/>
      <c r="S633"/>
      <c r="T633"/>
      <c r="U633"/>
      <c r="X633"/>
      <c r="AB633"/>
      <c r="AC633"/>
      <c r="AF633" s="361">
        <f t="shared" si="112"/>
        <v>1</v>
      </c>
      <c r="AG633" s="59"/>
      <c r="AH633" s="59" t="s">
        <v>0</v>
      </c>
      <c r="AI633" s="59"/>
      <c r="AJ633" s="59"/>
      <c r="AK633" s="159" t="s">
        <v>0</v>
      </c>
      <c r="AL633" s="76"/>
    </row>
    <row r="634" spans="1:39" s="23" customFormat="1" ht="14.1" customHeight="1">
      <c r="A634" s="145"/>
      <c r="B634" s="289" t="s">
        <v>667</v>
      </c>
      <c r="C634" s="545" t="s">
        <v>0</v>
      </c>
      <c r="D634" s="283"/>
      <c r="E634" s="750"/>
      <c r="F634"/>
      <c r="G634"/>
      <c r="H634"/>
      <c r="I634" s="745"/>
      <c r="J634"/>
      <c r="K634"/>
      <c r="L634"/>
      <c r="M634"/>
      <c r="N634"/>
      <c r="O634"/>
      <c r="P634"/>
      <c r="Q634"/>
      <c r="R634"/>
      <c r="S634"/>
      <c r="T634"/>
      <c r="U634"/>
      <c r="X634"/>
      <c r="AB634"/>
      <c r="AC634"/>
      <c r="AF634" s="361">
        <f>IF(AND(S.Notice.AD.Involved="Y",S.Notice.Involved="Y"),1,0)</f>
        <v>1</v>
      </c>
      <c r="AG634" s="59" t="s">
        <v>0</v>
      </c>
      <c r="AH634" s="59" t="s">
        <v>0</v>
      </c>
      <c r="AI634" s="59"/>
      <c r="AJ634" s="59"/>
      <c r="AK634" s="58" t="s">
        <v>0</v>
      </c>
      <c r="AL634" s="76"/>
    </row>
    <row r="635" spans="1:39" s="23" customFormat="1" ht="14.1" customHeight="1" thickBot="1">
      <c r="A635" s="145"/>
      <c r="B635" s="289" t="s">
        <v>668</v>
      </c>
      <c r="C635" s="545" t="s">
        <v>0</v>
      </c>
      <c r="D635" s="283"/>
      <c r="E635" s="750"/>
      <c r="F635"/>
      <c r="G635"/>
      <c r="H635"/>
      <c r="I635" s="745"/>
      <c r="J635"/>
      <c r="K635"/>
      <c r="L635"/>
      <c r="M635"/>
      <c r="N635"/>
      <c r="O635"/>
      <c r="P635"/>
      <c r="Q635"/>
      <c r="R635"/>
      <c r="S635"/>
      <c r="T635"/>
      <c r="U635"/>
      <c r="X635"/>
      <c r="AB635"/>
      <c r="AC635"/>
      <c r="AF635" s="361">
        <f>IF(AND(S.Notice.AD.Involved="Y",S.Notice.Involved="Y"),1,0)</f>
        <v>1</v>
      </c>
      <c r="AG635" s="59" t="s">
        <v>0</v>
      </c>
      <c r="AH635" s="59" t="s">
        <v>0</v>
      </c>
      <c r="AI635" s="59"/>
      <c r="AJ635" s="59"/>
      <c r="AK635" s="44"/>
      <c r="AL635" s="76"/>
    </row>
    <row r="636" spans="1:39" s="23" customFormat="1" ht="14.1" customHeight="1" thickBot="1">
      <c r="A636" s="145"/>
      <c r="B636" s="289" t="s">
        <v>664</v>
      </c>
      <c r="C636" s="511" t="str">
        <f>HYPERLINK("\\deqhq1\Rule_Development\Currrent Plan","i")</f>
        <v>i</v>
      </c>
      <c r="D636" s="717"/>
      <c r="E636" s="717"/>
      <c r="I636" s="745"/>
      <c r="AF636" s="361">
        <f t="shared" ref="AF636:AF647" si="113">IF(S.Notice.Involved="Y",1,0)</f>
        <v>1</v>
      </c>
      <c r="AG636" s="59"/>
      <c r="AH636" s="59"/>
      <c r="AI636" s="59"/>
      <c r="AJ636" s="59"/>
      <c r="AK636" s="74"/>
      <c r="AL636" s="76"/>
    </row>
    <row r="637" spans="1:39" s="23" customFormat="1" ht="14.1" customHeight="1">
      <c r="A637" s="145" t="s">
        <v>230</v>
      </c>
      <c r="B637" s="221" t="str">
        <f>AK637</f>
        <v>Brian drafts EMAIL.NOTICE.TO.KEY.LEGISLATORS  - instruction in template:</v>
      </c>
      <c r="C637" s="511" t="str">
        <f>HYPERLINK("\\deqhq1\Rule_Resources\i\EMAIL.KeyLegislators.docx","i")</f>
        <v>i</v>
      </c>
      <c r="D637" s="283"/>
      <c r="E637" s="750"/>
      <c r="F637"/>
      <c r="H637" s="256">
        <f>AH637</f>
        <v>41862</v>
      </c>
      <c r="I637" s="745"/>
      <c r="J637"/>
      <c r="K637"/>
      <c r="L637"/>
      <c r="M637"/>
      <c r="N637"/>
      <c r="O637"/>
      <c r="P637"/>
      <c r="Q637"/>
      <c r="R637"/>
      <c r="S637"/>
      <c r="T637"/>
      <c r="U637"/>
      <c r="X637"/>
      <c r="AB637"/>
      <c r="AC637"/>
      <c r="AF637" s="361">
        <f t="shared" si="113"/>
        <v>1</v>
      </c>
      <c r="AG637" s="60">
        <f>H251</f>
        <v>41849</v>
      </c>
      <c r="AH637" s="60">
        <f>IF(AF637=0,,WORKDAY(S.Notice.OpenComment,-5,S.DDL_DEQClosed))</f>
        <v>41862</v>
      </c>
      <c r="AI637" s="59"/>
      <c r="AJ637" s="59"/>
      <c r="AK637" s="182" t="str">
        <f>S.Staff.Subject.Expert.FirstName&amp;" drafts EMAIL.NOTICE.TO.KEY.LEGISLATORS  - instruction in template:"</f>
        <v>Brian drafts EMAIL.NOTICE.TO.KEY.LEGISLATORS  - instruction in template:</v>
      </c>
      <c r="AL637" s="76"/>
    </row>
    <row r="638" spans="1:39" s="23" customFormat="1" ht="14.1" customHeight="1">
      <c r="A638" s="145"/>
      <c r="B638" s="269" t="str">
        <f>AK638</f>
        <v>* sends draft to MargaretO to:</v>
      </c>
      <c r="C638" s="542"/>
      <c r="D638" s="283"/>
      <c r="E638" s="750"/>
      <c r="F638"/>
      <c r="G638"/>
      <c r="H638"/>
      <c r="I638" s="745"/>
      <c r="J638"/>
      <c r="K638"/>
      <c r="L638"/>
      <c r="M638"/>
      <c r="N638"/>
      <c r="O638"/>
      <c r="P638"/>
      <c r="Q638"/>
      <c r="R638"/>
      <c r="S638"/>
      <c r="T638"/>
      <c r="U638"/>
      <c r="X638"/>
      <c r="AB638"/>
      <c r="AC638"/>
      <c r="AF638" s="361">
        <f t="shared" si="113"/>
        <v>1</v>
      </c>
      <c r="AG638" s="59"/>
      <c r="AH638" s="59"/>
      <c r="AI638" s="59"/>
      <c r="AJ638" s="59"/>
      <c r="AK638" s="182" t="str">
        <f>"* sends draft to "&amp;S.Staff.LegislativeLiason&amp;" to:"</f>
        <v>* sends draft to MargaretO to:</v>
      </c>
      <c r="AL638" s="76"/>
    </row>
    <row r="639" spans="1:39" s="23" customFormat="1" ht="14.1" customHeight="1">
      <c r="A639" s="145"/>
      <c r="B639" s="435" t="str">
        <f>AK639</f>
        <v>MargaretO:</v>
      </c>
      <c r="C639" s="258"/>
      <c r="D639" s="325"/>
      <c r="E639" s="325"/>
      <c r="F639" s="262"/>
      <c r="G639" s="258"/>
      <c r="H639" s="258"/>
      <c r="I639" s="745"/>
      <c r="J639"/>
      <c r="K639"/>
      <c r="L639"/>
      <c r="M639"/>
      <c r="N639"/>
      <c r="O639"/>
      <c r="P639"/>
      <c r="Q639"/>
      <c r="R639"/>
      <c r="S639"/>
      <c r="T639"/>
      <c r="U639"/>
      <c r="X639"/>
      <c r="AB639"/>
      <c r="AC639"/>
      <c r="AF639" s="361">
        <f t="shared" si="113"/>
        <v>1</v>
      </c>
      <c r="AG639" s="58"/>
      <c r="AH639" s="58"/>
      <c r="AI639" s="59"/>
      <c r="AJ639" s="59"/>
      <c r="AK639" s="182" t="str">
        <f>S.Staff.LegislativeLiason&amp;":"</f>
        <v>MargaretO:</v>
      </c>
      <c r="AL639" s="76"/>
    </row>
    <row r="640" spans="1:39" s="23" customFormat="1" ht="14.1" customHeight="1">
      <c r="A640" s="145"/>
      <c r="B640" s="269" t="s">
        <v>669</v>
      </c>
      <c r="C640" s="511" t="str">
        <f>HYPERLINK("http://www.oregonlaws.org/ors/183.335","i")</f>
        <v>i</v>
      </c>
      <c r="D640" s="283"/>
      <c r="E640" s="750"/>
      <c r="F640"/>
      <c r="G640"/>
      <c r="H640"/>
      <c r="I640" s="745"/>
      <c r="J640"/>
      <c r="K640"/>
      <c r="L640"/>
      <c r="M640"/>
      <c r="N640"/>
      <c r="O640"/>
      <c r="P640"/>
      <c r="Q640"/>
      <c r="R640"/>
      <c r="S640"/>
      <c r="T640"/>
      <c r="U640"/>
      <c r="X640"/>
      <c r="AB640"/>
      <c r="AC640"/>
      <c r="AF640" s="361">
        <f t="shared" si="113"/>
        <v>1</v>
      </c>
      <c r="AG640" s="59"/>
      <c r="AH640" s="59"/>
      <c r="AI640" s="59"/>
      <c r="AJ640" s="59"/>
      <c r="AK640" s="159" t="s">
        <v>0</v>
      </c>
      <c r="AL640" s="76"/>
    </row>
    <row r="641" spans="1:39" s="23" customFormat="1" ht="14.1" customHeight="1">
      <c r="A641" s="145"/>
      <c r="B641" s="269" t="s">
        <v>670</v>
      </c>
      <c r="C641" s="542"/>
      <c r="D641" s="283"/>
      <c r="E641" s="750"/>
      <c r="I641" s="745"/>
      <c r="AF641" s="361">
        <f t="shared" si="113"/>
        <v>1</v>
      </c>
      <c r="AG641" s="59"/>
      <c r="AH641" s="59"/>
      <c r="AI641" s="59"/>
      <c r="AJ641" s="59"/>
      <c r="AK641" s="159" t="s">
        <v>0</v>
      </c>
      <c r="AL641" s="76"/>
    </row>
    <row r="642" spans="1:39" s="23" customFormat="1" ht="14.1" customHeight="1">
      <c r="A642" s="145"/>
      <c r="B642" s="269" t="str">
        <f>AK642</f>
        <v>* emails to recipients with Return Receipt (redirects receipt to Brian)</v>
      </c>
      <c r="C642" s="542"/>
      <c r="D642" s="283"/>
      <c r="E642" s="750"/>
      <c r="F642"/>
      <c r="H642" s="256">
        <f>AH642</f>
        <v>41869</v>
      </c>
      <c r="I642" s="745"/>
      <c r="J642"/>
      <c r="K642"/>
      <c r="L642"/>
      <c r="M642"/>
      <c r="N642"/>
      <c r="O642"/>
      <c r="P642"/>
      <c r="Q642"/>
      <c r="R642"/>
      <c r="S642"/>
      <c r="T642"/>
      <c r="U642"/>
      <c r="X642"/>
      <c r="AB642"/>
      <c r="AC642"/>
      <c r="AF642" s="361">
        <f t="shared" si="113"/>
        <v>1</v>
      </c>
      <c r="AG642" s="60" t="s">
        <v>230</v>
      </c>
      <c r="AH642" s="60">
        <f>IF(AF642=0,,S.Notice.OpenComment)</f>
        <v>41869</v>
      </c>
      <c r="AI642" s="59"/>
      <c r="AJ642" s="59"/>
      <c r="AK642" s="182" t="str">
        <f>"* emails to recipients with Return Receipt (redirects receipt to "&amp;S.Staff.Subject.Expert.FirstName&amp;")"</f>
        <v>* emails to recipients with Return Receipt (redirects receipt to Brian)</v>
      </c>
      <c r="AL642" s="76"/>
    </row>
    <row r="643" spans="1:39" s="23" customFormat="1" ht="14.1" customHeight="1">
      <c r="A643" s="145"/>
      <c r="B643" s="220" t="str">
        <f>AK643</f>
        <v>* copies Brian</v>
      </c>
      <c r="C643" s="545" t="s">
        <v>0</v>
      </c>
      <c r="D643" s="283"/>
      <c r="E643" s="750"/>
      <c r="F643"/>
      <c r="G643"/>
      <c r="H643"/>
      <c r="I643" s="745"/>
      <c r="J643"/>
      <c r="K643"/>
      <c r="L643"/>
      <c r="M643"/>
      <c r="N643"/>
      <c r="O643"/>
      <c r="P643"/>
      <c r="Q643"/>
      <c r="R643"/>
      <c r="S643"/>
      <c r="T643"/>
      <c r="U643"/>
      <c r="X643"/>
      <c r="AB643"/>
      <c r="AC643"/>
      <c r="AF643" s="361">
        <f t="shared" si="113"/>
        <v>1</v>
      </c>
      <c r="AG643" s="58"/>
      <c r="AH643" s="58"/>
      <c r="AI643" s="59"/>
      <c r="AJ643" s="59"/>
      <c r="AK643" s="182" t="str">
        <f>"* copies "&amp;S.Staff.Subject.Expert.FirstName</f>
        <v>* copies Brian</v>
      </c>
      <c r="AL643" s="76"/>
    </row>
    <row r="644" spans="1:39" s="23" customFormat="1" ht="14.1" customHeight="1">
      <c r="A644" s="145"/>
      <c r="B644" s="220" t="s">
        <v>665</v>
      </c>
      <c r="C644" s="258"/>
      <c r="D644" s="283"/>
      <c r="E644" s="750"/>
      <c r="F644" s="262"/>
      <c r="G644" s="258"/>
      <c r="H644" s="258"/>
      <c r="I644" s="745"/>
      <c r="J644"/>
      <c r="K644"/>
      <c r="L644"/>
      <c r="M644"/>
      <c r="N644"/>
      <c r="O644"/>
      <c r="P644"/>
      <c r="Q644"/>
      <c r="R644"/>
      <c r="S644"/>
      <c r="T644"/>
      <c r="U644"/>
      <c r="X644"/>
      <c r="AB644"/>
      <c r="AC644"/>
      <c r="AF644" s="361">
        <f t="shared" si="113"/>
        <v>1</v>
      </c>
      <c r="AG644" s="58"/>
      <c r="AH644" s="58"/>
      <c r="AI644" s="59"/>
      <c r="AJ644" s="59"/>
      <c r="AK644" s="346"/>
      <c r="AL644" s="76"/>
    </row>
    <row r="645" spans="1:39" s="23" customFormat="1" ht="14.1" customHeight="1">
      <c r="A645" s="145"/>
      <c r="B645" s="285" t="str">
        <f>AK645</f>
        <v>AndreaG &amp; Michele maintain Rukemaking Activities Web page</v>
      </c>
      <c r="C645" s="545" t="s">
        <v>0</v>
      </c>
      <c r="D645" s="325"/>
      <c r="E645" s="325"/>
      <c r="F645"/>
      <c r="G645" s="309">
        <f t="shared" ref="G645" si="114">AG645</f>
        <v>41869</v>
      </c>
      <c r="H645" s="263">
        <f t="shared" ref="H645" si="115">AH645</f>
        <v>41904</v>
      </c>
      <c r="I645" s="745"/>
      <c r="J645"/>
      <c r="K645"/>
      <c r="L645"/>
      <c r="M645"/>
      <c r="N645"/>
      <c r="O645"/>
      <c r="P645"/>
      <c r="Q645"/>
      <c r="R645"/>
      <c r="S645"/>
      <c r="T645"/>
      <c r="U645"/>
      <c r="X645"/>
      <c r="AB645"/>
      <c r="AC645"/>
      <c r="AF645" s="361">
        <f t="shared" si="113"/>
        <v>1</v>
      </c>
      <c r="AG645" s="60">
        <f>IF(AF645=0,,S.Notice.OpenComment)</f>
        <v>41869</v>
      </c>
      <c r="AH645" s="60">
        <f>IF(AF645=0,,S.Notice.BANNER.End)</f>
        <v>41904</v>
      </c>
      <c r="AI645" s="59"/>
      <c r="AJ645" s="59"/>
      <c r="AK645" s="182" t="str">
        <f>S.Staff.RG.Lead.FirstName&amp;" &amp; "&amp;S.Staff.WebMaster&amp;" maintain Rukemaking Activities Web page"</f>
        <v>AndreaG &amp; Michele maintain Rukemaking Activities Web page</v>
      </c>
      <c r="AL645" s="76"/>
    </row>
    <row r="646" spans="1:39" s="23" customFormat="1" ht="14.1" customHeight="1">
      <c r="A646" s="145"/>
      <c r="B646" s="208" t="str">
        <f>AK646</f>
        <v xml:space="preserve">Brian gathers andsaves all emails on </v>
      </c>
      <c r="C646" s="509" t="str">
        <f>HYPERLINK("\\deqhq1\Rule_Development\Currrent Plan","i")</f>
        <v>i</v>
      </c>
      <c r="D646" s="283"/>
      <c r="E646" s="750"/>
      <c r="F646"/>
      <c r="G646" s="256">
        <f>AG646</f>
        <v>41792</v>
      </c>
      <c r="H646" s="256">
        <f>AH646</f>
        <v>41904</v>
      </c>
      <c r="I646" s="745"/>
      <c r="J646"/>
      <c r="K646"/>
      <c r="L646"/>
      <c r="M646"/>
      <c r="N646"/>
      <c r="O646"/>
      <c r="P646"/>
      <c r="Q646"/>
      <c r="R646"/>
      <c r="S646"/>
      <c r="T646"/>
      <c r="U646"/>
      <c r="X646"/>
      <c r="AB646"/>
      <c r="AC646"/>
      <c r="AF646" s="361">
        <f t="shared" si="113"/>
        <v>1</v>
      </c>
      <c r="AG646" s="60">
        <f>IF(AF646=0,,S.Notice.BANNER.Begin)</f>
        <v>41792</v>
      </c>
      <c r="AH646" s="60">
        <f>IF(AF646=0,,S.Notice.BANNER.End)</f>
        <v>41904</v>
      </c>
      <c r="AI646" s="59"/>
      <c r="AJ646" s="59"/>
      <c r="AK646" s="182" t="str">
        <f>S.Staff.Subject.Expert.FirstName&amp;" gathers andsaves all emails on "</f>
        <v xml:space="preserve">Brian gathers andsaves all emails on </v>
      </c>
      <c r="AL646" s="76"/>
    </row>
    <row r="647" spans="1:39" s="23" customFormat="1" ht="14.1" customHeight="1">
      <c r="A647" s="145"/>
      <c r="B647" s="220" t="s">
        <v>666</v>
      </c>
      <c r="C647" s="258"/>
      <c r="D647" s="283"/>
      <c r="E647" s="750"/>
      <c r="F647" s="262"/>
      <c r="G647" s="258"/>
      <c r="H647" s="258"/>
      <c r="I647" s="745"/>
      <c r="AF647" s="361">
        <f t="shared" si="113"/>
        <v>1</v>
      </c>
      <c r="AG647" s="58"/>
      <c r="AH647" s="58"/>
      <c r="AI647" s="59"/>
      <c r="AJ647" s="59"/>
      <c r="AK647" s="346"/>
      <c r="AL647" s="76"/>
    </row>
    <row r="648" spans="1:39" ht="6" customHeight="1">
      <c r="A648" s="145"/>
      <c r="B648" s="293"/>
      <c r="C648" s="295"/>
      <c r="D648" s="294"/>
      <c r="E648" s="294"/>
      <c r="F648" s="296" t="s">
        <v>0</v>
      </c>
      <c r="G648" s="297"/>
      <c r="H648" s="297"/>
      <c r="I648" s="745"/>
      <c r="AF648" s="361" t="s">
        <v>20</v>
      </c>
      <c r="AG648" s="47"/>
      <c r="AH648" s="47"/>
      <c r="AI648" s="59"/>
      <c r="AJ648" s="59"/>
      <c r="AK648" s="44"/>
      <c r="AL648" s="76"/>
      <c r="AM648"/>
    </row>
    <row r="649" spans="1:39" s="23" customFormat="1" ht="20.25" customHeight="1">
      <c r="A649" s="145"/>
      <c r="B649" s="1014" t="str">
        <f>AK29</f>
        <v>Public Comment and Testimony</v>
      </c>
      <c r="C649" s="1014"/>
      <c r="D649" s="1014"/>
      <c r="E649" s="1014"/>
      <c r="F649" s="1014"/>
      <c r="G649" s="1014"/>
      <c r="H649" s="1014"/>
      <c r="I649" s="745"/>
      <c r="J649"/>
      <c r="K649"/>
      <c r="L649"/>
      <c r="M649"/>
      <c r="N649"/>
      <c r="O649"/>
      <c r="P649"/>
      <c r="Q649"/>
      <c r="R649"/>
      <c r="S649"/>
      <c r="T649"/>
      <c r="U649"/>
      <c r="X649"/>
      <c r="AB649"/>
      <c r="AC649"/>
      <c r="AF649" s="361" t="s">
        <v>21</v>
      </c>
      <c r="AG649" s="76"/>
      <c r="AH649" s="76"/>
      <c r="AI649" s="59"/>
      <c r="AJ649" s="68"/>
      <c r="AK649" s="346"/>
      <c r="AL649" s="76"/>
    </row>
    <row r="650" spans="1:39" s="376" customFormat="1" ht="14.1" customHeight="1" outlineLevel="1">
      <c r="A650" s="373"/>
      <c r="B650" s="455" t="s">
        <v>0</v>
      </c>
      <c r="C650" s="374" t="s">
        <v>0</v>
      </c>
      <c r="D650" s="374"/>
      <c r="E650" s="374"/>
      <c r="F650" s="382"/>
      <c r="G650" s="375" t="s">
        <v>57</v>
      </c>
      <c r="H650" s="375" t="s">
        <v>172</v>
      </c>
      <c r="I650" s="745"/>
      <c r="J650"/>
      <c r="K650"/>
      <c r="L650"/>
      <c r="M650"/>
      <c r="N650"/>
      <c r="O650"/>
      <c r="P650"/>
      <c r="Q650"/>
      <c r="R650"/>
      <c r="S650"/>
      <c r="T650"/>
      <c r="U650"/>
      <c r="V650" s="23"/>
      <c r="W650" s="23"/>
      <c r="X650"/>
      <c r="Y650" s="23"/>
      <c r="Z650" s="23"/>
      <c r="AA650" s="23"/>
      <c r="AB650"/>
      <c r="AC650"/>
      <c r="AD650" s="23"/>
      <c r="AE650" s="23"/>
      <c r="AF650" s="378" t="s">
        <v>59</v>
      </c>
      <c r="AG650" s="377"/>
      <c r="AH650" s="377"/>
      <c r="AI650" s="379"/>
      <c r="AJ650" s="380"/>
      <c r="AK650" s="381"/>
      <c r="AL650" s="377"/>
    </row>
    <row r="651" spans="1:39" ht="14.1" customHeight="1" outlineLevel="1">
      <c r="A651" s="145"/>
      <c r="B651" s="815" t="s">
        <v>0</v>
      </c>
      <c r="C651" s="104"/>
      <c r="D651" s="174"/>
      <c r="E651" s="174"/>
      <c r="F651" s="125"/>
      <c r="G651" s="175">
        <f>AG651</f>
        <v>41792</v>
      </c>
      <c r="H651" s="201">
        <f>AH651</f>
        <v>41955</v>
      </c>
      <c r="I651" s="745"/>
      <c r="AF651" s="361" t="s">
        <v>59</v>
      </c>
      <c r="AG651" s="60">
        <f>IF(S.Notice.Involved="N",,S.Notice.BANNER.Begin)</f>
        <v>41792</v>
      </c>
      <c r="AH651" s="60">
        <f>IF(S.Notice.Involved="N",, S.EQC.PacketEndReview)</f>
        <v>41955</v>
      </c>
      <c r="AI651" s="59"/>
      <c r="AJ651" s="59"/>
      <c r="AK651" s="346"/>
      <c r="AL651" s="76"/>
      <c r="AM651"/>
    </row>
    <row r="652" spans="1:39" ht="6" customHeight="1" outlineLevel="1">
      <c r="A652" s="145"/>
      <c r="B652" s="106"/>
      <c r="C652" s="98"/>
      <c r="D652" s="691"/>
      <c r="E652" s="691"/>
      <c r="F652" s="99"/>
      <c r="G652" s="98"/>
      <c r="H652" s="98"/>
      <c r="I652" s="745"/>
      <c r="AF652" s="361" t="s">
        <v>16</v>
      </c>
      <c r="AG652" s="47"/>
      <c r="AH652" s="47"/>
      <c r="AI652" s="59"/>
      <c r="AJ652" s="59"/>
      <c r="AK652" s="44"/>
      <c r="AL652" s="76"/>
      <c r="AM652"/>
    </row>
    <row r="653" spans="1:39" s="23" customFormat="1" ht="14.1" customHeight="1" outlineLevel="1" thickBot="1">
      <c r="A653" s="145"/>
      <c r="B653" s="538" t="s">
        <v>307</v>
      </c>
      <c r="C653" s="512" t="str">
        <f>HYPERLINK("\\deqhq1\Rule_Resources\i\0-VersionHistory.pdf","i")</f>
        <v>i</v>
      </c>
      <c r="D653" s="692"/>
      <c r="E653" s="692"/>
      <c r="F653" s="83"/>
      <c r="G653" s="82"/>
      <c r="H653" s="82"/>
      <c r="I653" s="745"/>
      <c r="J653"/>
      <c r="K653"/>
      <c r="L653"/>
      <c r="M653"/>
      <c r="N653"/>
      <c r="O653"/>
      <c r="P653"/>
      <c r="Q653"/>
      <c r="R653"/>
      <c r="S653"/>
      <c r="T653"/>
      <c r="U653"/>
      <c r="X653"/>
      <c r="AB653"/>
      <c r="AC653"/>
      <c r="AF653" s="362" t="s">
        <v>20</v>
      </c>
      <c r="AG653" s="47"/>
      <c r="AH653" s="47"/>
      <c r="AI653" s="69"/>
      <c r="AJ653" s="69"/>
      <c r="AK653" s="35"/>
      <c r="AL653" s="76"/>
    </row>
    <row r="654" spans="1:39" ht="14.1" customHeight="1" outlineLevel="1" thickBot="1">
      <c r="A654" s="145"/>
      <c r="B654" s="298" t="str">
        <f>AK654</f>
        <v>Brian verifies venues and equipment, gathers supplies</v>
      </c>
      <c r="C654" s="414" t="s">
        <v>49</v>
      </c>
      <c r="D654" s="357"/>
      <c r="E654" s="750"/>
      <c r="F654" s="23"/>
      <c r="G654" s="299">
        <f>AG654</f>
        <v>41866</v>
      </c>
      <c r="H654" s="299">
        <f>AH654</f>
        <v>41899</v>
      </c>
      <c r="I654" s="745"/>
      <c r="AF654" s="361">
        <f>IF(AND(S.Notice.Involved="Y",S.Hearing.1stInvolve="Y"),1,0)</f>
        <v>1</v>
      </c>
      <c r="AG654" s="60">
        <f>IF(AF654=0,,S.Hearing.BANNER.Begin)</f>
        <v>41866</v>
      </c>
      <c r="AH654" s="60">
        <f>S.Hearing.1stDate</f>
        <v>41899</v>
      </c>
      <c r="AI654" s="59"/>
      <c r="AJ654" s="59"/>
      <c r="AK654" s="67" t="str">
        <f>S.Staff.Support&amp;" verifies venues and equipment, gathers supplies"</f>
        <v>Brian verifies venues and equipment, gathers supplies</v>
      </c>
      <c r="AL654" s="76"/>
      <c r="AM654"/>
    </row>
    <row r="655" spans="1:39" s="23" customFormat="1" ht="14.1" hidden="1" customHeight="1" outlineLevel="2">
      <c r="A655" s="145"/>
      <c r="B655" s="517" t="str">
        <f>AK655</f>
        <v>Team does not plan to hold information meeting</v>
      </c>
      <c r="C655" s="300"/>
      <c r="D655" s="301"/>
      <c r="E655" s="301"/>
      <c r="G655" s="300"/>
      <c r="H655" s="300"/>
      <c r="I655" s="745"/>
      <c r="J655"/>
      <c r="K655"/>
      <c r="L655"/>
      <c r="M655"/>
      <c r="N655"/>
      <c r="O655"/>
      <c r="P655"/>
      <c r="Q655"/>
      <c r="R655"/>
      <c r="S655"/>
      <c r="T655"/>
      <c r="U655"/>
      <c r="X655"/>
      <c r="AB655"/>
      <c r="AC655"/>
      <c r="AF655" s="361">
        <f>IF(AND(S.Notice.Involved="Y",S.Hearing.1stInvolve="Y",S.Notice.InformationMeeting="Y"),1,0)</f>
        <v>0</v>
      </c>
      <c r="AG655" s="58"/>
      <c r="AH655" s="58"/>
      <c r="AI655" s="59"/>
      <c r="AJ655" s="59"/>
      <c r="AK655" s="67" t="str">
        <f>IF(S.Notice.InformationMeeting="Y","START INFORMATION MEETING OPTION","Team does not plan to hold information meeting")</f>
        <v>Team does not plan to hold information meeting</v>
      </c>
      <c r="AL655" s="76"/>
    </row>
    <row r="656" spans="1:39" s="23" customFormat="1" ht="14.1" hidden="1" customHeight="1" outlineLevel="2">
      <c r="A656" s="145"/>
      <c r="B656" s="448" t="str">
        <f>AK656</f>
        <v>Brian:</v>
      </c>
      <c r="C656" s="258"/>
      <c r="D656" s="283"/>
      <c r="E656" s="750"/>
      <c r="G656" s="299">
        <f t="shared" ref="G656" si="116">AG656</f>
        <v>41866</v>
      </c>
      <c r="H656" s="299">
        <f t="shared" ref="H656" si="117">AH656</f>
        <v>41866</v>
      </c>
      <c r="I656" s="745"/>
      <c r="J656"/>
      <c r="K656"/>
      <c r="L656"/>
      <c r="M656"/>
      <c r="N656"/>
      <c r="O656"/>
      <c r="P656"/>
      <c r="Q656"/>
      <c r="R656"/>
      <c r="S656"/>
      <c r="T656"/>
      <c r="U656"/>
      <c r="X656"/>
      <c r="AB656"/>
      <c r="AC656"/>
      <c r="AF656" s="361">
        <f>IF(AND(S.Notice.Involved="Y",S.Notice.AD.Involved="Y"),1,0)</f>
        <v>1</v>
      </c>
      <c r="AG656" s="60">
        <f t="shared" ref="AG656:AG661" si="118">IF(AF656=0,,S.Hearing.BANNER.Begin)</f>
        <v>41866</v>
      </c>
      <c r="AH656" s="60">
        <f>G656</f>
        <v>41866</v>
      </c>
      <c r="AI656" s="59"/>
      <c r="AJ656" s="59"/>
      <c r="AK656" s="67" t="str">
        <f>S.Staff.Subject.Expert.FirstName&amp;":"</f>
        <v>Brian:</v>
      </c>
      <c r="AL656" s="76"/>
    </row>
    <row r="657" spans="1:39" s="23" customFormat="1" ht="14.1" hidden="1" customHeight="1" outlineLevel="2" thickBot="1">
      <c r="A657" s="145"/>
      <c r="B657" s="448" t="s">
        <v>222</v>
      </c>
      <c r="C657" s="545" t="s">
        <v>0</v>
      </c>
      <c r="D657" s="283"/>
      <c r="E657" s="750"/>
      <c r="F657"/>
      <c r="G657"/>
      <c r="H657"/>
      <c r="I657" s="745"/>
      <c r="J657"/>
      <c r="K657"/>
      <c r="L657"/>
      <c r="M657"/>
      <c r="N657"/>
      <c r="O657"/>
      <c r="P657"/>
      <c r="Q657"/>
      <c r="R657"/>
      <c r="S657"/>
      <c r="T657"/>
      <c r="U657"/>
      <c r="X657"/>
      <c r="AB657"/>
      <c r="AC657"/>
      <c r="AF657" s="361">
        <f>IF(AND(S.Notice.Involved="Y",S.Hearing.1stInvolve="Y",S.Notice.InformationMeeting="Y"),1,0)</f>
        <v>0</v>
      </c>
      <c r="AG657" s="60">
        <f t="shared" si="118"/>
        <v>0</v>
      </c>
      <c r="AH657" s="60">
        <f>G657</f>
        <v>0</v>
      </c>
      <c r="AI657" s="59"/>
      <c r="AJ657" s="59"/>
      <c r="AK657" s="381"/>
      <c r="AL657" s="76"/>
    </row>
    <row r="658" spans="1:39" s="23" customFormat="1" ht="14.1" hidden="1" customHeight="1" outlineLevel="2" thickBot="1">
      <c r="A658" s="145"/>
      <c r="B658" s="448" t="s">
        <v>267</v>
      </c>
      <c r="C658" s="414" t="s">
        <v>49</v>
      </c>
      <c r="D658" s="357"/>
      <c r="E658" s="750"/>
      <c r="G658"/>
      <c r="H658"/>
      <c r="I658" s="745"/>
      <c r="J658"/>
      <c r="K658"/>
      <c r="L658"/>
      <c r="M658"/>
      <c r="N658"/>
      <c r="O658"/>
      <c r="P658"/>
      <c r="Q658"/>
      <c r="R658"/>
      <c r="S658"/>
      <c r="T658"/>
      <c r="U658"/>
      <c r="X658"/>
      <c r="AB658"/>
      <c r="AC658"/>
      <c r="AF658" s="361">
        <f t="shared" ref="AF658:AF663" si="119">IF(AND(S.Notice.Involved="Y",S.Hearing.1stInvolve="Y",S.Notice.InformationMeeting="Y",S.Planning.MessageMap="Y"),1,0)</f>
        <v>0</v>
      </c>
      <c r="AG658" s="60">
        <f t="shared" si="118"/>
        <v>0</v>
      </c>
      <c r="AH658" s="60">
        <f t="shared" ref="AH658:AH661" si="120">G658</f>
        <v>0</v>
      </c>
      <c r="AI658" s="59"/>
      <c r="AJ658" s="59"/>
      <c r="AK658" s="381"/>
      <c r="AL658" s="76"/>
    </row>
    <row r="659" spans="1:39" s="459" customFormat="1" ht="14.1" hidden="1" customHeight="1" outlineLevel="2">
      <c r="A659" s="457"/>
      <c r="B659" s="448" t="s">
        <v>223</v>
      </c>
      <c r="C659" s="219" t="s">
        <v>0</v>
      </c>
      <c r="D659" s="458"/>
      <c r="E659" s="893"/>
      <c r="F659" s="23"/>
      <c r="G659"/>
      <c r="H659"/>
      <c r="I659" s="745"/>
      <c r="J659"/>
      <c r="K659"/>
      <c r="L659"/>
      <c r="M659"/>
      <c r="N659"/>
      <c r="O659"/>
      <c r="P659"/>
      <c r="Q659"/>
      <c r="R659"/>
      <c r="S659"/>
      <c r="T659"/>
      <c r="U659"/>
      <c r="V659" s="23"/>
      <c r="W659" s="23"/>
      <c r="X659"/>
      <c r="Y659" s="23"/>
      <c r="Z659" s="23"/>
      <c r="AA659" s="23"/>
      <c r="AB659"/>
      <c r="AC659"/>
      <c r="AD659" s="23"/>
      <c r="AE659" s="23"/>
      <c r="AF659" s="361">
        <f t="shared" si="119"/>
        <v>0</v>
      </c>
      <c r="AG659" s="60">
        <f t="shared" si="118"/>
        <v>0</v>
      </c>
      <c r="AH659" s="60">
        <f t="shared" si="120"/>
        <v>0</v>
      </c>
      <c r="AI659" s="461"/>
      <c r="AJ659" s="461"/>
      <c r="AK659" s="381"/>
      <c r="AL659" s="460"/>
    </row>
    <row r="660" spans="1:39" s="23" customFormat="1" ht="14.1" hidden="1" customHeight="1" outlineLevel="2">
      <c r="A660" s="145"/>
      <c r="B660" s="448" t="s">
        <v>224</v>
      </c>
      <c r="C660" s="545" t="s">
        <v>0</v>
      </c>
      <c r="D660" s="283"/>
      <c r="E660" s="750"/>
      <c r="G660"/>
      <c r="H660"/>
      <c r="I660" s="745"/>
      <c r="J660"/>
      <c r="K660"/>
      <c r="L660"/>
      <c r="M660"/>
      <c r="N660"/>
      <c r="O660"/>
      <c r="P660"/>
      <c r="Q660"/>
      <c r="R660"/>
      <c r="S660"/>
      <c r="T660"/>
      <c r="U660"/>
      <c r="X660"/>
      <c r="AB660"/>
      <c r="AC660"/>
      <c r="AF660" s="361">
        <f t="shared" si="119"/>
        <v>0</v>
      </c>
      <c r="AG660" s="60">
        <f t="shared" si="118"/>
        <v>0</v>
      </c>
      <c r="AH660" s="60">
        <f t="shared" si="120"/>
        <v>0</v>
      </c>
      <c r="AI660" s="59"/>
      <c r="AJ660" s="59"/>
      <c r="AK660" s="381"/>
      <c r="AL660" s="76"/>
    </row>
    <row r="661" spans="1:39" ht="14.1" hidden="1" customHeight="1" outlineLevel="2">
      <c r="A661" s="145"/>
      <c r="B661" s="448" t="s">
        <v>225</v>
      </c>
      <c r="C661" s="541" t="s">
        <v>0</v>
      </c>
      <c r="D661" s="283"/>
      <c r="E661" s="750"/>
      <c r="F661" s="23"/>
      <c r="G661"/>
      <c r="H661"/>
      <c r="I661" s="745"/>
      <c r="AF661" s="361">
        <f t="shared" si="119"/>
        <v>0</v>
      </c>
      <c r="AG661" s="60">
        <f t="shared" si="118"/>
        <v>0</v>
      </c>
      <c r="AH661" s="60">
        <f t="shared" si="120"/>
        <v>0</v>
      </c>
      <c r="AI661" s="59"/>
      <c r="AJ661" s="59"/>
      <c r="AK661" s="381"/>
      <c r="AL661" s="76"/>
      <c r="AM661"/>
    </row>
    <row r="662" spans="1:39" s="23" customFormat="1" ht="14.1" hidden="1" customHeight="1" outlineLevel="2">
      <c r="A662" s="145"/>
      <c r="B662" s="448" t="str">
        <f>AK662</f>
        <v>* initiates DavidC's review/approval, addresses suggestions</v>
      </c>
      <c r="C662" s="545" t="s">
        <v>0</v>
      </c>
      <c r="D662" s="283"/>
      <c r="E662" s="750"/>
      <c r="G662" s="299">
        <f t="shared" ref="G662" si="121">AG662</f>
        <v>41866</v>
      </c>
      <c r="H662" s="299">
        <f t="shared" ref="H662" si="122">AH662</f>
        <v>41866</v>
      </c>
      <c r="I662" s="745"/>
      <c r="J662"/>
      <c r="K662"/>
      <c r="L662"/>
      <c r="M662"/>
      <c r="N662"/>
      <c r="O662"/>
      <c r="P662"/>
      <c r="Q662"/>
      <c r="R662"/>
      <c r="S662"/>
      <c r="T662"/>
      <c r="U662"/>
      <c r="X662"/>
      <c r="AB662"/>
      <c r="AC662"/>
      <c r="AF662" s="361">
        <f t="shared" si="119"/>
        <v>0</v>
      </c>
      <c r="AG662" s="60">
        <f>H656</f>
        <v>41866</v>
      </c>
      <c r="AH662" s="60">
        <f>AG662</f>
        <v>41866</v>
      </c>
      <c r="AI662" s="202" t="s">
        <v>0</v>
      </c>
      <c r="AJ662" s="59"/>
      <c r="AK662" s="182" t="str">
        <f>"* initiates "&amp;S.Staff.Program.Mgr.FirstName&amp;"'s review/approval, addresses suggestions"</f>
        <v>* initiates DavidC's review/approval, addresses suggestions</v>
      </c>
      <c r="AL662" s="76"/>
    </row>
    <row r="663" spans="1:39" ht="14.1" hidden="1" customHeight="1" outlineLevel="2" thickBot="1">
      <c r="A663" s="145"/>
      <c r="B663" s="559" t="str">
        <f t="shared" ref="B663:B666" si="123">AK663</f>
        <v>1st loop DavidC reviews/approves optional presentation</v>
      </c>
      <c r="C663" s="542"/>
      <c r="D663" s="283"/>
      <c r="E663" s="750"/>
      <c r="F663" s="23"/>
      <c r="G663" s="299">
        <f t="shared" ref="G663:H666" si="124">AG663</f>
        <v>41866</v>
      </c>
      <c r="H663" s="299">
        <f t="shared" si="124"/>
        <v>41866</v>
      </c>
      <c r="I663" s="745"/>
      <c r="AF663" s="361">
        <f t="shared" si="119"/>
        <v>0</v>
      </c>
      <c r="AG663" s="60">
        <f>G656</f>
        <v>41866</v>
      </c>
      <c r="AH663" s="60">
        <f t="shared" ref="AH663:AH666" si="125">AG663</f>
        <v>41866</v>
      </c>
      <c r="AI663" s="59" t="s">
        <v>0</v>
      </c>
      <c r="AJ663" s="59"/>
      <c r="AK663" s="182" t="str">
        <f>"1st loop "&amp;S.Staff.Program.Mgr.FirstName&amp;" reviews/approves optional presentation"</f>
        <v>1st loop DavidC reviews/approves optional presentation</v>
      </c>
      <c r="AL663" s="76"/>
      <c r="AM663"/>
    </row>
    <row r="664" spans="1:39" ht="14.1" hidden="1" customHeight="1" outlineLevel="2" thickBot="1">
      <c r="A664" s="145"/>
      <c r="B664" s="560" t="str">
        <f t="shared" si="123"/>
        <v>2nd loop DavidC reviews/approves optional presentation</v>
      </c>
      <c r="C664" s="481" t="s">
        <v>206</v>
      </c>
      <c r="D664" s="283"/>
      <c r="E664" s="750"/>
      <c r="F664" s="23"/>
      <c r="G664" s="299">
        <f t="shared" si="124"/>
        <v>0</v>
      </c>
      <c r="H664" s="299">
        <f t="shared" si="124"/>
        <v>0</v>
      </c>
      <c r="I664" s="745"/>
      <c r="AF664" s="361">
        <f>IF(S.EQC.ApprovePresentationLoop2="N",,IF(AND(S.Notice.Involved="Y",S.Hearing.1stInvolve="Y",S.Notice.InformationMeeting="Y",S.Planning.MessageMap="Y"),1,0))</f>
        <v>0</v>
      </c>
      <c r="AG664" s="60">
        <f>IF(AF664=0,,MAX(AH657:AH661))</f>
        <v>0</v>
      </c>
      <c r="AH664" s="60">
        <f t="shared" si="125"/>
        <v>0</v>
      </c>
      <c r="AI664" s="59" t="s">
        <v>0</v>
      </c>
      <c r="AJ664" s="59"/>
      <c r="AK664" s="182" t="str">
        <f>"2nd loop "&amp;S.Staff.Program.Mgr.FirstName&amp;" reviews/approves optional presentation"</f>
        <v>2nd loop DavidC reviews/approves optional presentation</v>
      </c>
      <c r="AL664" s="76"/>
      <c r="AM664"/>
    </row>
    <row r="665" spans="1:39" ht="14.1" hidden="1" customHeight="1" outlineLevel="2" thickBot="1">
      <c r="A665" s="145"/>
      <c r="B665" s="561" t="str">
        <f t="shared" si="123"/>
        <v>3rd loop DavidC reviews/approves optional presentation</v>
      </c>
      <c r="C665" s="481" t="s">
        <v>206</v>
      </c>
      <c r="D665" s="283"/>
      <c r="E665" s="750"/>
      <c r="F665" s="23"/>
      <c r="G665" s="299">
        <f t="shared" si="124"/>
        <v>0</v>
      </c>
      <c r="H665" s="299">
        <f t="shared" si="124"/>
        <v>0</v>
      </c>
      <c r="I665" s="745"/>
      <c r="AF665" s="361">
        <f>IF(S.EQC.ApprovePresentationLoop3="N",,IF(AND(S.Notice.Involved="Y",S.Hearing.1stInvolve="Y",S.Notice.InformationMeeting="Y",S.Planning.MessageMap="Y"),1,0))</f>
        <v>0</v>
      </c>
      <c r="AG665" s="60">
        <f>IF(AF665=0,,MAX(AH657:AH661))</f>
        <v>0</v>
      </c>
      <c r="AH665" s="60">
        <f t="shared" si="125"/>
        <v>0</v>
      </c>
      <c r="AI665" s="59"/>
      <c r="AJ665" s="59"/>
      <c r="AK665" s="182" t="str">
        <f>"3rd loop "&amp;S.Staff.Program.Mgr.FirstName&amp;" reviews/approves optional presentation"</f>
        <v>3rd loop DavidC reviews/approves optional presentation</v>
      </c>
      <c r="AL665" s="76"/>
      <c r="AM665"/>
    </row>
    <row r="666" spans="1:39" ht="14.1" hidden="1" customHeight="1" outlineLevel="2" thickBot="1">
      <c r="A666" s="145"/>
      <c r="B666" s="562" t="str">
        <f t="shared" si="123"/>
        <v>4th loop DavidC reviews/approves optional presentation</v>
      </c>
      <c r="C666" s="481" t="s">
        <v>206</v>
      </c>
      <c r="D666" s="283"/>
      <c r="E666" s="750"/>
      <c r="F666" s="23"/>
      <c r="G666" s="299">
        <f t="shared" si="124"/>
        <v>0</v>
      </c>
      <c r="H666" s="299">
        <f t="shared" si="124"/>
        <v>0</v>
      </c>
      <c r="I666" s="745"/>
      <c r="AF666" s="361">
        <f>IF(S.EQC.ApprovePresentationLoop4="N",,IF(AND(S.Notice.Involved="Y",S.Hearing.1stInvolve="Y",S.Notice.InformationMeeting="Y",S.Planning.MessageMap="Y"),1,0))</f>
        <v>0</v>
      </c>
      <c r="AG666" s="60">
        <f>IF(AF666=0,,MAX(AH657:AH661))</f>
        <v>0</v>
      </c>
      <c r="AH666" s="60">
        <f t="shared" si="125"/>
        <v>0</v>
      </c>
      <c r="AI666" s="59"/>
      <c r="AJ666" s="59"/>
      <c r="AK666" s="182" t="str">
        <f>"4th loop "&amp;S.Staff.Program.Mgr.FirstName&amp;" reviews/approves optional presentation"</f>
        <v>4th loop DavidC reviews/approves optional presentation</v>
      </c>
      <c r="AL666" s="76"/>
      <c r="AM666"/>
    </row>
    <row r="667" spans="1:39" s="23" customFormat="1" ht="14.1" customHeight="1" outlineLevel="1" collapsed="1">
      <c r="A667" s="145"/>
      <c r="B667" s="290" t="s">
        <v>713</v>
      </c>
      <c r="C667" s="258"/>
      <c r="D667" s="325"/>
      <c r="E667" s="325"/>
      <c r="G667" s="258"/>
      <c r="H667" s="258"/>
      <c r="I667" s="745"/>
      <c r="J667"/>
      <c r="K667"/>
      <c r="L667"/>
      <c r="M667"/>
      <c r="N667"/>
      <c r="O667"/>
      <c r="P667"/>
      <c r="Q667"/>
      <c r="R667"/>
      <c r="S667"/>
      <c r="T667"/>
      <c r="U667"/>
      <c r="X667"/>
      <c r="AB667"/>
      <c r="AC667"/>
      <c r="AF667" s="361">
        <f>IF(S.Hearing.1stInvolve="Y",1,0)</f>
        <v>1</v>
      </c>
      <c r="AG667" s="58"/>
      <c r="AH667" s="58"/>
      <c r="AI667" s="59"/>
      <c r="AJ667" s="59"/>
      <c r="AK667" s="62"/>
      <c r="AL667" s="76"/>
    </row>
    <row r="668" spans="1:39" s="23" customFormat="1" ht="14.1" customHeight="1" outlineLevel="1" collapsed="1" thickBot="1">
      <c r="A668" s="145"/>
      <c r="B668" s="425" t="s">
        <v>201</v>
      </c>
      <c r="C668" s="545" t="s">
        <v>0</v>
      </c>
      <c r="D668" s="283"/>
      <c r="E668" s="750"/>
      <c r="G668" s="299">
        <f t="shared" ref="G668:G669" si="126">AG668</f>
        <v>41866</v>
      </c>
      <c r="H668" s="299">
        <f>AH668</f>
        <v>41899</v>
      </c>
      <c r="I668" s="745"/>
      <c r="J668"/>
      <c r="K668"/>
      <c r="L668"/>
      <c r="M668"/>
      <c r="N668"/>
      <c r="O668"/>
      <c r="P668"/>
      <c r="Q668"/>
      <c r="R668"/>
      <c r="S668"/>
      <c r="T668"/>
      <c r="U668"/>
      <c r="X668"/>
      <c r="AB668"/>
      <c r="AC668"/>
      <c r="AF668" s="361">
        <f>IF(S.Notice.Involved="Y",1,0)</f>
        <v>1</v>
      </c>
      <c r="AG668" s="60">
        <f>IF(AF668=0,,S.Hearing.BANNER.Begin)</f>
        <v>41866</v>
      </c>
      <c r="AH668" s="60">
        <f>S.Hearing.1stDate</f>
        <v>41899</v>
      </c>
      <c r="AI668" s="59"/>
      <c r="AJ668" s="61"/>
      <c r="AK668" s="62"/>
      <c r="AL668" s="76"/>
    </row>
    <row r="669" spans="1:39" s="23" customFormat="1" ht="14.1" customHeight="1" outlineLevel="1" thickBot="1">
      <c r="A669" s="145"/>
      <c r="B669" s="425" t="s">
        <v>205</v>
      </c>
      <c r="C669" s="414" t="s">
        <v>49</v>
      </c>
      <c r="D669" s="283"/>
      <c r="E669" s="750"/>
      <c r="G669" s="299">
        <f t="shared" si="126"/>
        <v>41866</v>
      </c>
      <c r="H669" s="299">
        <f>AH669</f>
        <v>41899</v>
      </c>
      <c r="I669" s="745"/>
      <c r="J669"/>
      <c r="K669"/>
      <c r="L669"/>
      <c r="M669"/>
      <c r="N669"/>
      <c r="O669"/>
      <c r="P669"/>
      <c r="Q669"/>
      <c r="R669"/>
      <c r="S669"/>
      <c r="T669"/>
      <c r="U669"/>
      <c r="X669"/>
      <c r="AB669"/>
      <c r="AC669"/>
      <c r="AF669" s="361">
        <f>IF(S.Notice.Involved="Y",1,0)</f>
        <v>1</v>
      </c>
      <c r="AG669" s="60">
        <f>IF(AF669=0,,S.Hearing.BANNER.Begin)</f>
        <v>41866</v>
      </c>
      <c r="AH669" s="60">
        <f>S.Hearing.1stDate</f>
        <v>41899</v>
      </c>
      <c r="AI669" s="59"/>
      <c r="AJ669" s="61"/>
      <c r="AK669" s="62"/>
      <c r="AL669" s="76"/>
    </row>
    <row r="670" spans="1:39" s="23" customFormat="1" ht="14.1" customHeight="1" outlineLevel="1">
      <c r="A670" s="145"/>
      <c r="B670" s="425" t="str">
        <f>AK670</f>
        <v>* holds the following hearings with assigned team:</v>
      </c>
      <c r="C670" s="545" t="s">
        <v>0</v>
      </c>
      <c r="D670" s="705"/>
      <c r="E670" s="705"/>
      <c r="G670"/>
      <c r="H670"/>
      <c r="I670" s="745"/>
      <c r="J670"/>
      <c r="K670"/>
      <c r="L670"/>
      <c r="M670"/>
      <c r="N670"/>
      <c r="O670"/>
      <c r="P670"/>
      <c r="Q670"/>
      <c r="R670"/>
      <c r="S670"/>
      <c r="T670"/>
      <c r="U670"/>
      <c r="X670"/>
      <c r="AB670"/>
      <c r="AC670"/>
      <c r="AF670" s="361">
        <f>IF(S.Notice.Involved="Y",1,0)</f>
        <v>1</v>
      </c>
      <c r="AG670" s="59"/>
      <c r="AH670" s="59"/>
      <c r="AI670" s="59"/>
      <c r="AJ670" s="61"/>
      <c r="AK670" s="73" t="str">
        <f>IF(S.Hearing.1stInvolve="Y","* holds the following hearings with assigned team:","No hearings planned (change under Oveview of Key Dates")</f>
        <v>* holds the following hearings with assigned team:</v>
      </c>
      <c r="AL670" s="76"/>
    </row>
    <row r="671" spans="1:39" ht="14.1" customHeight="1" outlineLevel="1">
      <c r="A671" s="145"/>
      <c r="B671" s="275" t="str">
        <f>AK671</f>
        <v>1. Portland hearing</v>
      </c>
      <c r="C671" s="545" t="s">
        <v>0</v>
      </c>
      <c r="D671" s="705"/>
      <c r="E671" s="705"/>
      <c r="F671"/>
      <c r="G671"/>
      <c r="H671" s="309">
        <f>AH671</f>
        <v>41899</v>
      </c>
      <c r="I671" s="745"/>
      <c r="AF671" s="361">
        <f>IF(AND(S.Notice.Involved="Y",S.Hearing.1stInvolve="Y",S.Hearing.2ndInvolve),1,0)</f>
        <v>1</v>
      </c>
      <c r="AG671" s="59"/>
      <c r="AH671" s="60">
        <f>S.Hearing.1stDate</f>
        <v>41899</v>
      </c>
      <c r="AI671" s="59"/>
      <c r="AJ671" s="59"/>
      <c r="AK671" s="67" t="str">
        <f>"1. "&amp;S.Hearing.1stCity&amp;" hearing"</f>
        <v>1. Portland hearing</v>
      </c>
      <c r="AL671" s="76"/>
      <c r="AM671"/>
    </row>
    <row r="672" spans="1:39" s="23" customFormat="1" ht="14.1" customHeight="1" outlineLevel="1">
      <c r="A672" s="145"/>
      <c r="B672" s="477" t="s">
        <v>252</v>
      </c>
      <c r="C672" s="268"/>
      <c r="D672" s="278"/>
      <c r="E672" s="278"/>
      <c r="F672" s="262"/>
      <c r="G672"/>
      <c r="H672" s="258"/>
      <c r="I672" s="745"/>
      <c r="J672"/>
      <c r="K672"/>
      <c r="L672"/>
      <c r="M672"/>
      <c r="N672"/>
      <c r="O672"/>
      <c r="P672"/>
      <c r="Q672"/>
      <c r="R672"/>
      <c r="S672"/>
      <c r="T672"/>
      <c r="U672"/>
      <c r="X672"/>
      <c r="AB672"/>
      <c r="AC672"/>
      <c r="AF672" s="361">
        <f>IF(AND(S.Notice.Involved="Y",S.Hearing.1stInvolve="Y",S.Hearing.2ndInvolve),1,0)</f>
        <v>1</v>
      </c>
      <c r="AG672" s="59"/>
      <c r="AH672" s="58"/>
      <c r="AI672" s="58"/>
      <c r="AJ672" s="44"/>
      <c r="AK672" s="58" t="s">
        <v>0</v>
      </c>
      <c r="AL672" s="76"/>
    </row>
    <row r="673" spans="1:39" ht="14.1" customHeight="1" outlineLevel="2">
      <c r="A673" s="145"/>
      <c r="B673" s="275" t="str">
        <f t="shared" ref="B673:B685" si="127">AK673</f>
        <v>2. Grants Pass hearing</v>
      </c>
      <c r="C673" s="545" t="s">
        <v>0</v>
      </c>
      <c r="D673" s="705"/>
      <c r="E673" s="705"/>
      <c r="F673"/>
      <c r="G673"/>
      <c r="H673" s="309">
        <f t="shared" ref="H673:H685" si="128">AH673</f>
        <v>41899</v>
      </c>
      <c r="I673" s="745"/>
      <c r="AF673" s="361">
        <f>IF(AND(S.Notice.Involved="Y",S.Hearing.1stInvolve="Y",S.Hearing.2ndInvolve="Y"),1,0)</f>
        <v>1</v>
      </c>
      <c r="AG673" s="59"/>
      <c r="AH673" s="60">
        <f>IF(S.Hearing.2ndInvolve="N",,S.Hearing.2ndDate)</f>
        <v>41899</v>
      </c>
      <c r="AI673" s="59"/>
      <c r="AJ673" s="59"/>
      <c r="AK673" s="67" t="str">
        <f>"2. "&amp;S.Hearing.2ndCity&amp;" hearing"</f>
        <v>2. Grants Pass hearing</v>
      </c>
      <c r="AL673" s="76"/>
      <c r="AM673"/>
    </row>
    <row r="674" spans="1:39" s="23" customFormat="1" ht="14.1" customHeight="1" outlineLevel="2">
      <c r="A674" s="145"/>
      <c r="B674" s="477" t="s">
        <v>253</v>
      </c>
      <c r="C674" s="268"/>
      <c r="D674" s="705"/>
      <c r="E674" s="705"/>
      <c r="F674"/>
      <c r="G674"/>
      <c r="H674" s="258"/>
      <c r="I674" s="745"/>
      <c r="J674"/>
      <c r="K674"/>
      <c r="L674"/>
      <c r="M674"/>
      <c r="N674"/>
      <c r="O674"/>
      <c r="P674"/>
      <c r="Q674"/>
      <c r="R674"/>
      <c r="S674"/>
      <c r="T674"/>
      <c r="U674"/>
      <c r="X674"/>
      <c r="AB674"/>
      <c r="AC674"/>
      <c r="AF674" s="361">
        <f>IF(AND(S.Notice.Involved="Y",S.Hearing.1stInvolve="Y",S.Hearing.2ndInvolve="Y"),1,0)</f>
        <v>1</v>
      </c>
      <c r="AG674" s="59"/>
      <c r="AH674" s="58"/>
      <c r="AI674" s="58"/>
      <c r="AJ674" s="44"/>
      <c r="AK674" s="58" t="s">
        <v>0</v>
      </c>
      <c r="AL674" s="76"/>
    </row>
    <row r="675" spans="1:39" ht="14.1" customHeight="1" outlineLevel="2">
      <c r="A675" s="145"/>
      <c r="B675" s="275" t="str">
        <f t="shared" si="127"/>
        <v>3. Enter city name hearing</v>
      </c>
      <c r="C675" s="545" t="s">
        <v>0</v>
      </c>
      <c r="D675" s="705"/>
      <c r="E675" s="705"/>
      <c r="F675"/>
      <c r="G675"/>
      <c r="H675" s="309">
        <f t="shared" si="128"/>
        <v>0</v>
      </c>
      <c r="I675" s="745"/>
      <c r="AF675" s="361">
        <f>IF(AND(S.Notice.Involved="Y",S.Hearing.1stInvolve="Y",S.Hearing.3rdInvolve="Y"),1,0)</f>
        <v>0</v>
      </c>
      <c r="AG675" s="59"/>
      <c r="AH675" s="60">
        <f>IF(S.Hearing.2ndInvolve="N",,S.Hearing.3rdDate)</f>
        <v>0</v>
      </c>
      <c r="AI675" s="59"/>
      <c r="AJ675" s="59"/>
      <c r="AK675" s="67" t="str">
        <f>"3. "&amp; S.Hearing.3rdCity&amp;" hearing"</f>
        <v>3. Enter city name hearing</v>
      </c>
      <c r="AL675" s="76"/>
      <c r="AM675"/>
    </row>
    <row r="676" spans="1:39" s="23" customFormat="1" ht="14.1" customHeight="1" outlineLevel="2">
      <c r="A676" s="145"/>
      <c r="B676" s="477" t="s">
        <v>254</v>
      </c>
      <c r="C676" s="268"/>
      <c r="D676" s="705"/>
      <c r="E676" s="705"/>
      <c r="F676"/>
      <c r="G676"/>
      <c r="H676" s="258"/>
      <c r="I676" s="745"/>
      <c r="J676"/>
      <c r="K676"/>
      <c r="L676"/>
      <c r="M676"/>
      <c r="N676"/>
      <c r="O676"/>
      <c r="P676"/>
      <c r="Q676"/>
      <c r="R676"/>
      <c r="S676"/>
      <c r="T676"/>
      <c r="U676"/>
      <c r="X676"/>
      <c r="AB676"/>
      <c r="AC676"/>
      <c r="AF676" s="361">
        <f>IF(AND(S.Notice.Involved="Y",S.Hearing.1stInvolve="Y",S.Hearing.3rdInvolve="Y"),1,0)</f>
        <v>0</v>
      </c>
      <c r="AG676" s="59"/>
      <c r="AH676" s="58"/>
      <c r="AI676" s="58"/>
      <c r="AJ676" s="44"/>
      <c r="AK676" s="58" t="s">
        <v>0</v>
      </c>
      <c r="AL676" s="76"/>
    </row>
    <row r="677" spans="1:39" ht="14.1" hidden="1" customHeight="1" outlineLevel="2">
      <c r="A677" s="145"/>
      <c r="B677" s="275" t="str">
        <f t="shared" si="127"/>
        <v>4. Enter city name hearing</v>
      </c>
      <c r="C677" s="545" t="s">
        <v>0</v>
      </c>
      <c r="D677" s="705"/>
      <c r="E677" s="705"/>
      <c r="F677"/>
      <c r="G677"/>
      <c r="H677" s="309">
        <f t="shared" si="128"/>
        <v>0</v>
      </c>
      <c r="I677" s="745"/>
      <c r="AF677" s="361">
        <f>IF(AND(S.Notice.Involved="Y",S.Hearing.1stInvolve="Y",S.Hearing.4thInvolve="Y"),1,0)</f>
        <v>0</v>
      </c>
      <c r="AG677" s="59"/>
      <c r="AH677" s="60">
        <f>IF(S.Hearing.2ndInvolve="N",,S.Hearing.4thDate)</f>
        <v>0</v>
      </c>
      <c r="AI677" s="59"/>
      <c r="AJ677" s="59"/>
      <c r="AK677" s="67" t="str">
        <f>"4. "&amp;S.Hearing.4thCity&amp;" hearing"</f>
        <v>4. Enter city name hearing</v>
      </c>
      <c r="AL677" s="76"/>
      <c r="AM677"/>
    </row>
    <row r="678" spans="1:39" s="23" customFormat="1" ht="14.1" hidden="1" customHeight="1" outlineLevel="2">
      <c r="A678" s="145"/>
      <c r="B678" s="477" t="s">
        <v>255</v>
      </c>
      <c r="C678" s="268"/>
      <c r="D678" s="705"/>
      <c r="E678" s="705"/>
      <c r="F678"/>
      <c r="G678"/>
      <c r="H678" s="258"/>
      <c r="I678" s="745"/>
      <c r="J678"/>
      <c r="K678"/>
      <c r="L678"/>
      <c r="M678"/>
      <c r="N678"/>
      <c r="O678"/>
      <c r="P678"/>
      <c r="Q678"/>
      <c r="R678"/>
      <c r="S678"/>
      <c r="T678"/>
      <c r="U678"/>
      <c r="X678"/>
      <c r="AB678"/>
      <c r="AC678"/>
      <c r="AF678" s="361">
        <f>IF(AND(S.Notice.Involved="Y",S.Hearing.1stInvolve="Y",S.Hearing.4thInvolve="Y"),1,0)</f>
        <v>0</v>
      </c>
      <c r="AG678" s="59"/>
      <c r="AH678" s="58"/>
      <c r="AI678" s="58"/>
      <c r="AJ678" s="44"/>
      <c r="AK678" s="58" t="s">
        <v>0</v>
      </c>
      <c r="AL678" s="76"/>
    </row>
    <row r="679" spans="1:39" ht="14.1" hidden="1" customHeight="1" outlineLevel="2">
      <c r="A679" s="145"/>
      <c r="B679" s="275" t="str">
        <f t="shared" si="127"/>
        <v>5. Enter city name hearing</v>
      </c>
      <c r="C679" s="545" t="s">
        <v>0</v>
      </c>
      <c r="D679" s="705"/>
      <c r="E679" s="705"/>
      <c r="F679"/>
      <c r="G679"/>
      <c r="H679" s="309">
        <f t="shared" si="128"/>
        <v>0</v>
      </c>
      <c r="I679" s="745"/>
      <c r="AF679" s="361">
        <f>IF(AND(S.Notice.Involved="Y",S.Hearing.1stInvolve="Y",S.Hearing.5thInvolve="Y"),1,0)</f>
        <v>0</v>
      </c>
      <c r="AG679" s="59"/>
      <c r="AH679" s="60">
        <f>IF(S.Hearing.2ndInvolve="N",,S.Hearing.5thDate)</f>
        <v>0</v>
      </c>
      <c r="AI679" s="59"/>
      <c r="AJ679" s="59"/>
      <c r="AK679" s="67" t="str">
        <f>"5. "&amp;S.Hearing.5thCity&amp;" hearing"</f>
        <v>5. Enter city name hearing</v>
      </c>
      <c r="AL679" s="76"/>
      <c r="AM679"/>
    </row>
    <row r="680" spans="1:39" s="23" customFormat="1" ht="14.1" hidden="1" customHeight="1" outlineLevel="2">
      <c r="A680" s="145"/>
      <c r="B680" s="477" t="s">
        <v>256</v>
      </c>
      <c r="C680" s="268"/>
      <c r="D680" s="705"/>
      <c r="E680" s="705"/>
      <c r="F680"/>
      <c r="G680"/>
      <c r="H680" s="258"/>
      <c r="I680" s="745"/>
      <c r="J680"/>
      <c r="K680"/>
      <c r="L680"/>
      <c r="M680"/>
      <c r="N680"/>
      <c r="O680"/>
      <c r="P680"/>
      <c r="Q680"/>
      <c r="R680"/>
      <c r="S680"/>
      <c r="T680"/>
      <c r="U680"/>
      <c r="X680"/>
      <c r="AB680"/>
      <c r="AC680"/>
      <c r="AF680" s="361">
        <f>IF(AND(S.Notice.Involved="Y",S.Hearing.1stInvolve="Y",S.Hearing.5thInvolve="Y"),1,0)</f>
        <v>0</v>
      </c>
      <c r="AG680" s="59"/>
      <c r="AH680" s="58"/>
      <c r="AI680" s="58"/>
      <c r="AJ680" s="44"/>
      <c r="AK680" s="58" t="s">
        <v>0</v>
      </c>
      <c r="AL680" s="76"/>
    </row>
    <row r="681" spans="1:39" ht="14.1" hidden="1" customHeight="1" outlineLevel="2">
      <c r="A681" s="145"/>
      <c r="B681" s="275" t="str">
        <f t="shared" si="127"/>
        <v>6. Enter city name hearing</v>
      </c>
      <c r="C681" s="545" t="s">
        <v>0</v>
      </c>
      <c r="D681" s="705"/>
      <c r="E681" s="705"/>
      <c r="F681"/>
      <c r="G681"/>
      <c r="H681" s="309">
        <f t="shared" si="128"/>
        <v>0</v>
      </c>
      <c r="I681" s="745"/>
      <c r="AF681" s="361">
        <f>IF(AND(S.Notice.Involved="Y",S.Hearing.1stInvolve="Y",S.Hearing.6thInvolve="Y"),1,0)</f>
        <v>0</v>
      </c>
      <c r="AG681" s="59"/>
      <c r="AH681" s="60">
        <f>IF(S.Hearing.2ndInvolve="N",,S.Hearing.6thDate)</f>
        <v>0</v>
      </c>
      <c r="AI681" s="59"/>
      <c r="AJ681" s="59"/>
      <c r="AK681" s="67" t="str">
        <f>"6. "&amp;S.Hearing.6thCity&amp;" hearing"</f>
        <v>6. Enter city name hearing</v>
      </c>
      <c r="AL681" s="76"/>
      <c r="AM681"/>
    </row>
    <row r="682" spans="1:39" s="23" customFormat="1" ht="14.1" hidden="1" customHeight="1" outlineLevel="2">
      <c r="A682" s="145"/>
      <c r="B682" s="477" t="s">
        <v>257</v>
      </c>
      <c r="C682" s="268"/>
      <c r="D682" s="705"/>
      <c r="E682" s="705"/>
      <c r="F682"/>
      <c r="G682"/>
      <c r="H682" s="258"/>
      <c r="I682" s="745"/>
      <c r="J682"/>
      <c r="K682"/>
      <c r="L682"/>
      <c r="M682"/>
      <c r="N682"/>
      <c r="O682"/>
      <c r="P682"/>
      <c r="Q682"/>
      <c r="R682"/>
      <c r="S682"/>
      <c r="T682"/>
      <c r="U682"/>
      <c r="X682"/>
      <c r="AB682"/>
      <c r="AC682"/>
      <c r="AF682" s="361">
        <f>IF(AND(S.Notice.Involved="Y",S.Hearing.1stInvolve="Y",S.Hearing.6thInvolve="Y"),1,0)</f>
        <v>0</v>
      </c>
      <c r="AG682" s="59"/>
      <c r="AH682" s="58"/>
      <c r="AI682" s="58"/>
      <c r="AJ682" s="44"/>
      <c r="AK682" s="58" t="s">
        <v>0</v>
      </c>
      <c r="AL682" s="76"/>
    </row>
    <row r="683" spans="1:39" ht="14.1" hidden="1" customHeight="1" outlineLevel="2">
      <c r="A683" s="145"/>
      <c r="B683" s="275" t="str">
        <f t="shared" si="127"/>
        <v>7. Enter city name hearing</v>
      </c>
      <c r="C683" s="545" t="s">
        <v>0</v>
      </c>
      <c r="D683" s="705"/>
      <c r="E683" s="705"/>
      <c r="F683"/>
      <c r="G683"/>
      <c r="H683" s="309">
        <f t="shared" si="128"/>
        <v>0</v>
      </c>
      <c r="I683" s="745"/>
      <c r="AF683" s="361">
        <f>IF(AND(S.Notice.Involved="Y",S.Hearing.1stInvolve="Y",S.Hearing.7thInvolve="Y"),1,0)</f>
        <v>0</v>
      </c>
      <c r="AG683" s="59"/>
      <c r="AH683" s="60">
        <f>IF(S.Hearing.2ndInvolve="N",,S.Hearing.7thDate)</f>
        <v>0</v>
      </c>
      <c r="AI683" s="59"/>
      <c r="AJ683" s="59"/>
      <c r="AK683" s="67" t="str">
        <f>"7. "&amp;S.Hearing.7thCity&amp;" hearing"</f>
        <v>7. Enter city name hearing</v>
      </c>
      <c r="AL683" s="76"/>
      <c r="AM683"/>
    </row>
    <row r="684" spans="1:39" s="23" customFormat="1" ht="14.1" hidden="1" customHeight="1" outlineLevel="2">
      <c r="A684" s="145"/>
      <c r="B684" s="477" t="s">
        <v>258</v>
      </c>
      <c r="C684" s="268"/>
      <c r="D684" s="705"/>
      <c r="E684" s="705"/>
      <c r="F684"/>
      <c r="G684"/>
      <c r="H684" s="258"/>
      <c r="I684" s="745"/>
      <c r="J684"/>
      <c r="K684"/>
      <c r="L684"/>
      <c r="M684"/>
      <c r="N684"/>
      <c r="O684"/>
      <c r="P684"/>
      <c r="Q684"/>
      <c r="R684"/>
      <c r="S684"/>
      <c r="T684"/>
      <c r="U684"/>
      <c r="X684"/>
      <c r="AB684"/>
      <c r="AC684"/>
      <c r="AF684" s="361">
        <f>IF(AND(S.Notice.Involved="Y",S.Hearing.1stInvolve="Y",S.Hearing.7thInvolve="Y"),1,0)</f>
        <v>0</v>
      </c>
      <c r="AG684" s="59"/>
      <c r="AH684" s="58"/>
      <c r="AI684" s="58"/>
      <c r="AJ684" s="44"/>
      <c r="AK684" s="58" t="s">
        <v>0</v>
      </c>
      <c r="AL684" s="76"/>
    </row>
    <row r="685" spans="1:39" ht="14.1" hidden="1" customHeight="1" outlineLevel="2">
      <c r="A685" s="145"/>
      <c r="B685" s="275" t="str">
        <f t="shared" si="127"/>
        <v>8. Enter city name hearing</v>
      </c>
      <c r="C685" s="545" t="s">
        <v>0</v>
      </c>
      <c r="D685" s="705"/>
      <c r="E685" s="705"/>
      <c r="F685"/>
      <c r="G685"/>
      <c r="H685" s="309">
        <f t="shared" si="128"/>
        <v>0</v>
      </c>
      <c r="I685" s="745"/>
      <c r="AF685" s="361">
        <f>IF(AND(S.Notice.Involved="Y",S.Hearing.1stInvolve="Y",S.Hearing.8thtInvolve="Y"),1,0)</f>
        <v>0</v>
      </c>
      <c r="AG685" s="59"/>
      <c r="AH685" s="60">
        <f>IF(S.Hearing.8thtInvolve="N",,S.Notice.LastHearingDate)</f>
        <v>0</v>
      </c>
      <c r="AI685" s="70"/>
      <c r="AJ685" s="44"/>
      <c r="AK685" s="67" t="str">
        <f>"8. "&amp;S.Hearing.8thCity&amp;" hearing"</f>
        <v>8. Enter city name hearing</v>
      </c>
      <c r="AL685" s="76"/>
      <c r="AM685"/>
    </row>
    <row r="686" spans="1:39" s="23" customFormat="1" ht="14.1" hidden="1" customHeight="1" outlineLevel="2">
      <c r="A686" s="145"/>
      <c r="B686" s="477" t="s">
        <v>259</v>
      </c>
      <c r="C686" s="268"/>
      <c r="D686" s="278"/>
      <c r="E686" s="278"/>
      <c r="F686" s="262"/>
      <c r="G686" s="258"/>
      <c r="H686" s="258"/>
      <c r="I686" s="745"/>
      <c r="J686"/>
      <c r="K686"/>
      <c r="L686"/>
      <c r="M686"/>
      <c r="N686"/>
      <c r="O686"/>
      <c r="P686"/>
      <c r="Q686"/>
      <c r="R686"/>
      <c r="S686"/>
      <c r="T686"/>
      <c r="U686"/>
      <c r="X686"/>
      <c r="AB686"/>
      <c r="AC686"/>
      <c r="AF686" s="361">
        <f>IF(AND(S.Notice.Involved="Y",S.Hearing.1stInvolve="Y",S.Hearing.8thtInvolve="Y"),1,0)</f>
        <v>0</v>
      </c>
      <c r="AG686" s="58"/>
      <c r="AH686" s="58"/>
      <c r="AI686" s="58"/>
      <c r="AJ686" s="44"/>
      <c r="AK686" s="58" t="s">
        <v>0</v>
      </c>
      <c r="AL686" s="76"/>
    </row>
    <row r="687" spans="1:39" s="23" customFormat="1" ht="14.1" customHeight="1" outlineLevel="1" collapsed="1">
      <c r="A687" s="145"/>
      <c r="B687" s="208" t="str">
        <f>AK687</f>
        <v>Brian, for comments not received through online form:</v>
      </c>
      <c r="C687" s="306"/>
      <c r="D687" s="283"/>
      <c r="E687" s="283"/>
      <c r="F687" s="255">
        <f t="shared" ref="F687" si="129">NETWORKDAYS(G687,H687,S.DDL_DEQClosed)</f>
        <v>40</v>
      </c>
      <c r="G687" s="299">
        <f t="shared" ref="G687" si="130">AG687</f>
        <v>41899</v>
      </c>
      <c r="H687" s="299">
        <f t="shared" ref="H687" si="131">AH687</f>
        <v>41955</v>
      </c>
      <c r="I687" s="745"/>
      <c r="J687"/>
      <c r="K687"/>
      <c r="L687"/>
      <c r="M687"/>
      <c r="N687"/>
      <c r="O687"/>
      <c r="P687"/>
      <c r="Q687"/>
      <c r="R687"/>
      <c r="S687"/>
      <c r="T687"/>
      <c r="U687"/>
      <c r="X687"/>
      <c r="AB687"/>
      <c r="AC687"/>
      <c r="AF687" s="361">
        <f>IF(S.Notice.Involved="Y",1,0)</f>
        <v>1</v>
      </c>
      <c r="AG687" s="60">
        <f>IF(AF687=0,,S.Notice.LastHearingDate)</f>
        <v>41899</v>
      </c>
      <c r="AH687" s="60">
        <f>S.Hearing.BANNER.End</f>
        <v>41955</v>
      </c>
      <c r="AI687" s="59"/>
      <c r="AJ687" s="59"/>
      <c r="AK687" s="67" t="str">
        <f>S.Staff.Support&amp;", for comments not received through online form:"</f>
        <v>Brian, for comments not received through online form:</v>
      </c>
      <c r="AL687" s="76"/>
    </row>
    <row r="688" spans="1:39" s="23" customFormat="1" ht="14.1" customHeight="1" outlineLevel="1">
      <c r="A688" s="145"/>
      <c r="B688" s="424" t="s">
        <v>226</v>
      </c>
      <c r="C688" s="545" t="s">
        <v>0</v>
      </c>
      <c r="D688" s="283"/>
      <c r="E688" s="750"/>
      <c r="F688"/>
      <c r="G688"/>
      <c r="H688"/>
      <c r="I688" s="745"/>
      <c r="J688"/>
      <c r="K688"/>
      <c r="L688"/>
      <c r="M688"/>
      <c r="N688"/>
      <c r="O688"/>
      <c r="P688"/>
      <c r="Q688"/>
      <c r="R688"/>
      <c r="S688"/>
      <c r="T688"/>
      <c r="U688"/>
      <c r="X688"/>
      <c r="AB688"/>
      <c r="AC688"/>
      <c r="AF688" s="361">
        <f>IF(AND(S.Notice.Involved="Y",S.Hearing.1stInvolve="Y"),1,0)</f>
        <v>1</v>
      </c>
      <c r="AG688" s="59"/>
      <c r="AH688" s="59"/>
      <c r="AI688" s="59"/>
      <c r="AJ688" s="61"/>
      <c r="AK688" s="159"/>
      <c r="AL688" s="76"/>
    </row>
    <row r="689" spans="1:39" s="23" customFormat="1" ht="14.1" customHeight="1" outlineLevel="1">
      <c r="A689" s="145"/>
      <c r="B689" s="269" t="s">
        <v>130</v>
      </c>
      <c r="C689" s="545" t="s">
        <v>0</v>
      </c>
      <c r="D689" s="283"/>
      <c r="E689" s="750"/>
      <c r="F689"/>
      <c r="G689"/>
      <c r="H689"/>
      <c r="I689" s="745"/>
      <c r="J689"/>
      <c r="K689"/>
      <c r="L689"/>
      <c r="M689"/>
      <c r="N689"/>
      <c r="O689"/>
      <c r="P689"/>
      <c r="Q689"/>
      <c r="R689"/>
      <c r="S689"/>
      <c r="T689"/>
      <c r="U689"/>
      <c r="X689"/>
      <c r="AB689"/>
      <c r="AC689"/>
      <c r="AF689" s="361">
        <f>IF(AND(S.Notice.Involved="Y",S.Hearing.1stInvolve="Y"),1,0)</f>
        <v>1</v>
      </c>
      <c r="AG689" s="59"/>
      <c r="AH689" s="59"/>
      <c r="AI689" s="59"/>
      <c r="AJ689" s="61"/>
      <c r="AK689" s="159"/>
      <c r="AL689" s="76"/>
    </row>
    <row r="690" spans="1:39" ht="14.1" customHeight="1" outlineLevel="1">
      <c r="A690" s="145"/>
      <c r="B690" s="425" t="s">
        <v>227</v>
      </c>
      <c r="C690" s="545" t="s">
        <v>0</v>
      </c>
      <c r="D690" s="283"/>
      <c r="E690" s="750"/>
      <c r="F690"/>
      <c r="G690"/>
      <c r="H690"/>
      <c r="I690" s="745"/>
      <c r="AF690" s="361">
        <f>IF(S.Notice.Involved="Y",1,0)</f>
        <v>1</v>
      </c>
      <c r="AG690" s="59"/>
      <c r="AH690" s="59"/>
      <c r="AI690" s="59"/>
      <c r="AJ690" s="61"/>
      <c r="AK690" s="159"/>
      <c r="AL690" s="76"/>
      <c r="AM690"/>
    </row>
    <row r="691" spans="1:39" ht="14.1" customHeight="1" outlineLevel="1">
      <c r="A691" s="145"/>
      <c r="B691" s="873" t="s">
        <v>0</v>
      </c>
      <c r="C691" s="873"/>
      <c r="D691" s="1036" t="s">
        <v>714</v>
      </c>
      <c r="E691" s="1036"/>
      <c r="F691" s="1036"/>
      <c r="G691" s="1037"/>
      <c r="H691" s="388">
        <f>AH691</f>
        <v>41904</v>
      </c>
      <c r="I691" s="745"/>
      <c r="AF691" s="361">
        <f>IF(S.Notice.Involved="Y",1,0)</f>
        <v>1</v>
      </c>
      <c r="AG691" s="59"/>
      <c r="AH691" s="60">
        <f>S.Notice.CloseComment</f>
        <v>41904</v>
      </c>
      <c r="AI691" s="59"/>
      <c r="AJ691" s="61"/>
      <c r="AK691" s="44"/>
      <c r="AL691" s="76"/>
      <c r="AM691"/>
    </row>
    <row r="692" spans="1:39" s="23" customFormat="1" ht="14.1" customHeight="1" outlineLevel="1">
      <c r="A692" s="145"/>
      <c r="B692" s="290" t="str">
        <f>AK692</f>
        <v>Brian:</v>
      </c>
      <c r="C692" s="258"/>
      <c r="D692" s="283"/>
      <c r="E692"/>
      <c r="F692" s="255">
        <f>NETWORKDAYS(G692,H692,S.DDL_DEQClosed)</f>
        <v>4</v>
      </c>
      <c r="G692" s="299">
        <f>AG692</f>
        <v>41899</v>
      </c>
      <c r="H692" s="299">
        <f>AH692</f>
        <v>41904</v>
      </c>
      <c r="I692" s="745"/>
      <c r="J692"/>
      <c r="K692"/>
      <c r="L692"/>
      <c r="M692"/>
      <c r="N692"/>
      <c r="O692"/>
      <c r="P692"/>
      <c r="Q692"/>
      <c r="R692"/>
      <c r="S692"/>
      <c r="T692"/>
      <c r="U692"/>
      <c r="X692"/>
      <c r="AB692"/>
      <c r="AC692"/>
      <c r="AF692" s="361">
        <f>IF(S.Notice.Involved="Y",1,0)</f>
        <v>1</v>
      </c>
      <c r="AG692" s="60">
        <f>IF(AF692=0,,S.Notice.LastHearingDate)</f>
        <v>41899</v>
      </c>
      <c r="AH692" s="60">
        <f>S.Notice.CloseComment</f>
        <v>41904</v>
      </c>
      <c r="AI692" s="59"/>
      <c r="AJ692" s="59"/>
      <c r="AK692" s="67" t="str">
        <f>S.Staff.Subject.Expert.FirstName&amp;":"</f>
        <v>Brian:</v>
      </c>
      <c r="AL692" s="76"/>
    </row>
    <row r="693" spans="1:39" ht="14.1" customHeight="1" outlineLevel="1">
      <c r="A693" s="145"/>
      <c r="B693" s="269" t="s">
        <v>177</v>
      </c>
      <c r="C693" s="545" t="s">
        <v>0</v>
      </c>
      <c r="D693" s="283"/>
      <c r="E693" s="750"/>
      <c r="F693"/>
      <c r="G693"/>
      <c r="H693"/>
      <c r="I693" s="745"/>
      <c r="AF693" s="361">
        <f>IF(AND(S.Notice.Involved="Y",S.Hearing.1stInvolve="Y"),1,0)</f>
        <v>1</v>
      </c>
      <c r="AG693" s="58"/>
      <c r="AH693" s="58"/>
      <c r="AI693" s="59"/>
      <c r="AJ693" s="61"/>
      <c r="AK693" s="44"/>
      <c r="AL693" s="76"/>
      <c r="AM693"/>
    </row>
    <row r="694" spans="1:39" s="23" customFormat="1" ht="14.1" customHeight="1" outlineLevel="1">
      <c r="A694" s="145"/>
      <c r="B694" s="269" t="s">
        <v>178</v>
      </c>
      <c r="C694" s="306"/>
      <c r="D694" s="718"/>
      <c r="E694" s="718"/>
      <c r="F694"/>
      <c r="G694"/>
      <c r="H694"/>
      <c r="I694" s="745"/>
      <c r="J694"/>
      <c r="K694"/>
      <c r="L694"/>
      <c r="M694"/>
      <c r="N694"/>
      <c r="O694"/>
      <c r="P694"/>
      <c r="Q694"/>
      <c r="R694"/>
      <c r="S694"/>
      <c r="T694"/>
      <c r="U694"/>
      <c r="X694"/>
      <c r="AB694"/>
      <c r="AC694"/>
      <c r="AF694" s="361">
        <f>IF(S.Notice.Involved="Y",1,0)</f>
        <v>1</v>
      </c>
      <c r="AG694" s="58"/>
      <c r="AH694" s="58"/>
      <c r="AI694" s="59"/>
      <c r="AJ694" s="59"/>
      <c r="AK694" s="44"/>
      <c r="AL694" s="76"/>
    </row>
    <row r="695" spans="1:39" s="23" customFormat="1" ht="14.1" customHeight="1" outlineLevel="1">
      <c r="A695" s="145"/>
      <c r="B695" s="426" t="s">
        <v>174</v>
      </c>
      <c r="C695" s="545" t="s">
        <v>0</v>
      </c>
      <c r="D695" s="283"/>
      <c r="E695" s="750"/>
      <c r="F695"/>
      <c r="G695"/>
      <c r="H695"/>
      <c r="I695" s="745"/>
      <c r="J695"/>
      <c r="K695"/>
      <c r="L695"/>
      <c r="M695"/>
      <c r="N695"/>
      <c r="O695"/>
      <c r="P695"/>
      <c r="Q695"/>
      <c r="R695"/>
      <c r="S695"/>
      <c r="T695"/>
      <c r="U695"/>
      <c r="X695"/>
      <c r="AB695"/>
      <c r="AC695"/>
      <c r="AF695" s="361">
        <f>IF(AND(S.Notice.Involved="Y",S.Hearing.1stInvolve="Y"),1,0)</f>
        <v>1</v>
      </c>
      <c r="AG695" s="58"/>
      <c r="AH695" s="58"/>
      <c r="AI695" s="59"/>
      <c r="AJ695" s="61"/>
      <c r="AK695" s="44"/>
      <c r="AL695" s="76"/>
    </row>
    <row r="696" spans="1:39" s="23" customFormat="1" ht="14.1" customHeight="1" outlineLevel="1">
      <c r="A696" s="145"/>
      <c r="B696" s="427" t="s">
        <v>175</v>
      </c>
      <c r="C696" s="545" t="s">
        <v>0</v>
      </c>
      <c r="D696" s="283"/>
      <c r="E696" s="750"/>
      <c r="F696"/>
      <c r="G696"/>
      <c r="H696"/>
      <c r="I696" s="745"/>
      <c r="J696"/>
      <c r="K696"/>
      <c r="L696"/>
      <c r="M696"/>
      <c r="N696"/>
      <c r="O696"/>
      <c r="P696"/>
      <c r="Q696"/>
      <c r="R696"/>
      <c r="S696"/>
      <c r="T696"/>
      <c r="U696"/>
      <c r="X696"/>
      <c r="AB696"/>
      <c r="AC696"/>
      <c r="AF696" s="361">
        <f>IF(AND(S.Notice.Involved="Y",S.Hearing.1stInvolve="Y"),1,0)</f>
        <v>1</v>
      </c>
      <c r="AG696" s="58"/>
      <c r="AH696" s="58"/>
      <c r="AI696" s="59"/>
      <c r="AJ696" s="61"/>
      <c r="AK696" s="44"/>
      <c r="AL696" s="76"/>
    </row>
    <row r="697" spans="1:39" s="23" customFormat="1" ht="14.1" customHeight="1" outlineLevel="1">
      <c r="A697" s="145"/>
      <c r="B697" s="428" t="s">
        <v>176</v>
      </c>
      <c r="C697" s="545" t="s">
        <v>0</v>
      </c>
      <c r="D697" s="283"/>
      <c r="E697" s="750"/>
      <c r="F697"/>
      <c r="G697"/>
      <c r="H697"/>
      <c r="I697" s="745"/>
      <c r="J697"/>
      <c r="K697"/>
      <c r="L697"/>
      <c r="M697"/>
      <c r="N697"/>
      <c r="O697"/>
      <c r="P697"/>
      <c r="Q697"/>
      <c r="R697"/>
      <c r="S697"/>
      <c r="T697"/>
      <c r="U697"/>
      <c r="X697"/>
      <c r="AB697"/>
      <c r="AC697"/>
      <c r="AF697" s="361">
        <f>IF(S.Notice.Involved="Y",1,0)</f>
        <v>1</v>
      </c>
      <c r="AG697" s="58"/>
      <c r="AH697" s="58"/>
      <c r="AI697" s="59"/>
      <c r="AJ697" s="62"/>
      <c r="AK697" s="44"/>
      <c r="AL697" s="76"/>
    </row>
    <row r="698" spans="1:39" ht="14.1" customHeight="1" outlineLevel="1">
      <c r="A698" s="145"/>
      <c r="B698" s="203" t="s">
        <v>268</v>
      </c>
      <c r="C698" s="545" t="s">
        <v>0</v>
      </c>
      <c r="D698" s="283"/>
      <c r="E698" s="750"/>
      <c r="F698"/>
      <c r="G698"/>
      <c r="H698"/>
      <c r="I698" s="745"/>
      <c r="AF698" s="361">
        <f>IF(S.Notice.Involved="Y",1,0)</f>
        <v>1</v>
      </c>
      <c r="AG698" s="58"/>
      <c r="AH698" s="58"/>
      <c r="AI698" s="59"/>
      <c r="AJ698" s="44"/>
      <c r="AK698" s="44"/>
      <c r="AL698" s="76"/>
      <c r="AM698"/>
    </row>
    <row r="699" spans="1:39" s="23" customFormat="1" ht="14.1" customHeight="1" outlineLevel="1">
      <c r="A699" s="145"/>
      <c r="B699" s="874" t="s">
        <v>783</v>
      </c>
      <c r="C699" s="542"/>
      <c r="D699" s="301"/>
      <c r="E699" s="301"/>
      <c r="F699" s="262"/>
      <c r="G699" s="300"/>
      <c r="H699" s="300"/>
      <c r="I699" s="745"/>
      <c r="J699"/>
      <c r="K699"/>
      <c r="L699"/>
      <c r="M699"/>
      <c r="N699"/>
      <c r="O699"/>
      <c r="P699"/>
      <c r="Q699"/>
      <c r="R699"/>
      <c r="S699"/>
      <c r="T699"/>
      <c r="U699"/>
      <c r="X699"/>
      <c r="AB699"/>
      <c r="AC699"/>
      <c r="AF699" s="361" t="s">
        <v>230</v>
      </c>
      <c r="AG699" s="58"/>
      <c r="AH699" s="58"/>
      <c r="AI699" s="59"/>
      <c r="AJ699" s="59"/>
      <c r="AK699" s="44"/>
      <c r="AL699" s="76"/>
    </row>
    <row r="700" spans="1:39" s="23" customFormat="1" ht="14.1" customHeight="1" outlineLevel="1">
      <c r="A700" s="145"/>
      <c r="B700" s="529" t="str">
        <f>AK700</f>
        <v>Brian asks Maggie for Rule Publication work</v>
      </c>
      <c r="C700" s="980" t="s">
        <v>49</v>
      </c>
      <c r="D700" s="283"/>
      <c r="E700" s="892"/>
      <c r="F700" s="875" t="s">
        <v>0</v>
      </c>
      <c r="G700" s="876"/>
      <c r="H700" s="299">
        <f t="shared" ref="H700" si="132">AH700</f>
        <v>41905</v>
      </c>
      <c r="I700" s="745"/>
      <c r="J700"/>
      <c r="K700"/>
      <c r="L700"/>
      <c r="M700"/>
      <c r="N700"/>
      <c r="O700"/>
      <c r="P700"/>
      <c r="Q700"/>
      <c r="R700"/>
      <c r="S700"/>
      <c r="T700"/>
      <c r="U700"/>
      <c r="X700"/>
      <c r="AB700"/>
      <c r="AC700"/>
      <c r="AF700" s="361">
        <f t="shared" ref="AF700:AF708" si="133">IF(S.Notice.Involved="Y",1,0)</f>
        <v>1</v>
      </c>
      <c r="AG700" s="58"/>
      <c r="AH700" s="60">
        <f>WORKDAY(H692,1,S.DDL_DEQClosed)</f>
        <v>41905</v>
      </c>
      <c r="AI700" s="59"/>
      <c r="AJ700" s="59"/>
      <c r="AK700" s="67" t="str">
        <f>S.Staff.Subject.Expert.FirstName&amp;" asks "&amp;S.Staff.AgencyRulesCoordinator&amp;" for Rule Publication work"</f>
        <v>Brian asks Maggie for Rule Publication work</v>
      </c>
      <c r="AL700" s="76"/>
    </row>
    <row r="701" spans="1:39" s="23" customFormat="1" ht="14.1" customHeight="1" outlineLevel="1">
      <c r="A701" s="145" t="s">
        <v>0</v>
      </c>
      <c r="B701" s="529" t="str">
        <f>AK701</f>
        <v>Maggie coordinates Rule Publication work:</v>
      </c>
      <c r="C701" s="321"/>
      <c r="D701" s="283"/>
      <c r="E701" s="750"/>
      <c r="F701"/>
      <c r="G701" s="489">
        <f t="shared" ref="G701" si="134">AG701</f>
        <v>41905</v>
      </c>
      <c r="H701" s="489">
        <f t="shared" ref="H701" si="135">AH701</f>
        <v>41905</v>
      </c>
      <c r="I701" s="745"/>
      <c r="J701"/>
      <c r="K701"/>
      <c r="L701"/>
      <c r="M701"/>
      <c r="N701"/>
      <c r="O701"/>
      <c r="P701"/>
      <c r="Q701"/>
      <c r="R701"/>
      <c r="S701"/>
      <c r="T701"/>
      <c r="U701"/>
      <c r="X701"/>
      <c r="AB701"/>
      <c r="AC701"/>
      <c r="AF701" s="361">
        <f t="shared" si="133"/>
        <v>1</v>
      </c>
      <c r="AG701" s="60">
        <f>IF(AF701=0,,H700)</f>
        <v>41905</v>
      </c>
      <c r="AH701" s="60">
        <f>G701</f>
        <v>41905</v>
      </c>
      <c r="AI701" s="59"/>
      <c r="AJ701" s="59"/>
      <c r="AK701" s="67" t="str">
        <f>S.Staff.AgencyRulesCoordinator&amp;" coordinates Rule Publication work:"</f>
        <v>Maggie coordinates Rule Publication work:</v>
      </c>
      <c r="AL701" s="76"/>
    </row>
    <row r="702" spans="1:39" s="23" customFormat="1" ht="14.1" customHeight="1" outlineLevel="1">
      <c r="A702" s="145"/>
      <c r="B702" s="298" t="s">
        <v>270</v>
      </c>
      <c r="C702" s="545" t="s">
        <v>0</v>
      </c>
      <c r="D702" s="705"/>
      <c r="E702" s="705"/>
      <c r="F702"/>
      <c r="I702" s="745"/>
      <c r="J702"/>
      <c r="K702"/>
      <c r="L702"/>
      <c r="M702"/>
      <c r="N702"/>
      <c r="O702"/>
      <c r="P702"/>
      <c r="Q702"/>
      <c r="R702"/>
      <c r="S702"/>
      <c r="T702"/>
      <c r="U702"/>
      <c r="X702"/>
      <c r="AB702"/>
      <c r="AC702"/>
      <c r="AF702" s="361">
        <f t="shared" si="133"/>
        <v>1</v>
      </c>
      <c r="AG702" s="59"/>
      <c r="AH702" s="59"/>
      <c r="AI702" s="59"/>
      <c r="AJ702" s="59"/>
      <c r="AK702" s="74"/>
      <c r="AL702" s="76"/>
    </row>
    <row r="703" spans="1:39" s="23" customFormat="1" ht="14.1" customHeight="1" outlineLevel="1">
      <c r="A703" s="145"/>
      <c r="B703" s="530" t="s">
        <v>269</v>
      </c>
      <c r="C703" s="545" t="s">
        <v>0</v>
      </c>
      <c r="D703" s="705"/>
      <c r="E703" s="705"/>
      <c r="F703"/>
      <c r="I703" s="745"/>
      <c r="J703"/>
      <c r="K703"/>
      <c r="L703"/>
      <c r="M703"/>
      <c r="N703"/>
      <c r="O703"/>
      <c r="P703"/>
      <c r="Q703"/>
      <c r="R703"/>
      <c r="S703"/>
      <c r="T703"/>
      <c r="U703"/>
      <c r="X703"/>
      <c r="AB703"/>
      <c r="AC703"/>
      <c r="AF703" s="361">
        <f t="shared" si="133"/>
        <v>1</v>
      </c>
      <c r="AG703" s="59"/>
      <c r="AH703" s="59"/>
      <c r="AI703" s="59"/>
      <c r="AJ703" s="59"/>
      <c r="AK703" s="74"/>
      <c r="AL703" s="76"/>
    </row>
    <row r="704" spans="1:39" s="23" customFormat="1" ht="14.1" customHeight="1" outlineLevel="1">
      <c r="A704" s="145" t="s">
        <v>0</v>
      </c>
      <c r="B704" s="531" t="str">
        <f>AK704</f>
        <v>* contacts Brian with questions, clarifications and suggestions</v>
      </c>
      <c r="C704" s="545" t="s">
        <v>0</v>
      </c>
      <c r="D704" s="705"/>
      <c r="E704" s="705"/>
      <c r="F704"/>
      <c r="I704" s="745"/>
      <c r="J704"/>
      <c r="K704"/>
      <c r="L704"/>
      <c r="M704"/>
      <c r="N704"/>
      <c r="O704"/>
      <c r="P704"/>
      <c r="Q704"/>
      <c r="R704"/>
      <c r="S704"/>
      <c r="T704"/>
      <c r="U704"/>
      <c r="X704"/>
      <c r="AB704"/>
      <c r="AC704"/>
      <c r="AF704" s="361">
        <f t="shared" si="133"/>
        <v>1</v>
      </c>
      <c r="AG704" s="59"/>
      <c r="AH704" s="59"/>
      <c r="AI704" s="59"/>
      <c r="AJ704" s="59"/>
      <c r="AK704" s="182" t="str">
        <f>"* contacts "&amp;S.Staff.Subject.Expert.FirstName&amp;" with questions, clarifications and suggestions"</f>
        <v>* contacts Brian with questions, clarifications and suggestions</v>
      </c>
      <c r="AL704" s="76"/>
    </row>
    <row r="705" spans="1:39" s="23" customFormat="1" ht="14.1" customHeight="1" outlineLevel="1">
      <c r="A705" s="145" t="s">
        <v>0</v>
      </c>
      <c r="B705" s="531" t="str">
        <f>AK705</f>
        <v>* notifies Brian when complete</v>
      </c>
      <c r="C705" s="545" t="s">
        <v>0</v>
      </c>
      <c r="D705" s="705"/>
      <c r="E705" s="705"/>
      <c r="F705"/>
      <c r="I705" s="745"/>
      <c r="J705"/>
      <c r="K705"/>
      <c r="L705"/>
      <c r="M705"/>
      <c r="N705"/>
      <c r="O705"/>
      <c r="P705"/>
      <c r="Q705"/>
      <c r="R705"/>
      <c r="S705"/>
      <c r="T705"/>
      <c r="U705"/>
      <c r="X705"/>
      <c r="AB705"/>
      <c r="AC705"/>
      <c r="AF705" s="361">
        <f t="shared" si="133"/>
        <v>1</v>
      </c>
      <c r="AG705" s="59"/>
      <c r="AH705" s="59"/>
      <c r="AI705" s="59"/>
      <c r="AJ705" s="59"/>
      <c r="AK705" s="182" t="str">
        <f>"* notifies "&amp;S.Staff.Subject.Expert.FirstName&amp;" when complete"</f>
        <v>* notifies Brian when complete</v>
      </c>
      <c r="AL705" s="76"/>
    </row>
    <row r="706" spans="1:39" s="23" customFormat="1" ht="14.1" customHeight="1" outlineLevel="1">
      <c r="A706" s="145"/>
      <c r="B706" s="267" t="str">
        <f>AK706</f>
        <v>Brian:</v>
      </c>
      <c r="C706" s="268"/>
      <c r="D706" s="268"/>
      <c r="E706" s="268"/>
      <c r="F706"/>
      <c r="G706" s="258"/>
      <c r="H706" s="258"/>
      <c r="I706" s="745"/>
      <c r="J706"/>
      <c r="K706"/>
      <c r="L706"/>
      <c r="M706"/>
      <c r="N706"/>
      <c r="O706"/>
      <c r="P706"/>
      <c r="Q706"/>
      <c r="R706"/>
      <c r="S706"/>
      <c r="T706"/>
      <c r="U706"/>
      <c r="X706"/>
      <c r="AB706"/>
      <c r="AC706"/>
      <c r="AF706" s="361">
        <f t="shared" si="133"/>
        <v>1</v>
      </c>
      <c r="AG706" s="58"/>
      <c r="AH706" s="58"/>
      <c r="AI706" s="58"/>
      <c r="AJ706" s="44"/>
      <c r="AK706" s="182" t="str">
        <f>S.Staff.Subject.Expert.FirstName&amp;":"</f>
        <v>Brian:</v>
      </c>
      <c r="AL706" s="76"/>
    </row>
    <row r="707" spans="1:39" s="23" customFormat="1" ht="14.1" customHeight="1" outlineLevel="1">
      <c r="A707" s="145"/>
      <c r="B707" s="269" t="str">
        <f>AK707</f>
        <v>* shares comments/responses to comments with DavidC &amp; Uri</v>
      </c>
      <c r="C707" s="268"/>
      <c r="D707" s="283"/>
      <c r="E707" s="750"/>
      <c r="F707"/>
      <c r="G707" s="258"/>
      <c r="H707" s="299">
        <f t="shared" ref="H707:H711" si="136">AH707</f>
        <v>41905</v>
      </c>
      <c r="I707" s="745"/>
      <c r="J707"/>
      <c r="K707"/>
      <c r="L707"/>
      <c r="M707"/>
      <c r="N707"/>
      <c r="O707"/>
      <c r="P707"/>
      <c r="Q707"/>
      <c r="R707"/>
      <c r="S707"/>
      <c r="T707"/>
      <c r="U707"/>
      <c r="X707"/>
      <c r="AB707"/>
      <c r="AC707"/>
      <c r="AF707" s="361">
        <f t="shared" si="133"/>
        <v>1</v>
      </c>
      <c r="AG707" s="58"/>
      <c r="AH707" s="60">
        <f>H701</f>
        <v>41905</v>
      </c>
      <c r="AI707" s="58"/>
      <c r="AJ707" s="44"/>
      <c r="AK707" s="182" t="str">
        <f>"* shares comments/responses to comments with "&amp;S.Staff.Program.Mgr.FirstName&amp;" &amp; "&amp;S.Staff.Assistant.DA.ShortName</f>
        <v>* shares comments/responses to comments with DavidC &amp; Uri</v>
      </c>
      <c r="AL707" s="76"/>
    </row>
    <row r="708" spans="1:39" ht="14.1" customHeight="1" outlineLevel="1" thickBot="1">
      <c r="A708" s="145"/>
      <c r="B708" s="488" t="s">
        <v>271</v>
      </c>
      <c r="C708" s="542"/>
      <c r="D708" s="283"/>
      <c r="E708" s="750"/>
      <c r="F708"/>
      <c r="G708" s="299">
        <f t="shared" ref="G708:G711" si="137">AG708</f>
        <v>41905</v>
      </c>
      <c r="H708" s="299">
        <f t="shared" si="136"/>
        <v>41905</v>
      </c>
      <c r="I708" s="745"/>
      <c r="AF708" s="361">
        <f t="shared" si="133"/>
        <v>1</v>
      </c>
      <c r="AG708" s="60">
        <f>IF(AF708=0,,H707)</f>
        <v>41905</v>
      </c>
      <c r="AH708" s="60">
        <f t="shared" ref="AH708:AH711" si="138">G708</f>
        <v>41905</v>
      </c>
      <c r="AI708" s="59"/>
      <c r="AJ708" s="44"/>
      <c r="AK708" s="44"/>
      <c r="AL708" s="76"/>
      <c r="AM708"/>
    </row>
    <row r="709" spans="1:39" ht="14.1" customHeight="1" outlineLevel="1" thickBot="1">
      <c r="A709" s="145"/>
      <c r="B709" s="485" t="s">
        <v>272</v>
      </c>
      <c r="C709" s="481" t="s">
        <v>206</v>
      </c>
      <c r="D709" s="283"/>
      <c r="E709" s="750"/>
      <c r="F709"/>
      <c r="G709" s="299">
        <f t="shared" si="137"/>
        <v>0</v>
      </c>
      <c r="H709" s="299">
        <f t="shared" si="136"/>
        <v>0</v>
      </c>
      <c r="I709" s="745"/>
      <c r="AF709" s="361">
        <f>IF(AND(S.Comment.ApproveResponseLoop2="Y",S.Notice.Involved="Y"),1,)</f>
        <v>0</v>
      </c>
      <c r="AG709" s="60">
        <f>IF(AF709=0,,H708)</f>
        <v>0</v>
      </c>
      <c r="AH709" s="60">
        <f t="shared" si="138"/>
        <v>0</v>
      </c>
      <c r="AI709" s="59"/>
      <c r="AJ709" s="44"/>
      <c r="AK709" s="44"/>
      <c r="AL709" s="76"/>
      <c r="AM709"/>
    </row>
    <row r="710" spans="1:39" ht="14.1" customHeight="1" outlineLevel="1" thickBot="1">
      <c r="A710" s="145"/>
      <c r="B710" s="486" t="s">
        <v>273</v>
      </c>
      <c r="C710" s="481" t="s">
        <v>206</v>
      </c>
      <c r="D710" s="283"/>
      <c r="E710" s="750"/>
      <c r="F710"/>
      <c r="G710" s="299">
        <f t="shared" si="137"/>
        <v>0</v>
      </c>
      <c r="H710" s="299">
        <f t="shared" si="136"/>
        <v>0</v>
      </c>
      <c r="I710" s="745"/>
      <c r="AF710" s="361">
        <f>IF(AND(S.Comment.ApproveResponseLoop3="Y",S.Notice.Involved="Y"),1,)</f>
        <v>0</v>
      </c>
      <c r="AG710" s="60">
        <f>IF(AF710=0,,H709)</f>
        <v>0</v>
      </c>
      <c r="AH710" s="60">
        <f t="shared" si="138"/>
        <v>0</v>
      </c>
      <c r="AI710" s="59"/>
      <c r="AJ710" s="44"/>
      <c r="AK710" s="44"/>
      <c r="AL710" s="76"/>
      <c r="AM710"/>
    </row>
    <row r="711" spans="1:39" ht="14.1" customHeight="1" outlineLevel="1" thickBot="1">
      <c r="A711" s="145"/>
      <c r="B711" s="487" t="s">
        <v>274</v>
      </c>
      <c r="C711" s="481" t="s">
        <v>206</v>
      </c>
      <c r="D711" s="283"/>
      <c r="E711" s="750"/>
      <c r="F711"/>
      <c r="G711" s="299">
        <f t="shared" si="137"/>
        <v>0</v>
      </c>
      <c r="H711" s="299">
        <f t="shared" si="136"/>
        <v>0</v>
      </c>
      <c r="I711" s="745"/>
      <c r="AF711" s="361">
        <f>IF(AND(S.Comment.ApproveResponseLoop4="Y",S.Notice.Involved="Y"),1,)</f>
        <v>0</v>
      </c>
      <c r="AG711" s="60">
        <f>IF(AF711=0,,H710)</f>
        <v>0</v>
      </c>
      <c r="AH711" s="60">
        <f t="shared" si="138"/>
        <v>0</v>
      </c>
      <c r="AI711" s="59"/>
      <c r="AJ711" s="44"/>
      <c r="AK711" s="44"/>
      <c r="AL711" s="76"/>
      <c r="AM711"/>
    </row>
    <row r="712" spans="1:39" s="23" customFormat="1" ht="14.1" customHeight="1" outlineLevel="1">
      <c r="A712" s="145"/>
      <c r="B712" s="290" t="str">
        <f>AK712</f>
        <v>Brian:</v>
      </c>
      <c r="C712" s="258"/>
      <c r="D712" s="325"/>
      <c r="E712" s="325"/>
      <c r="F712"/>
      <c r="G712" s="258"/>
      <c r="H712" s="476"/>
      <c r="I712" s="745"/>
      <c r="J712"/>
      <c r="K712"/>
      <c r="L712"/>
      <c r="M712"/>
      <c r="N712"/>
      <c r="O712"/>
      <c r="P712"/>
      <c r="Q712"/>
      <c r="R712"/>
      <c r="S712"/>
      <c r="T712"/>
      <c r="U712"/>
      <c r="X712"/>
      <c r="AB712"/>
      <c r="AC712"/>
      <c r="AF712" s="361">
        <f>IF(S.Notice.Involved="Y",1,0)</f>
        <v>1</v>
      </c>
      <c r="AG712" s="58"/>
      <c r="AH712" s="58"/>
      <c r="AI712" s="59"/>
      <c r="AJ712" s="59"/>
      <c r="AK712" s="67" t="str">
        <f>S.Staff.Subject.Expert.FirstName&amp;":"</f>
        <v>Brian:</v>
      </c>
      <c r="AL712" s="76"/>
    </row>
    <row r="713" spans="1:39" s="172" customFormat="1" ht="14.1" customHeight="1" outlineLevel="1">
      <c r="A713" s="389"/>
      <c r="B713" s="269" t="s">
        <v>275</v>
      </c>
      <c r="C713" s="509" t="str">
        <f>HYPERLINK("\\deqhq1\Rule_Development\Currrent Plan","i")</f>
        <v>i</v>
      </c>
      <c r="D713" s="292"/>
      <c r="E713" s="750"/>
      <c r="F713"/>
      <c r="G713" s="258"/>
      <c r="H713" s="436">
        <f>AH713</f>
        <v>41905</v>
      </c>
      <c r="I713" s="745"/>
      <c r="J713"/>
      <c r="K713"/>
      <c r="L713"/>
      <c r="M713"/>
      <c r="N713"/>
      <c r="O713"/>
      <c r="P713"/>
      <c r="Q713"/>
      <c r="R713"/>
      <c r="S713"/>
      <c r="T713"/>
      <c r="U713"/>
      <c r="V713" s="23"/>
      <c r="W713" s="23"/>
      <c r="X713"/>
      <c r="Y713" s="23"/>
      <c r="Z713" s="23"/>
      <c r="AA713" s="23"/>
      <c r="AB713"/>
      <c r="AC713"/>
      <c r="AD713" s="23"/>
      <c r="AE713" s="23"/>
      <c r="AF713" s="390">
        <f>IF(S.Notice.Involved="Y",1,0)</f>
        <v>1</v>
      </c>
      <c r="AG713" s="58"/>
      <c r="AH713" s="60">
        <f>IF(AF713=0,,MAX(H707:H711))</f>
        <v>41905</v>
      </c>
      <c r="AI713" s="391"/>
      <c r="AJ713" s="391"/>
      <c r="AK713" s="58" t="s">
        <v>0</v>
      </c>
      <c r="AL713" s="76"/>
    </row>
    <row r="714" spans="1:39" s="23" customFormat="1" ht="14.1" customHeight="1" outlineLevel="1">
      <c r="A714" s="145"/>
      <c r="B714" s="269" t="s">
        <v>235</v>
      </c>
      <c r="C714" s="268"/>
      <c r="D714" s="278"/>
      <c r="E714" s="278"/>
      <c r="F714" s="262"/>
      <c r="G714" s="258"/>
      <c r="H714" s="258"/>
      <c r="I714" s="745"/>
      <c r="J714"/>
      <c r="K714"/>
      <c r="L714"/>
      <c r="M714"/>
      <c r="N714"/>
      <c r="O714"/>
      <c r="P714"/>
      <c r="Q714"/>
      <c r="R714"/>
      <c r="S714"/>
      <c r="T714"/>
      <c r="U714"/>
      <c r="X714"/>
      <c r="AB714"/>
      <c r="AC714"/>
      <c r="AF714" s="361">
        <f>IF(S.Notice.Involved="Y",1,0)</f>
        <v>1</v>
      </c>
      <c r="AG714" s="58"/>
      <c r="AH714" s="58"/>
      <c r="AI714" s="58"/>
      <c r="AJ714" s="44"/>
      <c r="AK714" s="58" t="s">
        <v>0</v>
      </c>
      <c r="AL714" s="76"/>
    </row>
    <row r="715" spans="1:39" ht="6" customHeight="1">
      <c r="A715" s="145"/>
      <c r="B715" s="81"/>
      <c r="C715" s="82"/>
      <c r="D715" s="692"/>
      <c r="E715" s="692"/>
      <c r="F715" s="83"/>
      <c r="G715" s="82"/>
      <c r="H715" s="82"/>
      <c r="I715" s="745"/>
      <c r="AF715" s="361" t="s">
        <v>20</v>
      </c>
      <c r="AG715" s="47"/>
      <c r="AH715" s="47"/>
      <c r="AI715" s="59"/>
      <c r="AJ715" s="44"/>
      <c r="AK715" s="44"/>
      <c r="AL715" s="76"/>
      <c r="AM715"/>
    </row>
    <row r="716" spans="1:39" s="23" customFormat="1" ht="20.25" customHeight="1">
      <c r="A716" s="145"/>
      <c r="B716" s="515" t="s">
        <v>171</v>
      </c>
      <c r="C716" s="532"/>
      <c r="D716" s="689"/>
      <c r="E716" s="868"/>
      <c r="F716" s="515"/>
      <c r="G716" s="515"/>
      <c r="H716" s="515"/>
      <c r="I716" s="745"/>
      <c r="J716"/>
      <c r="K716"/>
      <c r="L716"/>
      <c r="M716"/>
      <c r="N716"/>
      <c r="O716"/>
      <c r="P716"/>
      <c r="Q716"/>
      <c r="R716"/>
      <c r="S716"/>
      <c r="T716"/>
      <c r="U716"/>
      <c r="X716"/>
      <c r="AB716"/>
      <c r="AC716"/>
      <c r="AF716" s="361" t="s">
        <v>21</v>
      </c>
      <c r="AG716" s="76"/>
      <c r="AH716" s="76"/>
      <c r="AI716" s="59"/>
      <c r="AJ716" s="68"/>
      <c r="AK716" s="58"/>
      <c r="AL716" s="76"/>
    </row>
    <row r="717" spans="1:39" s="376" customFormat="1" ht="14.1" hidden="1" customHeight="1" outlineLevel="2">
      <c r="A717" s="373"/>
      <c r="B717" s="455" t="s">
        <v>0</v>
      </c>
      <c r="C717" s="374" t="s">
        <v>0</v>
      </c>
      <c r="D717" s="374"/>
      <c r="E717" s="374"/>
      <c r="F717" s="382"/>
      <c r="G717" s="375" t="s">
        <v>57</v>
      </c>
      <c r="H717" s="375" t="s">
        <v>172</v>
      </c>
      <c r="I717" s="745"/>
      <c r="J717"/>
      <c r="K717"/>
      <c r="L717"/>
      <c r="M717"/>
      <c r="N717"/>
      <c r="O717"/>
      <c r="P717"/>
      <c r="Q717"/>
      <c r="R717"/>
      <c r="S717"/>
      <c r="T717"/>
      <c r="U717"/>
      <c r="V717" s="23"/>
      <c r="W717" s="23"/>
      <c r="X717"/>
      <c r="Y717" s="23"/>
      <c r="Z717" s="23"/>
      <c r="AA717" s="23"/>
      <c r="AB717"/>
      <c r="AC717"/>
      <c r="AD717" s="23"/>
      <c r="AE717" s="23"/>
      <c r="AF717" s="378" t="s">
        <v>59</v>
      </c>
      <c r="AG717" s="377"/>
      <c r="AH717" s="377"/>
      <c r="AI717" s="379"/>
      <c r="AJ717" s="380"/>
      <c r="AK717" s="381"/>
      <c r="AL717" s="377"/>
    </row>
    <row r="718" spans="1:39" ht="14.1" hidden="1" customHeight="1" outlineLevel="2">
      <c r="A718" s="145"/>
      <c r="B718" s="113" t="s">
        <v>0</v>
      </c>
      <c r="C718" s="115"/>
      <c r="D718" s="114"/>
      <c r="E718" s="114"/>
      <c r="F718" s="125"/>
      <c r="G718" s="175">
        <f>AG718</f>
        <v>41866</v>
      </c>
      <c r="H718" s="126">
        <f>AH718</f>
        <v>41955</v>
      </c>
      <c r="I718" s="745"/>
      <c r="AF718" s="361" t="s">
        <v>59</v>
      </c>
      <c r="AG718" s="60">
        <f>S.EQC.BANNER.Begin</f>
        <v>41866</v>
      </c>
      <c r="AH718" s="60">
        <f>S.EQC.BANNER.End</f>
        <v>41955</v>
      </c>
      <c r="AI718" s="59"/>
      <c r="AJ718" s="44"/>
      <c r="AK718" s="44"/>
      <c r="AL718" s="76"/>
      <c r="AM718"/>
    </row>
    <row r="719" spans="1:39" ht="6" hidden="1" customHeight="1" outlineLevel="2">
      <c r="A719" s="145"/>
      <c r="B719" s="106"/>
      <c r="C719" s="98"/>
      <c r="D719" s="691"/>
      <c r="E719" s="691"/>
      <c r="F719" s="99"/>
      <c r="G719" s="98"/>
      <c r="H719" s="98"/>
      <c r="I719" s="745"/>
      <c r="AF719" s="361" t="s">
        <v>16</v>
      </c>
      <c r="AG719" s="47"/>
      <c r="AH719" s="47"/>
      <c r="AI719" s="59"/>
      <c r="AJ719" s="44"/>
      <c r="AK719" s="44"/>
      <c r="AL719" s="76"/>
      <c r="AM719"/>
    </row>
    <row r="720" spans="1:39" s="23" customFormat="1" ht="14.1" hidden="1" customHeight="1" outlineLevel="2">
      <c r="A720" s="145"/>
      <c r="B720" s="538" t="s">
        <v>307</v>
      </c>
      <c r="C720" s="512" t="str">
        <f>HYPERLINK("\\deqhq1\Rule_Resources\i\0-VersionHistory.pdf","i")</f>
        <v>i</v>
      </c>
      <c r="D720" s="692"/>
      <c r="E720" s="692"/>
      <c r="F720" s="83"/>
      <c r="G720" s="82"/>
      <c r="H720" s="82"/>
      <c r="I720" s="745"/>
      <c r="J720"/>
      <c r="K720"/>
      <c r="L720"/>
      <c r="M720"/>
      <c r="N720"/>
      <c r="O720"/>
      <c r="P720"/>
      <c r="Q720"/>
      <c r="R720"/>
      <c r="S720"/>
      <c r="T720"/>
      <c r="U720"/>
      <c r="X720"/>
      <c r="AB720"/>
      <c r="AC720"/>
      <c r="AF720" s="362" t="s">
        <v>20</v>
      </c>
      <c r="AG720" s="47"/>
      <c r="AH720" s="47"/>
      <c r="AI720" s="69"/>
      <c r="AJ720" s="69"/>
      <c r="AK720" s="35"/>
      <c r="AL720" s="76"/>
    </row>
    <row r="721" spans="1:39" s="23" customFormat="1" ht="14.1" hidden="1" customHeight="1" outlineLevel="2">
      <c r="A721" s="145" t="s">
        <v>0</v>
      </c>
      <c r="B721" s="285" t="str">
        <f>AK721</f>
        <v>Brian:</v>
      </c>
      <c r="C721" s="545" t="s">
        <v>0</v>
      </c>
      <c r="D721" s="719"/>
      <c r="E721" s="701"/>
      <c r="F721"/>
      <c r="G721"/>
      <c r="H721"/>
      <c r="I721" s="745"/>
      <c r="J721"/>
      <c r="K721"/>
      <c r="L721"/>
      <c r="M721"/>
      <c r="N721"/>
      <c r="O721"/>
      <c r="P721"/>
      <c r="Q721"/>
      <c r="R721"/>
      <c r="S721"/>
      <c r="T721"/>
      <c r="U721"/>
      <c r="X721"/>
      <c r="AB721"/>
      <c r="AC721"/>
      <c r="AF721" s="361">
        <v>1</v>
      </c>
      <c r="AG721" s="47"/>
      <c r="AH721" s="47"/>
      <c r="AI721" s="59"/>
      <c r="AJ721" s="44"/>
      <c r="AK721" s="67" t="str">
        <f>IF(AND(S.EQC.DirReport="N",S.EQC.InfoItem="N"),"No EQC involvement prior to Action Item meeting",S.Staff.Subject.Expert.FirstName&amp;":")</f>
        <v>Brian:</v>
      </c>
      <c r="AL721" s="76"/>
    </row>
    <row r="722" spans="1:39" s="23" customFormat="1" ht="14.1" hidden="1" customHeight="1" outlineLevel="2">
      <c r="A722" s="145" t="s">
        <v>0</v>
      </c>
      <c r="B722" s="289" t="str">
        <f>AK722</f>
        <v>* drafts content of Director's Report to EQC</v>
      </c>
      <c r="C722" s="550" t="s">
        <v>0</v>
      </c>
      <c r="D722" s="551"/>
      <c r="E722" s="551"/>
      <c r="F722"/>
      <c r="G722" s="291">
        <f t="shared" ref="G722:G723" si="139">AG722</f>
        <v>41866</v>
      </c>
      <c r="H722" s="291">
        <f t="shared" ref="H722:H723" si="140">AH722</f>
        <v>41955</v>
      </c>
      <c r="I722" s="745"/>
      <c r="J722"/>
      <c r="K722"/>
      <c r="L722"/>
      <c r="M722"/>
      <c r="N722"/>
      <c r="O722"/>
      <c r="P722"/>
      <c r="Q722"/>
      <c r="R722"/>
      <c r="S722"/>
      <c r="T722"/>
      <c r="U722"/>
      <c r="X722"/>
      <c r="AB722"/>
      <c r="AC722"/>
      <c r="AF722" s="361">
        <f>IF(S.EQC.DirReport="Y",1,0)</f>
        <v>1</v>
      </c>
      <c r="AG722" s="60">
        <f>IF(AF722=0,,S.EQC.BANNER.Begin)</f>
        <v>41866</v>
      </c>
      <c r="AH722" s="60">
        <f>IF(AF722=0,,S.EQC.SubmitStaffRpt)</f>
        <v>41955</v>
      </c>
      <c r="AI722" s="59"/>
      <c r="AJ722" s="44"/>
      <c r="AK722" s="67" t="str">
        <f>IF(S.EQC.DirReport="N","* no Director's Report","* drafts content of Director's Report to EQC")</f>
        <v>* drafts content of Director's Report to EQC</v>
      </c>
      <c r="AL722" s="76"/>
    </row>
    <row r="723" spans="1:39" s="23" customFormat="1" ht="14.1" hidden="1" customHeight="1" outlineLevel="2">
      <c r="A723" s="145"/>
      <c r="B723" s="289" t="str">
        <f>AK723</f>
        <v>* no EQC Information Item</v>
      </c>
      <c r="C723" s="510" t="str">
        <f>HYPERLINK("\\deqhq1\Rule_Resources\0.IndividualRulemaking\6-EQC Preparation\STAFF.RPT.InformationItem.docx","i")</f>
        <v>i</v>
      </c>
      <c r="D723" s="551"/>
      <c r="E723" s="551"/>
      <c r="F723"/>
      <c r="G723" s="291">
        <f t="shared" si="139"/>
        <v>0</v>
      </c>
      <c r="H723" s="291">
        <f t="shared" si="140"/>
        <v>0</v>
      </c>
      <c r="I723" s="745"/>
      <c r="J723"/>
      <c r="K723"/>
      <c r="L723"/>
      <c r="M723"/>
      <c r="N723"/>
      <c r="O723"/>
      <c r="P723"/>
      <c r="Q723"/>
      <c r="R723"/>
      <c r="S723"/>
      <c r="T723"/>
      <c r="U723"/>
      <c r="X723"/>
      <c r="AB723"/>
      <c r="AC723"/>
      <c r="AF723" s="361">
        <f>IF(S.EQC.InfoItem="Y",1,0)</f>
        <v>0</v>
      </c>
      <c r="AG723" s="60">
        <f>IF(AF723=0,,S.EQC.BANNER.Begin)</f>
        <v>0</v>
      </c>
      <c r="AH723" s="60">
        <f>IF(AF723=0,,S.EQC.SubmitStaffRpt)</f>
        <v>0</v>
      </c>
      <c r="AI723" s="59"/>
      <c r="AJ723" s="44"/>
      <c r="AK723" s="67" t="str">
        <f>IF(S.EQC.InfoItem="N","* no EQC Information Item","* drafts EQC Information  Item")</f>
        <v>* no EQC Information Item</v>
      </c>
      <c r="AL723" s="76"/>
    </row>
    <row r="724" spans="1:39" s="23" customFormat="1" ht="14.1" hidden="1" customHeight="1" outlineLevel="2">
      <c r="A724" s="145"/>
      <c r="B724" s="289" t="str">
        <f>AK724</f>
        <v>* leads EQC material review</v>
      </c>
      <c r="C724" s="550" t="s">
        <v>0</v>
      </c>
      <c r="D724" s="551"/>
      <c r="E724" s="551"/>
      <c r="F724"/>
      <c r="G724" s="291">
        <f t="shared" ref="G724" si="141">AG724</f>
        <v>41866</v>
      </c>
      <c r="H724" s="291">
        <f t="shared" ref="H724" si="142">AH724</f>
        <v>41955</v>
      </c>
      <c r="I724" s="745"/>
      <c r="J724"/>
      <c r="K724"/>
      <c r="L724"/>
      <c r="M724"/>
      <c r="N724"/>
      <c r="O724"/>
      <c r="P724"/>
      <c r="Q724"/>
      <c r="R724"/>
      <c r="S724"/>
      <c r="T724"/>
      <c r="U724"/>
      <c r="X724"/>
      <c r="AB724"/>
      <c r="AC724"/>
      <c r="AF724" s="361">
        <f>IF(OR(S.EQC.DirReport="Y",S.EQC.FacHearing="Y"),1,0)</f>
        <v>1</v>
      </c>
      <c r="AG724" s="60">
        <f>IF(AF724=0,,S.EQC.BANNER.Begin)</f>
        <v>41866</v>
      </c>
      <c r="AH724" s="60">
        <f>IF(AF724=0,,S.EQC.SubmitStaffRpt)</f>
        <v>41955</v>
      </c>
      <c r="AI724" s="59"/>
      <c r="AJ724" s="44"/>
      <c r="AK724" s="67" t="str">
        <f>IF(OR(S.EQC.DirReport="Y",S.EQC.InfoItem="Y"),"* leads EQC material review","* blank row")</f>
        <v>* leads EQC material review</v>
      </c>
      <c r="AL724" s="76"/>
    </row>
    <row r="725" spans="1:39" ht="14.1" hidden="1" customHeight="1" outlineLevel="2">
      <c r="A725" s="145"/>
      <c r="B725" s="285" t="str">
        <f>AK725</f>
        <v>Brian develops STAFF.RPT.Permanent preloaded in folder 6 by:</v>
      </c>
      <c r="C725" s="550" t="s">
        <v>0</v>
      </c>
      <c r="D725" s="551"/>
      <c r="E725" s="551"/>
      <c r="F725"/>
      <c r="G725" s="291">
        <f t="shared" ref="G725:H725" si="143">AG725</f>
        <v>41866</v>
      </c>
      <c r="H725" s="291">
        <f t="shared" si="143"/>
        <v>41955</v>
      </c>
      <c r="I725" s="745"/>
      <c r="AF725" s="361">
        <v>1</v>
      </c>
      <c r="AG725" s="60">
        <f>S.EQC.BANNER.Begin</f>
        <v>41866</v>
      </c>
      <c r="AH725" s="60">
        <f>S.EQC.SubmitStaffRpt</f>
        <v>41955</v>
      </c>
      <c r="AI725" s="59"/>
      <c r="AJ725" s="44"/>
      <c r="AK725" s="67" t="str">
        <f>IF(S.General.RuleType="P",S.Staff.Subject.Expert.FirstName&amp;" develops STAFF.RPT.Permanent preloaded in folder 6 by:",S.Staff.Subject.Expert.FirstName&amp;" develops STAFF.RPT.Temporary (preloaded in folder 6 by:")</f>
        <v>Brian develops STAFF.RPT.Permanent preloaded in folder 6 by:</v>
      </c>
      <c r="AL725" s="76"/>
      <c r="AM725"/>
    </row>
    <row r="726" spans="1:39" s="23" customFormat="1" ht="14.1" hidden="1" customHeight="1" outlineLevel="2">
      <c r="A726" s="145"/>
      <c r="B726" s="302" t="s">
        <v>131</v>
      </c>
      <c r="C726" s="550" t="s">
        <v>0</v>
      </c>
      <c r="D726" s="551"/>
      <c r="E726" s="551"/>
      <c r="F726"/>
      <c r="G726"/>
      <c r="H726"/>
      <c r="I726" s="745"/>
      <c r="J726"/>
      <c r="K726"/>
      <c r="L726"/>
      <c r="M726"/>
      <c r="N726"/>
      <c r="O726"/>
      <c r="P726"/>
      <c r="Q726"/>
      <c r="R726"/>
      <c r="S726"/>
      <c r="T726"/>
      <c r="U726"/>
      <c r="X726"/>
      <c r="AB726"/>
      <c r="AC726"/>
      <c r="AF726" s="361">
        <v>1</v>
      </c>
      <c r="AG726" s="80"/>
      <c r="AH726" s="80"/>
      <c r="AI726" s="59"/>
      <c r="AJ726" s="44"/>
      <c r="AK726" s="44" t="s">
        <v>0</v>
      </c>
      <c r="AL726" s="76"/>
    </row>
    <row r="727" spans="1:39" s="23" customFormat="1" ht="14.1" hidden="1" customHeight="1" outlineLevel="2">
      <c r="A727" s="145"/>
      <c r="B727" s="302" t="str">
        <f>AK727</f>
        <v>* integrating NOTICE into STAFF REPORT.Permanent by</v>
      </c>
      <c r="C727" s="550" t="s">
        <v>0</v>
      </c>
      <c r="D727" s="551"/>
      <c r="E727" s="551"/>
      <c r="F727"/>
      <c r="G727"/>
      <c r="H727"/>
      <c r="I727" s="745"/>
      <c r="J727"/>
      <c r="K727"/>
      <c r="L727"/>
      <c r="M727"/>
      <c r="N727"/>
      <c r="O727"/>
      <c r="P727"/>
      <c r="Q727"/>
      <c r="R727"/>
      <c r="S727"/>
      <c r="T727"/>
      <c r="U727"/>
      <c r="X727"/>
      <c r="AB727"/>
      <c r="AC727"/>
      <c r="AF727" s="361">
        <f t="shared" ref="AF727:AF735" si="144">IF(S.Notice.Involved="Y",1,0)</f>
        <v>1</v>
      </c>
      <c r="AG727" s="80"/>
      <c r="AH727" s="80"/>
      <c r="AI727" s="59"/>
      <c r="AJ727" s="44"/>
      <c r="AK727" s="67" t="str">
        <f>IF(AND(S.Notice.Involved="Y",S.General.RuleType="P"),"* integrating NOTICE into STAFF REPORT.Permanent by",IF(AND(S.Notice.Involved="Y",S.General.RuleType="T"),"* integrating NOTICE into STAFF.RPT.Temporary by ","No NOTICE for this rulemaking"))</f>
        <v>* integrating NOTICE into STAFF REPORT.Permanent by</v>
      </c>
      <c r="AL727" s="76"/>
    </row>
    <row r="728" spans="1:39" ht="14.1" hidden="1" customHeight="1" outlineLevel="2">
      <c r="A728" s="145"/>
      <c r="B728" s="503" t="s">
        <v>330</v>
      </c>
      <c r="C728" s="534"/>
      <c r="D728" s="534"/>
      <c r="E728" s="534"/>
      <c r="F728"/>
      <c r="G728" s="534"/>
      <c r="H728" s="534"/>
      <c r="I728" s="745"/>
      <c r="AF728" s="361">
        <f t="shared" si="144"/>
        <v>1</v>
      </c>
      <c r="AG728" s="80"/>
      <c r="AH728" s="80"/>
      <c r="AI728" s="59"/>
      <c r="AJ728" s="44"/>
      <c r="AK728" s="44"/>
      <c r="AL728" s="76"/>
      <c r="AM728"/>
    </row>
    <row r="729" spans="1:39" ht="14.1" hidden="1" customHeight="1" outlineLevel="2">
      <c r="A729" s="145"/>
      <c r="B729" s="504" t="s">
        <v>276</v>
      </c>
      <c r="C729" s="534"/>
      <c r="D729" s="534"/>
      <c r="E729" s="534"/>
      <c r="F729"/>
      <c r="G729" s="534"/>
      <c r="H729" s="534"/>
      <c r="I729" s="745"/>
      <c r="AF729" s="361">
        <f t="shared" si="144"/>
        <v>1</v>
      </c>
      <c r="AG729" s="80"/>
      <c r="AH729" s="80"/>
      <c r="AI729" s="59"/>
      <c r="AJ729" s="44"/>
      <c r="AK729" s="44"/>
      <c r="AL729" s="76"/>
      <c r="AM729"/>
    </row>
    <row r="730" spans="1:39" ht="14.1" hidden="1" customHeight="1" outlineLevel="2">
      <c r="A730" s="145"/>
      <c r="B730" s="504" t="s">
        <v>277</v>
      </c>
      <c r="C730" s="534"/>
      <c r="D730" s="534"/>
      <c r="E730" s="534"/>
      <c r="F730"/>
      <c r="G730" s="534"/>
      <c r="H730" s="534"/>
      <c r="I730" s="745"/>
      <c r="AF730" s="361">
        <f t="shared" si="144"/>
        <v>1</v>
      </c>
      <c r="AG730" s="80"/>
      <c r="AH730" s="80"/>
      <c r="AI730" s="59"/>
      <c r="AJ730" s="44"/>
      <c r="AK730" s="44"/>
      <c r="AL730" s="76"/>
      <c r="AM730"/>
    </row>
    <row r="731" spans="1:39" ht="14.1" hidden="1" customHeight="1" outlineLevel="2">
      <c r="A731" s="145"/>
      <c r="B731" s="504" t="s">
        <v>278</v>
      </c>
      <c r="C731" s="534"/>
      <c r="D731" s="534"/>
      <c r="E731" s="534"/>
      <c r="F731"/>
      <c r="G731" s="534"/>
      <c r="H731" s="534"/>
      <c r="I731" s="745"/>
      <c r="AF731" s="361">
        <f t="shared" si="144"/>
        <v>1</v>
      </c>
      <c r="AG731" s="80"/>
      <c r="AH731" s="80"/>
      <c r="AI731" s="59"/>
      <c r="AJ731" s="44"/>
      <c r="AK731" s="44"/>
      <c r="AL731" s="76"/>
      <c r="AM731"/>
    </row>
    <row r="732" spans="1:39" ht="14.1" hidden="1" customHeight="1" outlineLevel="2">
      <c r="A732" s="145"/>
      <c r="B732" s="504" t="s">
        <v>203</v>
      </c>
      <c r="C732" s="534"/>
      <c r="D732" s="534"/>
      <c r="E732" s="534"/>
      <c r="F732"/>
      <c r="G732" s="534"/>
      <c r="H732" s="534"/>
      <c r="I732" s="745"/>
      <c r="AF732" s="361">
        <f t="shared" si="144"/>
        <v>1</v>
      </c>
      <c r="AG732" s="80"/>
      <c r="AH732" s="80"/>
      <c r="AI732" s="59"/>
      <c r="AJ732" s="44"/>
      <c r="AK732" s="44"/>
      <c r="AL732" s="76"/>
      <c r="AM732"/>
    </row>
    <row r="733" spans="1:39" ht="14.1" hidden="1" customHeight="1" outlineLevel="2">
      <c r="A733" s="145"/>
      <c r="B733" s="474" t="s">
        <v>204</v>
      </c>
      <c r="C733" s="534"/>
      <c r="D733" s="534"/>
      <c r="E733" s="534"/>
      <c r="F733"/>
      <c r="G733" s="534"/>
      <c r="H733" s="534"/>
      <c r="I733" s="745"/>
      <c r="AF733" s="361">
        <f t="shared" si="144"/>
        <v>1</v>
      </c>
      <c r="AG733" s="80"/>
      <c r="AH733" s="80"/>
      <c r="AI733" s="59"/>
      <c r="AJ733" s="44"/>
      <c r="AK733" s="44"/>
      <c r="AL733" s="76"/>
      <c r="AM733"/>
    </row>
    <row r="734" spans="1:39" s="23" customFormat="1" ht="14.1" hidden="1" customHeight="1" outlineLevel="2">
      <c r="A734" s="145"/>
      <c r="B734" s="505" t="s">
        <v>279</v>
      </c>
      <c r="C734" s="534"/>
      <c r="D734" s="534"/>
      <c r="E734" s="534"/>
      <c r="F734"/>
      <c r="G734" s="534"/>
      <c r="H734" s="534"/>
      <c r="I734" s="745"/>
      <c r="J734"/>
      <c r="K734"/>
      <c r="L734"/>
      <c r="M734"/>
      <c r="N734"/>
      <c r="O734"/>
      <c r="P734"/>
      <c r="Q734"/>
      <c r="R734"/>
      <c r="S734"/>
      <c r="T734"/>
      <c r="U734"/>
      <c r="X734"/>
      <c r="AB734"/>
      <c r="AC734"/>
      <c r="AF734" s="361">
        <f t="shared" si="144"/>
        <v>1</v>
      </c>
      <c r="AG734" s="80"/>
      <c r="AH734" s="80"/>
      <c r="AI734" s="59"/>
      <c r="AJ734" s="44"/>
      <c r="AK734" s="44"/>
      <c r="AL734" s="76"/>
    </row>
    <row r="735" spans="1:39" s="23" customFormat="1" ht="14.1" hidden="1" customHeight="1" outlineLevel="2">
      <c r="A735" s="145"/>
      <c r="B735" s="505" t="s">
        <v>279</v>
      </c>
      <c r="C735" s="534"/>
      <c r="D735" s="534"/>
      <c r="E735" s="534"/>
      <c r="F735"/>
      <c r="G735" s="490"/>
      <c r="H735" s="490"/>
      <c r="I735" s="745"/>
      <c r="J735"/>
      <c r="K735"/>
      <c r="L735"/>
      <c r="M735"/>
      <c r="N735"/>
      <c r="O735"/>
      <c r="P735"/>
      <c r="Q735"/>
      <c r="R735"/>
      <c r="S735"/>
      <c r="T735"/>
      <c r="U735"/>
      <c r="X735"/>
      <c r="AB735"/>
      <c r="AC735"/>
      <c r="AF735" s="361">
        <f t="shared" si="144"/>
        <v>1</v>
      </c>
      <c r="AG735" s="80"/>
      <c r="AH735" s="80"/>
      <c r="AI735" s="59"/>
      <c r="AJ735" s="44"/>
      <c r="AK735" s="44"/>
      <c r="AL735" s="76"/>
    </row>
    <row r="736" spans="1:39" s="23" customFormat="1" ht="14.1" hidden="1" customHeight="1" outlineLevel="2">
      <c r="A736" s="145"/>
      <c r="B736" s="289" t="s">
        <v>292</v>
      </c>
      <c r="C736" s="510" t="str">
        <f>HYPERLINK("http://arcweb.sos.state.or.us/pages/rules/oars_300/oar_340/340_tofc.html","i")</f>
        <v>i</v>
      </c>
      <c r="D736" s="552"/>
      <c r="E736" s="552"/>
      <c r="F736"/>
      <c r="G736" s="291">
        <f t="shared" ref="G736" si="145">AG736</f>
        <v>41866</v>
      </c>
      <c r="H736" s="291">
        <f t="shared" ref="H736" si="146">AH736</f>
        <v>41955</v>
      </c>
      <c r="I736" s="745"/>
      <c r="J736"/>
      <c r="K736"/>
      <c r="L736"/>
      <c r="M736"/>
      <c r="N736"/>
      <c r="O736"/>
      <c r="P736"/>
      <c r="Q736"/>
      <c r="R736"/>
      <c r="S736"/>
      <c r="T736"/>
      <c r="U736"/>
      <c r="X736"/>
      <c r="AB736"/>
      <c r="AC736"/>
      <c r="AF736" s="361">
        <v>1</v>
      </c>
      <c r="AG736" s="60">
        <f>S.EQC.BANNER.Begin</f>
        <v>41866</v>
      </c>
      <c r="AH736" s="60">
        <f>S.EQC.SubmitStaffRpt</f>
        <v>41955</v>
      </c>
      <c r="AI736" s="59"/>
      <c r="AJ736" s="44"/>
      <c r="AK736" s="44"/>
      <c r="AL736" s="76"/>
    </row>
    <row r="737" spans="1:39" s="23" customFormat="1" ht="14.1" hidden="1" customHeight="1" outlineLevel="2">
      <c r="A737" s="145"/>
      <c r="B737" s="502" t="s">
        <v>291</v>
      </c>
      <c r="C737" s="306"/>
      <c r="D737" s="307"/>
      <c r="E737" s="307"/>
      <c r="F737"/>
      <c r="G737" s="306"/>
      <c r="H737" s="306"/>
      <c r="I737" s="745"/>
      <c r="J737"/>
      <c r="K737"/>
      <c r="L737"/>
      <c r="M737"/>
      <c r="N737"/>
      <c r="O737"/>
      <c r="P737"/>
      <c r="Q737"/>
      <c r="R737"/>
      <c r="S737"/>
      <c r="T737"/>
      <c r="U737"/>
      <c r="X737"/>
      <c r="AB737"/>
      <c r="AC737"/>
      <c r="AF737" s="361">
        <v>1</v>
      </c>
      <c r="AG737" s="80"/>
      <c r="AH737" s="80"/>
      <c r="AI737" s="59"/>
      <c r="AJ737" s="159"/>
      <c r="AK737" s="44"/>
      <c r="AL737" s="76"/>
    </row>
    <row r="738" spans="1:39" s="23" customFormat="1" ht="14.1" hidden="1" customHeight="1" outlineLevel="2">
      <c r="A738" s="145"/>
      <c r="B738" s="302" t="str">
        <f>AK738</f>
        <v>* coordinates work on STAFF.RPT.Permanent sections:</v>
      </c>
      <c r="C738" s="306"/>
      <c r="D738" s="307"/>
      <c r="E738" s="307"/>
      <c r="F738"/>
      <c r="G738" s="306"/>
      <c r="H738" s="306"/>
      <c r="I738" s="745"/>
      <c r="J738"/>
      <c r="K738"/>
      <c r="L738"/>
      <c r="M738"/>
      <c r="N738"/>
      <c r="O738"/>
      <c r="P738"/>
      <c r="Q738"/>
      <c r="R738"/>
      <c r="S738"/>
      <c r="T738"/>
      <c r="U738"/>
      <c r="X738"/>
      <c r="AB738"/>
      <c r="AC738"/>
      <c r="AF738" s="361">
        <v>1</v>
      </c>
      <c r="AG738" s="80"/>
      <c r="AH738" s="80"/>
      <c r="AI738" s="59"/>
      <c r="AJ738" s="159"/>
      <c r="AK738" s="67" t="str">
        <f>IF(S.General.RuleType="P","* coordinates work on STAFF.RPT.Permanent sections:","* coordinates work on STAFF.RPT.Temporary sections:")</f>
        <v>* coordinates work on STAFF.RPT.Permanent sections:</v>
      </c>
      <c r="AL738" s="76"/>
    </row>
    <row r="739" spans="1:39" s="23" customFormat="1" ht="14.1" hidden="1" customHeight="1" outlineLevel="2">
      <c r="A739" s="145"/>
      <c r="B739" s="463" t="s">
        <v>716</v>
      </c>
      <c r="C739" s="545" t="s">
        <v>0</v>
      </c>
      <c r="D739" s="705"/>
      <c r="E739" s="705"/>
      <c r="F739"/>
      <c r="I739" s="745"/>
      <c r="J739"/>
      <c r="K739"/>
      <c r="L739"/>
      <c r="M739"/>
      <c r="N739"/>
      <c r="O739"/>
      <c r="P739"/>
      <c r="Q739"/>
      <c r="R739"/>
      <c r="S739"/>
      <c r="T739"/>
      <c r="U739"/>
      <c r="X739"/>
      <c r="AB739"/>
      <c r="AC739"/>
      <c r="AF739" s="361">
        <v>1</v>
      </c>
      <c r="AG739" s="59"/>
      <c r="AH739" s="59"/>
      <c r="AI739" s="59"/>
      <c r="AJ739" s="159"/>
      <c r="AK739" s="44"/>
      <c r="AL739" s="76"/>
    </row>
    <row r="740" spans="1:39" s="23" customFormat="1" ht="14.1" hidden="1" customHeight="1" outlineLevel="2">
      <c r="A740" s="145"/>
      <c r="B740" s="491" t="s">
        <v>715</v>
      </c>
      <c r="C740" s="545" t="s">
        <v>0</v>
      </c>
      <c r="D740" s="308" t="s">
        <v>0</v>
      </c>
      <c r="E740" s="308"/>
      <c r="G740"/>
      <c r="H740"/>
      <c r="I740" s="745"/>
      <c r="AF740" s="361">
        <v>1</v>
      </c>
      <c r="AG740" s="59"/>
      <c r="AH740" s="59"/>
      <c r="AI740" s="59"/>
      <c r="AJ740" s="44"/>
      <c r="AK740" s="346"/>
      <c r="AL740" s="76"/>
    </row>
    <row r="741" spans="1:39" ht="14.1" hidden="1" customHeight="1" outlineLevel="2">
      <c r="A741" s="145"/>
      <c r="B741" s="491" t="s">
        <v>717</v>
      </c>
      <c r="C741" s="545" t="s">
        <v>0</v>
      </c>
      <c r="D741" s="308" t="s">
        <v>0</v>
      </c>
      <c r="E741" s="308"/>
      <c r="F741"/>
      <c r="G741"/>
      <c r="H741"/>
      <c r="I741" s="745"/>
      <c r="AF741" s="361">
        <v>1</v>
      </c>
      <c r="AG741" s="59"/>
      <c r="AH741" s="59"/>
      <c r="AI741" s="59"/>
      <c r="AJ741" s="44"/>
      <c r="AK741" s="346"/>
      <c r="AL741" s="76"/>
      <c r="AM741"/>
    </row>
    <row r="742" spans="1:39" s="23" customFormat="1" ht="14.1" hidden="1" customHeight="1" outlineLevel="2">
      <c r="A742" s="145" t="s">
        <v>0</v>
      </c>
      <c r="B742" s="491" t="s">
        <v>718</v>
      </c>
      <c r="C742" s="545" t="s">
        <v>0</v>
      </c>
      <c r="D742" s="308" t="s">
        <v>0</v>
      </c>
      <c r="E742" s="308"/>
      <c r="F742"/>
      <c r="G742"/>
      <c r="H742"/>
      <c r="I742" s="745"/>
      <c r="J742"/>
      <c r="K742"/>
      <c r="L742"/>
      <c r="M742"/>
      <c r="N742"/>
      <c r="O742"/>
      <c r="P742"/>
      <c r="Q742"/>
      <c r="R742"/>
      <c r="S742"/>
      <c r="T742"/>
      <c r="U742"/>
      <c r="X742"/>
      <c r="AB742"/>
      <c r="AC742"/>
      <c r="AF742" s="361">
        <v>1</v>
      </c>
      <c r="AG742" s="59"/>
      <c r="AH742" s="59"/>
      <c r="AI742" s="59"/>
      <c r="AJ742" s="44"/>
      <c r="AK742" s="346"/>
      <c r="AL742" s="76"/>
    </row>
    <row r="743" spans="1:39" s="23" customFormat="1" ht="14.1" hidden="1" customHeight="1" outlineLevel="2">
      <c r="A743" s="145" t="s">
        <v>0</v>
      </c>
      <c r="B743" s="910" t="s">
        <v>732</v>
      </c>
      <c r="C743" s="545" t="s">
        <v>0</v>
      </c>
      <c r="D743" s="308" t="s">
        <v>0</v>
      </c>
      <c r="E743" s="308"/>
      <c r="G743"/>
      <c r="H743"/>
      <c r="I743" s="745"/>
      <c r="AF743" s="361">
        <v>1</v>
      </c>
      <c r="AG743" s="59"/>
      <c r="AH743" s="59"/>
      <c r="AI743" s="59"/>
      <c r="AJ743" s="44"/>
      <c r="AK743" s="346"/>
      <c r="AL743" s="76"/>
    </row>
    <row r="744" spans="1:39" s="23" customFormat="1" ht="14.1" hidden="1" customHeight="1" outlineLevel="2">
      <c r="A744" s="145" t="s">
        <v>0</v>
      </c>
      <c r="B744" s="491" t="s">
        <v>719</v>
      </c>
      <c r="C744" s="545" t="s">
        <v>0</v>
      </c>
      <c r="D744" s="308" t="s">
        <v>0</v>
      </c>
      <c r="E744" s="308"/>
      <c r="F744"/>
      <c r="G744"/>
      <c r="H744"/>
      <c r="I744" s="745"/>
      <c r="J744"/>
      <c r="K744"/>
      <c r="L744"/>
      <c r="M744"/>
      <c r="N744"/>
      <c r="O744"/>
      <c r="P744"/>
      <c r="Q744"/>
      <c r="R744"/>
      <c r="S744"/>
      <c r="T744"/>
      <c r="U744"/>
      <c r="X744"/>
      <c r="AB744"/>
      <c r="AC744"/>
      <c r="AF744" s="361">
        <v>1</v>
      </c>
      <c r="AG744" s="59"/>
      <c r="AH744" s="59"/>
      <c r="AI744" s="59"/>
      <c r="AJ744" s="44"/>
      <c r="AK744" s="346"/>
      <c r="AL744" s="76"/>
    </row>
    <row r="745" spans="1:39" s="23" customFormat="1" ht="14.1" hidden="1" customHeight="1" outlineLevel="2">
      <c r="A745" s="145" t="s">
        <v>0</v>
      </c>
      <c r="B745" s="423" t="s">
        <v>720</v>
      </c>
      <c r="C745" s="545" t="s">
        <v>0</v>
      </c>
      <c r="D745" s="308" t="s">
        <v>0</v>
      </c>
      <c r="E745" s="308"/>
      <c r="F745"/>
      <c r="G745"/>
      <c r="H745"/>
      <c r="I745" s="745"/>
      <c r="J745"/>
      <c r="K745"/>
      <c r="L745"/>
      <c r="M745"/>
      <c r="N745"/>
      <c r="O745"/>
      <c r="P745"/>
      <c r="Q745"/>
      <c r="R745"/>
      <c r="S745"/>
      <c r="T745"/>
      <c r="U745"/>
      <c r="X745"/>
      <c r="AB745"/>
      <c r="AC745"/>
      <c r="AF745" s="361">
        <v>1</v>
      </c>
      <c r="AG745" s="59"/>
      <c r="AH745" s="59"/>
      <c r="AI745" s="59"/>
      <c r="AJ745" s="44"/>
      <c r="AK745" s="346"/>
      <c r="AL745" s="76"/>
    </row>
    <row r="746" spans="1:39" s="23" customFormat="1" ht="14.1" hidden="1" customHeight="1" outlineLevel="2">
      <c r="A746" s="145" t="s">
        <v>0</v>
      </c>
      <c r="B746" s="423" t="s">
        <v>721</v>
      </c>
      <c r="C746" s="545" t="s">
        <v>0</v>
      </c>
      <c r="D746" s="308" t="s">
        <v>0</v>
      </c>
      <c r="E746" s="308"/>
      <c r="F746"/>
      <c r="G746"/>
      <c r="H746"/>
      <c r="I746" s="745"/>
      <c r="J746"/>
      <c r="K746"/>
      <c r="L746"/>
      <c r="M746"/>
      <c r="N746"/>
      <c r="O746"/>
      <c r="P746"/>
      <c r="Q746"/>
      <c r="R746"/>
      <c r="S746"/>
      <c r="T746"/>
      <c r="U746"/>
      <c r="X746"/>
      <c r="AB746"/>
      <c r="AC746"/>
      <c r="AF746" s="361">
        <v>1</v>
      </c>
      <c r="AG746" s="59"/>
      <c r="AH746" s="59"/>
      <c r="AI746" s="59"/>
      <c r="AJ746" s="44"/>
      <c r="AK746" s="346"/>
      <c r="AL746" s="76"/>
    </row>
    <row r="747" spans="1:39" s="23" customFormat="1" ht="14.1" hidden="1" customHeight="1" outlineLevel="2">
      <c r="A747" s="145"/>
      <c r="B747" s="514" t="s">
        <v>293</v>
      </c>
      <c r="C747" s="545" t="s">
        <v>0</v>
      </c>
      <c r="D747" s="705"/>
      <c r="E747" s="705"/>
      <c r="F747"/>
      <c r="I747" s="745"/>
      <c r="J747"/>
      <c r="K747"/>
      <c r="L747"/>
      <c r="M747"/>
      <c r="N747"/>
      <c r="O747"/>
      <c r="P747"/>
      <c r="Q747"/>
      <c r="R747"/>
      <c r="S747"/>
      <c r="T747"/>
      <c r="U747"/>
      <c r="X747"/>
      <c r="AB747"/>
      <c r="AC747"/>
      <c r="AF747" s="361">
        <v>1</v>
      </c>
      <c r="AG747" s="59"/>
      <c r="AH747" s="59"/>
      <c r="AI747" s="59"/>
      <c r="AJ747" s="159"/>
      <c r="AK747" s="44"/>
      <c r="AL747" s="76"/>
    </row>
    <row r="748" spans="1:39" s="23" customFormat="1" ht="14.1" hidden="1" customHeight="1" outlineLevel="2">
      <c r="A748" s="145" t="s">
        <v>0</v>
      </c>
      <c r="B748" s="423" t="s">
        <v>190</v>
      </c>
      <c r="C748" s="545" t="s">
        <v>0</v>
      </c>
      <c r="D748" s="308" t="s">
        <v>0</v>
      </c>
      <c r="E748" s="308"/>
      <c r="F748"/>
      <c r="I748" s="745"/>
      <c r="J748"/>
      <c r="K748"/>
      <c r="L748"/>
      <c r="M748"/>
      <c r="N748"/>
      <c r="O748"/>
      <c r="P748"/>
      <c r="Q748"/>
      <c r="R748"/>
      <c r="S748"/>
      <c r="T748"/>
      <c r="U748"/>
      <c r="X748"/>
      <c r="AB748"/>
      <c r="AC748"/>
      <c r="AF748" s="361">
        <v>1</v>
      </c>
      <c r="AG748" s="59"/>
      <c r="AH748" s="59"/>
      <c r="AI748" s="59"/>
      <c r="AJ748" s="44"/>
      <c r="AK748" s="346"/>
      <c r="AL748" s="76"/>
    </row>
    <row r="749" spans="1:39" s="23" customFormat="1" ht="14.1" hidden="1" customHeight="1" outlineLevel="2">
      <c r="A749" s="145"/>
      <c r="B749" s="302" t="s">
        <v>191</v>
      </c>
      <c r="C749" s="306"/>
      <c r="D749" s="307"/>
      <c r="E749" s="307"/>
      <c r="F749"/>
      <c r="G749" s="291">
        <f>AG749</f>
        <v>41866</v>
      </c>
      <c r="H749" s="291">
        <f>AH749</f>
        <v>41955</v>
      </c>
      <c r="I749" s="745"/>
      <c r="J749"/>
      <c r="K749"/>
      <c r="L749"/>
      <c r="M749"/>
      <c r="N749"/>
      <c r="O749"/>
      <c r="P749"/>
      <c r="Q749"/>
      <c r="R749"/>
      <c r="S749"/>
      <c r="T749"/>
      <c r="U749"/>
      <c r="X749"/>
      <c r="AB749"/>
      <c r="AC749"/>
      <c r="AF749" s="361">
        <v>1</v>
      </c>
      <c r="AG749" s="60">
        <f>S.EQC.BANNER.Begin</f>
        <v>41866</v>
      </c>
      <c r="AH749" s="60">
        <f>S.EQC.SubmitStaffRpt</f>
        <v>41955</v>
      </c>
      <c r="AI749" s="59"/>
      <c r="AJ749" s="159"/>
      <c r="AK749" s="346"/>
      <c r="AL749" s="76"/>
    </row>
    <row r="750" spans="1:39" ht="14.1" hidden="1" customHeight="1" outlineLevel="2">
      <c r="A750" s="145"/>
      <c r="B750" s="204" t="str">
        <f>AK750</f>
        <v>- STAFF.RPT.Permanent</v>
      </c>
      <c r="C750" s="545" t="s">
        <v>0</v>
      </c>
      <c r="D750" s="720"/>
      <c r="E750" s="720"/>
      <c r="F750"/>
      <c r="I750" s="745"/>
      <c r="AF750" s="361">
        <v>1</v>
      </c>
      <c r="AG750" s="59"/>
      <c r="AH750" s="59"/>
      <c r="AI750" s="59"/>
      <c r="AJ750" s="159"/>
      <c r="AK750" s="67" t="str">
        <f>IF(S.General.RuleType="P","- STAFF.RPT.Permanent","- STAFF.RPT.Temporary")</f>
        <v>- STAFF.RPT.Permanent</v>
      </c>
      <c r="AL750" s="76"/>
      <c r="AM750"/>
    </row>
    <row r="751" spans="1:39" s="23" customFormat="1" ht="14.1" hidden="1" customHeight="1" outlineLevel="2">
      <c r="A751" s="145"/>
      <c r="B751" s="427" t="s">
        <v>192</v>
      </c>
      <c r="C751" s="545" t="s">
        <v>0</v>
      </c>
      <c r="D751" s="720"/>
      <c r="E751" s="720"/>
      <c r="F751"/>
      <c r="G751"/>
      <c r="H751"/>
      <c r="I751" s="745"/>
      <c r="J751"/>
      <c r="K751"/>
      <c r="L751"/>
      <c r="M751"/>
      <c r="N751"/>
      <c r="O751"/>
      <c r="P751"/>
      <c r="Q751"/>
      <c r="R751"/>
      <c r="S751"/>
      <c r="T751"/>
      <c r="U751"/>
      <c r="X751"/>
      <c r="AB751"/>
      <c r="AC751"/>
      <c r="AF751" s="361">
        <v>1</v>
      </c>
      <c r="AG751" s="59"/>
      <c r="AH751" s="59"/>
      <c r="AI751" s="59"/>
      <c r="AJ751" s="159"/>
      <c r="AK751" s="159" t="s">
        <v>0</v>
      </c>
      <c r="AL751" s="76"/>
    </row>
    <row r="752" spans="1:39" s="23" customFormat="1" ht="14.1" hidden="1" customHeight="1" outlineLevel="2">
      <c r="A752" s="145"/>
      <c r="B752" s="463" t="s">
        <v>193</v>
      </c>
      <c r="C752" s="545" t="s">
        <v>0</v>
      </c>
      <c r="D752" s="720"/>
      <c r="E752" s="720"/>
      <c r="F752"/>
      <c r="G752"/>
      <c r="H752"/>
      <c r="I752" s="745"/>
      <c r="J752"/>
      <c r="K752"/>
      <c r="L752"/>
      <c r="M752"/>
      <c r="N752"/>
      <c r="O752"/>
      <c r="P752"/>
      <c r="Q752"/>
      <c r="R752"/>
      <c r="S752"/>
      <c r="T752"/>
      <c r="U752"/>
      <c r="X752"/>
      <c r="AB752"/>
      <c r="AC752"/>
      <c r="AF752" s="361">
        <v>1</v>
      </c>
      <c r="AG752" s="59"/>
      <c r="AH752" s="59"/>
      <c r="AI752" s="59"/>
      <c r="AJ752" s="159"/>
      <c r="AK752" s="159" t="s">
        <v>0</v>
      </c>
      <c r="AL752" s="76"/>
    </row>
    <row r="753" spans="1:39" s="23" customFormat="1" ht="13.5" hidden="1" customHeight="1" outlineLevel="2" thickBot="1">
      <c r="A753" s="145"/>
      <c r="B753" s="302" t="str">
        <f>AK753</f>
        <v>* notifies AndreaG that Staff Report is ready for Rule Publication work</v>
      </c>
      <c r="C753" s="545" t="s">
        <v>0</v>
      </c>
      <c r="D753" s="705"/>
      <c r="E753" s="705"/>
      <c r="F753"/>
      <c r="G753"/>
      <c r="H753"/>
      <c r="I753" s="745"/>
      <c r="J753"/>
      <c r="K753"/>
      <c r="L753"/>
      <c r="M753"/>
      <c r="N753"/>
      <c r="O753"/>
      <c r="P753"/>
      <c r="Q753"/>
      <c r="R753"/>
      <c r="S753"/>
      <c r="T753"/>
      <c r="U753"/>
      <c r="X753"/>
      <c r="AB753"/>
      <c r="AC753"/>
      <c r="AF753" s="361">
        <v>1</v>
      </c>
      <c r="AG753" s="59"/>
      <c r="AH753" s="59"/>
      <c r="AI753" s="59"/>
      <c r="AJ753" s="159"/>
      <c r="AK753" s="810" t="str">
        <f>"* notifies "&amp;S.Staff.RG.Lead.FirstName&amp;" that Staff Report is ready for Rule Publication work"</f>
        <v>* notifies AndreaG that Staff Report is ready for Rule Publication work</v>
      </c>
      <c r="AL753" s="76"/>
    </row>
    <row r="754" spans="1:39" s="23" customFormat="1" ht="24.75" hidden="1" customHeight="1" outlineLevel="1" collapsed="1" thickTop="1">
      <c r="A754" s="145"/>
      <c r="B754" s="779" t="str">
        <f>AK754</f>
        <v>AndreaG leads initial Rule Publication work that includes:</v>
      </c>
      <c r="C754" s="268"/>
      <c r="D754" s="40"/>
      <c r="E754" s="40"/>
      <c r="G754" s="1038" t="s">
        <v>613</v>
      </c>
      <c r="H754" s="1039"/>
      <c r="I754" s="745"/>
      <c r="AF754" s="361">
        <v>1</v>
      </c>
      <c r="AG754" s="59"/>
      <c r="AH754" s="59"/>
      <c r="AI754" s="58"/>
      <c r="AJ754" s="44"/>
      <c r="AK754" s="810" t="str">
        <f>S.Staff.RG.Lead.FirstName&amp;" leads initial Rule Publication work that includes:"</f>
        <v>AndreaG leads initial Rule Publication work that includes:</v>
      </c>
      <c r="AL754" s="76"/>
    </row>
    <row r="755" spans="1:39" s="23" customFormat="1" ht="14.1" hidden="1" customHeight="1" outlineLevel="1">
      <c r="A755" s="145" t="s">
        <v>0</v>
      </c>
      <c r="B755" s="269" t="s">
        <v>722</v>
      </c>
      <c r="C755" s="268"/>
      <c r="D755" s="714"/>
      <c r="E755" s="887"/>
      <c r="G755" s="981">
        <f>AG755</f>
        <v>41821</v>
      </c>
      <c r="H755" s="982">
        <f>AH755</f>
        <v>41831</v>
      </c>
      <c r="I755" s="745"/>
      <c r="AF755" s="361">
        <v>1</v>
      </c>
      <c r="AG755" s="566">
        <f>S.Notice.Submit.ToRG</f>
        <v>41821</v>
      </c>
      <c r="AH755" s="566">
        <f>WORKDAY(G755,7,S.DDL_DEQClosed)</f>
        <v>41831</v>
      </c>
      <c r="AI755" s="58"/>
      <c r="AJ755" s="44"/>
      <c r="AK755" s="44"/>
      <c r="AL755" s="76"/>
    </row>
    <row r="756" spans="1:39" s="23" customFormat="1" ht="14.1" hidden="1" customHeight="1" outlineLevel="1" thickBot="1">
      <c r="A756" s="145"/>
      <c r="B756" s="320" t="str">
        <f>AK756</f>
        <v>* obtaining/consolidating BrianW, StephanieC &amp; AndreaG edits if needed</v>
      </c>
      <c r="C756" s="268"/>
      <c r="G756" s="782"/>
      <c r="H756" s="783"/>
      <c r="I756" s="745"/>
      <c r="AF756" s="361">
        <v>1</v>
      </c>
      <c r="AG756" s="58"/>
      <c r="AH756" s="58"/>
      <c r="AI756" s="58"/>
      <c r="AJ756" s="44"/>
      <c r="AK756" s="182" t="str">
        <f>"* obtaining/consolidating "&amp;S.Staff.PublicAffairsOfficer&amp;", "&amp;S.Staff.EQCAssistant&amp;" &amp; "&amp;S.Staff.SIPCo&amp;" edits if needed"</f>
        <v>* obtaining/consolidating BrianW, StephanieC &amp; AndreaG edits if needed</v>
      </c>
      <c r="AL756" s="76"/>
    </row>
    <row r="757" spans="1:39" s="23" customFormat="1" ht="14.1" hidden="1" customHeight="1" outlineLevel="1" thickTop="1">
      <c r="A757" s="145"/>
      <c r="B757" s="814" t="s">
        <v>671</v>
      </c>
      <c r="C757" s="545" t="s">
        <v>0</v>
      </c>
      <c r="D757" s="705"/>
      <c r="E757" s="705"/>
      <c r="I757" s="745"/>
      <c r="AF757" s="361">
        <v>1</v>
      </c>
      <c r="AG757" s="59"/>
      <c r="AH757" s="59"/>
      <c r="AI757" s="59"/>
      <c r="AJ757" s="59"/>
      <c r="AK757" s="44"/>
      <c r="AL757" s="76"/>
    </row>
    <row r="758" spans="1:39" s="23" customFormat="1" ht="14.1" hidden="1" customHeight="1" outlineLevel="1">
      <c r="A758" s="145"/>
      <c r="B758" s="320" t="s">
        <v>651</v>
      </c>
      <c r="C758" s="282"/>
      <c r="G758" s="40"/>
      <c r="H758" s="40"/>
      <c r="I758" s="745"/>
      <c r="AF758" s="361">
        <v>1</v>
      </c>
      <c r="AG758" s="59"/>
      <c r="AH758" s="59"/>
      <c r="AI758" s="59"/>
      <c r="AJ758" s="59"/>
      <c r="AK758" s="44"/>
      <c r="AL758" s="76"/>
    </row>
    <row r="759" spans="1:39" s="23" customFormat="1" ht="14.1" hidden="1" customHeight="1" outlineLevel="1">
      <c r="A759" s="145" t="s">
        <v>0</v>
      </c>
      <c r="B759" s="289" t="str">
        <f t="shared" ref="B759" si="147">AK759</f>
        <v>* contacts Brian with questions or modifications and when work is complete</v>
      </c>
      <c r="C759" s="545" t="s">
        <v>0</v>
      </c>
      <c r="D759" s="705"/>
      <c r="E759" s="705"/>
      <c r="F759"/>
      <c r="I759" s="745"/>
      <c r="J759"/>
      <c r="K759"/>
      <c r="L759"/>
      <c r="M759"/>
      <c r="N759"/>
      <c r="O759"/>
      <c r="P759"/>
      <c r="Q759"/>
      <c r="R759"/>
      <c r="S759"/>
      <c r="T759"/>
      <c r="U759"/>
      <c r="X759"/>
      <c r="AB759"/>
      <c r="AC759"/>
      <c r="AF759" s="361">
        <v>1</v>
      </c>
      <c r="AG759" s="59"/>
      <c r="AH759" s="59"/>
      <c r="AI759" s="59"/>
      <c r="AJ759" s="59"/>
      <c r="AK759" s="776" t="str">
        <f>"* contacts "&amp;S.Staff.Subject.Expert.FirstName&amp;" with questions or modifications and when work is complete"</f>
        <v>* contacts Brian with questions or modifications and when work is complete</v>
      </c>
      <c r="AL759" s="76"/>
    </row>
    <row r="760" spans="1:39" s="23" customFormat="1" ht="14.1" hidden="1" customHeight="1" outlineLevel="1">
      <c r="A760" s="145"/>
      <c r="B760" s="284" t="str">
        <f>AK760</f>
        <v>AndreaG lets Brian know when work is complete</v>
      </c>
      <c r="C760" s="282"/>
      <c r="I760" s="745"/>
      <c r="AF760" s="361">
        <v>1</v>
      </c>
      <c r="AG760" s="59"/>
      <c r="AH760" s="566">
        <f>WORKDAY(H755,1,S.DDL_DEQClosed)</f>
        <v>41834</v>
      </c>
      <c r="AI760" s="59"/>
      <c r="AJ760" s="59"/>
      <c r="AK760" s="776" t="str">
        <f>S.Staff.RG.Lead.FirstName&amp;" lets "&amp;S.Staff.Subject.Expert.FirstName&amp;" know when work is complete"</f>
        <v>AndreaG lets Brian know when work is complete</v>
      </c>
      <c r="AL760" s="76"/>
    </row>
    <row r="761" spans="1:39" s="631" customFormat="1" ht="14.1" hidden="1" customHeight="1" outlineLevel="1">
      <c r="A761" s="600"/>
      <c r="B761" s="773" t="str">
        <f t="shared" ref="B761" si="148">AK761</f>
        <v>Brian prepares EQC Staff Report and initiates reviews</v>
      </c>
      <c r="C761" s="268" t="s">
        <v>0</v>
      </c>
      <c r="D761" s="774"/>
      <c r="E761" s="890"/>
      <c r="F761" s="23"/>
      <c r="G761" s="256">
        <f t="shared" ref="G761" si="149">AG761</f>
        <v>41866</v>
      </c>
      <c r="H761" s="256">
        <f t="shared" ref="H761" si="150">AH761</f>
        <v>41955</v>
      </c>
      <c r="I761" s="931"/>
      <c r="AF761" s="361">
        <v>1</v>
      </c>
      <c r="AG761" s="775">
        <f>S.EQC.BANNER.Begin</f>
        <v>41866</v>
      </c>
      <c r="AH761" s="775">
        <f>S.EQC.SubmitStaffRpt</f>
        <v>41955</v>
      </c>
      <c r="AI761" s="59"/>
      <c r="AJ761" s="59"/>
      <c r="AK761" s="776" t="str">
        <f>S.Staff.Subject.Expert.FirstName&amp;" prepares EQC Staff Report and initiates reviews"</f>
        <v>Brian prepares EQC Staff Report and initiates reviews</v>
      </c>
      <c r="AL761" s="76"/>
    </row>
    <row r="762" spans="1:39" s="23" customFormat="1" ht="14.1" hidden="1" customHeight="1" outlineLevel="2">
      <c r="A762" s="145"/>
      <c r="B762" s="464" t="str">
        <f>AK762</f>
        <v>- PaulG, if needed</v>
      </c>
      <c r="C762" s="545" t="s">
        <v>0</v>
      </c>
      <c r="D762" s="720"/>
      <c r="E762" s="720"/>
      <c r="F762"/>
      <c r="G762" s="291">
        <f t="shared" ref="G762" si="151">AG762</f>
        <v>41866</v>
      </c>
      <c r="H762" s="291">
        <f t="shared" ref="H762" si="152">AH762</f>
        <v>41955</v>
      </c>
      <c r="I762" s="745"/>
      <c r="J762"/>
      <c r="K762"/>
      <c r="L762"/>
      <c r="M762"/>
      <c r="N762"/>
      <c r="O762"/>
      <c r="P762"/>
      <c r="Q762"/>
      <c r="R762"/>
      <c r="S762"/>
      <c r="T762"/>
      <c r="U762"/>
      <c r="X762"/>
      <c r="AB762"/>
      <c r="AC762"/>
      <c r="AF762" s="361">
        <v>1</v>
      </c>
      <c r="AG762" s="60">
        <f>S.EQC.BANNER.Begin</f>
        <v>41866</v>
      </c>
      <c r="AH762" s="60">
        <f>S.EQC.SubmitStaffRpt</f>
        <v>41955</v>
      </c>
      <c r="AI762" s="59"/>
      <c r="AJ762" s="159"/>
      <c r="AK762" s="67" t="str">
        <f>"- "&amp; S.Staff.AAG&amp;", if needed"</f>
        <v>- PaulG, if needed</v>
      </c>
      <c r="AL762" s="76"/>
    </row>
    <row r="763" spans="1:39" s="23" customFormat="1" ht="14.1" hidden="1" customHeight="1" outlineLevel="2">
      <c r="A763" s="145"/>
      <c r="B763" s="466" t="s">
        <v>241</v>
      </c>
      <c r="C763" s="545" t="s">
        <v>0</v>
      </c>
      <c r="D763" s="715"/>
      <c r="E763" s="715"/>
      <c r="F763"/>
      <c r="G763" s="291">
        <f t="shared" ref="G763" si="153">AG763</f>
        <v>41866</v>
      </c>
      <c r="H763" s="291">
        <f t="shared" ref="H763" si="154">AH763</f>
        <v>41955</v>
      </c>
      <c r="I763" s="745"/>
      <c r="J763"/>
      <c r="K763"/>
      <c r="L763"/>
      <c r="M763"/>
      <c r="N763"/>
      <c r="O763"/>
      <c r="P763"/>
      <c r="Q763"/>
      <c r="R763"/>
      <c r="S763"/>
      <c r="T763"/>
      <c r="U763"/>
      <c r="X763"/>
      <c r="AB763"/>
      <c r="AC763"/>
      <c r="AF763" s="361">
        <v>1</v>
      </c>
      <c r="AG763" s="60">
        <f>S.EQC.BANNER.Begin</f>
        <v>41866</v>
      </c>
      <c r="AH763" s="60">
        <f>S.EQC.SubmitStaffRpt</f>
        <v>41955</v>
      </c>
      <c r="AI763" s="59"/>
      <c r="AJ763" s="159"/>
      <c r="AK763" s="44"/>
      <c r="AL763" s="76"/>
    </row>
    <row r="764" spans="1:39" s="23" customFormat="1" ht="14.1" hidden="1" customHeight="1" outlineLevel="2">
      <c r="A764" s="145"/>
      <c r="B764" s="466" t="s">
        <v>241</v>
      </c>
      <c r="C764" s="545" t="s">
        <v>0</v>
      </c>
      <c r="D764" s="715"/>
      <c r="E764" s="715"/>
      <c r="F764"/>
      <c r="G764" s="291">
        <f t="shared" ref="G764" si="155">AG764</f>
        <v>41866</v>
      </c>
      <c r="H764" s="291">
        <f t="shared" ref="H764" si="156">AH764</f>
        <v>41955</v>
      </c>
      <c r="I764" s="745"/>
      <c r="J764"/>
      <c r="K764"/>
      <c r="L764"/>
      <c r="M764"/>
      <c r="N764"/>
      <c r="O764"/>
      <c r="P764"/>
      <c r="Q764"/>
      <c r="R764"/>
      <c r="S764"/>
      <c r="T764"/>
      <c r="U764"/>
      <c r="X764"/>
      <c r="AB764"/>
      <c r="AC764"/>
      <c r="AF764" s="361">
        <v>1</v>
      </c>
      <c r="AG764" s="60">
        <f>S.EQC.BANNER.Begin</f>
        <v>41866</v>
      </c>
      <c r="AH764" s="60">
        <f>S.EQC.SubmitStaffRpt</f>
        <v>41955</v>
      </c>
      <c r="AI764" s="59"/>
      <c r="AJ764" s="159"/>
      <c r="AK764" s="44"/>
      <c r="AL764" s="76"/>
    </row>
    <row r="765" spans="1:39" s="23" customFormat="1" ht="14.1" hidden="1" customHeight="1" outlineLevel="2" thickBot="1">
      <c r="A765" s="145"/>
      <c r="B765" s="466" t="s">
        <v>240</v>
      </c>
      <c r="C765" s="545" t="s">
        <v>0</v>
      </c>
      <c r="D765" s="715"/>
      <c r="E765" s="715"/>
      <c r="F765"/>
      <c r="G765" s="291">
        <f t="shared" ref="G765" si="157">AG765</f>
        <v>41866</v>
      </c>
      <c r="H765" s="291">
        <f t="shared" ref="H765" si="158">AH765</f>
        <v>41955</v>
      </c>
      <c r="I765" s="745"/>
      <c r="J765"/>
      <c r="K765"/>
      <c r="L765"/>
      <c r="M765"/>
      <c r="N765"/>
      <c r="O765"/>
      <c r="P765"/>
      <c r="Q765"/>
      <c r="R765"/>
      <c r="S765"/>
      <c r="T765"/>
      <c r="U765"/>
      <c r="X765"/>
      <c r="AB765"/>
      <c r="AC765"/>
      <c r="AF765" s="361">
        <v>1</v>
      </c>
      <c r="AG765" s="60">
        <f>S.EQC.BANNER.Begin</f>
        <v>41866</v>
      </c>
      <c r="AH765" s="60">
        <f>S.EQC.SubmitStaffRpt</f>
        <v>41955</v>
      </c>
      <c r="AI765" s="59"/>
      <c r="AJ765" s="159"/>
      <c r="AK765" s="44"/>
      <c r="AL765" s="76"/>
    </row>
    <row r="766" spans="1:39" ht="14.1" hidden="1" customHeight="1" outlineLevel="3" thickBot="1">
      <c r="A766" s="145"/>
      <c r="B766" s="465" t="s">
        <v>243</v>
      </c>
      <c r="C766" s="481" t="s">
        <v>16</v>
      </c>
      <c r="D766" s="283"/>
      <c r="E766" s="283"/>
      <c r="F766"/>
      <c r="G766" s="291">
        <f t="shared" ref="G766:H779" si="159">AG766</f>
        <v>41955</v>
      </c>
      <c r="H766" s="291">
        <f t="shared" si="159"/>
        <v>41955</v>
      </c>
      <c r="I766" s="745"/>
      <c r="AF766" s="361">
        <f>IF(S.EQC.ApprovePacketLoop1="Y",1,0)</f>
        <v>1</v>
      </c>
      <c r="AG766" s="60">
        <f>IF(AF766=0,,H749)</f>
        <v>41955</v>
      </c>
      <c r="AH766" s="60">
        <f t="shared" ref="AH766:AH777" si="160">IF(AF766=0,,S.EQC.PacketBeginReview)</f>
        <v>41955</v>
      </c>
      <c r="AI766" s="59"/>
      <c r="AJ766" s="44"/>
      <c r="AK766" s="44"/>
      <c r="AL766" s="76"/>
      <c r="AM766"/>
    </row>
    <row r="767" spans="1:39" s="23" customFormat="1" ht="14.1" hidden="1" customHeight="1" outlineLevel="3">
      <c r="A767" s="145"/>
      <c r="B767" s="467" t="s">
        <v>242</v>
      </c>
      <c r="C767" s="545" t="s">
        <v>0</v>
      </c>
      <c r="D767" s="715"/>
      <c r="E767" s="715"/>
      <c r="F767"/>
      <c r="G767" s="291">
        <f t="shared" si="159"/>
        <v>41955</v>
      </c>
      <c r="H767" s="291">
        <f t="shared" si="159"/>
        <v>41955</v>
      </c>
      <c r="I767" s="745"/>
      <c r="J767"/>
      <c r="K767"/>
      <c r="L767"/>
      <c r="M767"/>
      <c r="N767"/>
      <c r="O767"/>
      <c r="P767"/>
      <c r="Q767"/>
      <c r="R767"/>
      <c r="S767"/>
      <c r="T767"/>
      <c r="U767"/>
      <c r="X767"/>
      <c r="AB767"/>
      <c r="AC767"/>
      <c r="AF767" s="361">
        <f>IF(S.EQC.ApprovePacketLoop1="Y",1,0)</f>
        <v>1</v>
      </c>
      <c r="AG767" s="60">
        <f>IF(AF767=0,,S.EQC.PacketBeginReview)</f>
        <v>41955</v>
      </c>
      <c r="AH767" s="60">
        <f t="shared" si="160"/>
        <v>41955</v>
      </c>
      <c r="AI767" s="59"/>
      <c r="AJ767" s="159"/>
      <c r="AK767" s="44"/>
      <c r="AL767" s="76"/>
    </row>
    <row r="768" spans="1:39" s="23" customFormat="1" ht="14.1" hidden="1" customHeight="1" outlineLevel="3">
      <c r="A768" s="145"/>
      <c r="B768" s="467" t="s">
        <v>242</v>
      </c>
      <c r="C768" s="545" t="s">
        <v>0</v>
      </c>
      <c r="D768" s="715"/>
      <c r="E768" s="715"/>
      <c r="F768"/>
      <c r="G768" s="291">
        <f t="shared" ref="G768" si="161">AG768</f>
        <v>41955</v>
      </c>
      <c r="H768" s="291">
        <f t="shared" ref="H768" si="162">AH768</f>
        <v>41955</v>
      </c>
      <c r="I768" s="745"/>
      <c r="J768"/>
      <c r="K768"/>
      <c r="L768"/>
      <c r="M768"/>
      <c r="N768"/>
      <c r="O768"/>
      <c r="P768"/>
      <c r="Q768"/>
      <c r="R768"/>
      <c r="S768"/>
      <c r="T768"/>
      <c r="U768"/>
      <c r="X768"/>
      <c r="AB768"/>
      <c r="AC768"/>
      <c r="AF768" s="361">
        <f>IF(S.EQC.ApprovePacketLoop1="Y",1,0)</f>
        <v>1</v>
      </c>
      <c r="AG768" s="60">
        <f>IF(AF768=0,,S.EQC.PacketBeginReview)</f>
        <v>41955</v>
      </c>
      <c r="AH768" s="60">
        <f t="shared" si="160"/>
        <v>41955</v>
      </c>
      <c r="AI768" s="59"/>
      <c r="AJ768" s="159"/>
      <c r="AK768" s="44"/>
      <c r="AL768" s="76"/>
    </row>
    <row r="769" spans="1:39" s="23" customFormat="1" ht="14.1" hidden="1" customHeight="1" outlineLevel="3" thickBot="1">
      <c r="A769" s="145"/>
      <c r="B769" s="467" t="s">
        <v>242</v>
      </c>
      <c r="C769" s="545" t="s">
        <v>0</v>
      </c>
      <c r="D769" s="715"/>
      <c r="E769" s="715"/>
      <c r="F769"/>
      <c r="G769" s="291">
        <f t="shared" ref="G769" si="163">AG769</f>
        <v>41955</v>
      </c>
      <c r="H769" s="291">
        <f t="shared" ref="H769" si="164">AH769</f>
        <v>41955</v>
      </c>
      <c r="I769" s="745"/>
      <c r="J769"/>
      <c r="K769"/>
      <c r="L769"/>
      <c r="M769"/>
      <c r="N769"/>
      <c r="O769"/>
      <c r="P769"/>
      <c r="Q769"/>
      <c r="R769"/>
      <c r="S769"/>
      <c r="T769"/>
      <c r="U769"/>
      <c r="X769"/>
      <c r="AB769"/>
      <c r="AC769"/>
      <c r="AF769" s="361">
        <f>IF(S.EQC.ApprovePacketLoop1="Y",1,0)</f>
        <v>1</v>
      </c>
      <c r="AG769" s="60">
        <f>IF(AF769=0,,S.EQC.PacketBeginReview)</f>
        <v>41955</v>
      </c>
      <c r="AH769" s="60">
        <f t="shared" si="160"/>
        <v>41955</v>
      </c>
      <c r="AI769" s="59"/>
      <c r="AJ769" s="159"/>
      <c r="AK769" s="44"/>
      <c r="AL769" s="76"/>
    </row>
    <row r="770" spans="1:39" ht="14.1" hidden="1" customHeight="1" outlineLevel="3" thickBot="1">
      <c r="A770" s="145"/>
      <c r="B770" s="468" t="s">
        <v>244</v>
      </c>
      <c r="C770" s="481" t="s">
        <v>16</v>
      </c>
      <c r="D770" s="283"/>
      <c r="E770" s="283"/>
      <c r="F770"/>
      <c r="G770" s="291">
        <f t="shared" si="159"/>
        <v>41955</v>
      </c>
      <c r="H770" s="291">
        <f t="shared" si="159"/>
        <v>41955</v>
      </c>
      <c r="I770" s="745"/>
      <c r="AF770" s="361">
        <f>IF(S.EQC.ApprovePacketLoop2="Y",1,0)</f>
        <v>1</v>
      </c>
      <c r="AG770" s="60">
        <f>IF(AF770=0,,H766)</f>
        <v>41955</v>
      </c>
      <c r="AH770" s="60">
        <f t="shared" si="160"/>
        <v>41955</v>
      </c>
      <c r="AI770" s="59"/>
      <c r="AJ770" s="44"/>
      <c r="AK770" s="44"/>
      <c r="AL770" s="76"/>
      <c r="AM770"/>
    </row>
    <row r="771" spans="1:39" s="23" customFormat="1" ht="14.1" hidden="1" customHeight="1" outlineLevel="3">
      <c r="A771" s="145"/>
      <c r="B771" s="469" t="s">
        <v>242</v>
      </c>
      <c r="C771" s="545" t="s">
        <v>0</v>
      </c>
      <c r="D771" s="715"/>
      <c r="E771" s="715"/>
      <c r="F771"/>
      <c r="G771" s="291">
        <f t="shared" ref="G771:G773" si="165">AG771</f>
        <v>41955</v>
      </c>
      <c r="H771" s="291">
        <f t="shared" ref="H771:H773" si="166">AH771</f>
        <v>41955</v>
      </c>
      <c r="I771" s="745"/>
      <c r="J771"/>
      <c r="K771"/>
      <c r="L771"/>
      <c r="M771"/>
      <c r="N771"/>
      <c r="O771"/>
      <c r="P771"/>
      <c r="Q771"/>
      <c r="R771"/>
      <c r="S771"/>
      <c r="T771"/>
      <c r="U771"/>
      <c r="X771"/>
      <c r="AB771"/>
      <c r="AC771"/>
      <c r="AF771" s="361">
        <f>IF(S.EQC.ApprovePacketLoop2="Y",1,0)</f>
        <v>1</v>
      </c>
      <c r="AG771" s="60">
        <f>IF(AF771=0,,G770)</f>
        <v>41955</v>
      </c>
      <c r="AH771" s="60">
        <f t="shared" si="160"/>
        <v>41955</v>
      </c>
      <c r="AI771" s="59"/>
      <c r="AJ771" s="159"/>
      <c r="AK771" s="44"/>
      <c r="AL771" s="76"/>
    </row>
    <row r="772" spans="1:39" s="23" customFormat="1" ht="14.1" hidden="1" customHeight="1" outlineLevel="3">
      <c r="A772" s="145"/>
      <c r="B772" s="469" t="s">
        <v>242</v>
      </c>
      <c r="C772" s="545" t="s">
        <v>0</v>
      </c>
      <c r="D772" s="715"/>
      <c r="E772" s="715"/>
      <c r="F772"/>
      <c r="G772" s="291">
        <f t="shared" si="165"/>
        <v>41955</v>
      </c>
      <c r="H772" s="291">
        <f t="shared" si="166"/>
        <v>41955</v>
      </c>
      <c r="I772" s="745"/>
      <c r="J772"/>
      <c r="K772"/>
      <c r="L772"/>
      <c r="M772"/>
      <c r="N772"/>
      <c r="O772"/>
      <c r="P772"/>
      <c r="Q772"/>
      <c r="R772"/>
      <c r="S772"/>
      <c r="T772"/>
      <c r="U772"/>
      <c r="X772"/>
      <c r="AB772"/>
      <c r="AC772"/>
      <c r="AF772" s="361">
        <f>IF(S.EQC.ApprovePacketLoop2="Y",1,0)</f>
        <v>1</v>
      </c>
      <c r="AG772" s="60">
        <f>IF(AF772=0,,G770)</f>
        <v>41955</v>
      </c>
      <c r="AH772" s="60">
        <f t="shared" si="160"/>
        <v>41955</v>
      </c>
      <c r="AI772" s="59"/>
      <c r="AJ772" s="159"/>
      <c r="AK772" s="44"/>
      <c r="AL772" s="76"/>
    </row>
    <row r="773" spans="1:39" s="23" customFormat="1" ht="14.1" hidden="1" customHeight="1" outlineLevel="3" thickBot="1">
      <c r="A773" s="145"/>
      <c r="B773" s="469" t="s">
        <v>242</v>
      </c>
      <c r="C773" s="545" t="s">
        <v>0</v>
      </c>
      <c r="D773" s="715"/>
      <c r="E773" s="715"/>
      <c r="F773"/>
      <c r="G773" s="291">
        <f t="shared" si="165"/>
        <v>41955</v>
      </c>
      <c r="H773" s="291">
        <f t="shared" si="166"/>
        <v>41955</v>
      </c>
      <c r="I773" s="745"/>
      <c r="J773"/>
      <c r="K773"/>
      <c r="L773"/>
      <c r="M773"/>
      <c r="N773"/>
      <c r="O773"/>
      <c r="P773"/>
      <c r="Q773"/>
      <c r="R773"/>
      <c r="S773"/>
      <c r="T773"/>
      <c r="U773"/>
      <c r="X773"/>
      <c r="AB773"/>
      <c r="AC773"/>
      <c r="AF773" s="361">
        <f>IF(S.EQC.ApprovePacketLoop2="Y",1,0)</f>
        <v>1</v>
      </c>
      <c r="AG773" s="60">
        <f>IF(AF773=0,,G770)</f>
        <v>41955</v>
      </c>
      <c r="AH773" s="60">
        <f t="shared" si="160"/>
        <v>41955</v>
      </c>
      <c r="AI773" s="59"/>
      <c r="AJ773" s="159"/>
      <c r="AK773" s="44"/>
      <c r="AL773" s="76"/>
    </row>
    <row r="774" spans="1:39" ht="14.1" hidden="1" customHeight="1" outlineLevel="3" thickBot="1">
      <c r="A774" s="145"/>
      <c r="B774" s="470" t="s">
        <v>245</v>
      </c>
      <c r="C774" s="481" t="s">
        <v>16</v>
      </c>
      <c r="D774" s="283"/>
      <c r="E774" s="283"/>
      <c r="F774"/>
      <c r="G774" s="291">
        <f t="shared" si="159"/>
        <v>41955</v>
      </c>
      <c r="H774" s="291">
        <f t="shared" si="159"/>
        <v>41955</v>
      </c>
      <c r="I774" s="745"/>
      <c r="AF774" s="361">
        <f>IF(S.EQC.ApprovePacketLoop3="Y",1,0)</f>
        <v>1</v>
      </c>
      <c r="AG774" s="60">
        <f>IF(AF774=0,,H770)</f>
        <v>41955</v>
      </c>
      <c r="AH774" s="60">
        <f t="shared" si="160"/>
        <v>41955</v>
      </c>
      <c r="AI774" s="59"/>
      <c r="AJ774" s="44"/>
      <c r="AK774" s="44"/>
      <c r="AL774" s="76"/>
      <c r="AM774"/>
    </row>
    <row r="775" spans="1:39" s="23" customFormat="1" ht="14.1" hidden="1" customHeight="1" outlineLevel="3">
      <c r="A775" s="145"/>
      <c r="B775" s="471" t="s">
        <v>242</v>
      </c>
      <c r="C775" s="545" t="s">
        <v>0</v>
      </c>
      <c r="D775" s="715"/>
      <c r="E775" s="715"/>
      <c r="F775"/>
      <c r="G775" s="291">
        <f t="shared" si="159"/>
        <v>41955</v>
      </c>
      <c r="H775" s="291">
        <f t="shared" si="159"/>
        <v>41955</v>
      </c>
      <c r="I775" s="745"/>
      <c r="J775"/>
      <c r="K775"/>
      <c r="L775"/>
      <c r="M775"/>
      <c r="N775"/>
      <c r="O775"/>
      <c r="P775"/>
      <c r="Q775"/>
      <c r="R775"/>
      <c r="S775"/>
      <c r="T775"/>
      <c r="U775"/>
      <c r="X775"/>
      <c r="AB775"/>
      <c r="AC775"/>
      <c r="AF775" s="361">
        <f>IF(S.EQC.ApprovePacketLoop3="Y",1,0)</f>
        <v>1</v>
      </c>
      <c r="AG775" s="60">
        <f>IF(AF775=0,,G774)</f>
        <v>41955</v>
      </c>
      <c r="AH775" s="60">
        <f t="shared" si="160"/>
        <v>41955</v>
      </c>
      <c r="AI775" s="59"/>
      <c r="AJ775" s="159"/>
      <c r="AK775" s="44"/>
      <c r="AL775" s="76"/>
    </row>
    <row r="776" spans="1:39" s="23" customFormat="1" ht="14.1" hidden="1" customHeight="1" outlineLevel="3">
      <c r="A776" s="145"/>
      <c r="B776" s="471" t="s">
        <v>242</v>
      </c>
      <c r="C776" s="545" t="s">
        <v>0</v>
      </c>
      <c r="D776" s="715"/>
      <c r="E776" s="715"/>
      <c r="F776"/>
      <c r="G776" s="291">
        <f t="shared" si="159"/>
        <v>41955</v>
      </c>
      <c r="H776" s="291">
        <f t="shared" si="159"/>
        <v>41955</v>
      </c>
      <c r="I776" s="745"/>
      <c r="J776"/>
      <c r="K776"/>
      <c r="L776"/>
      <c r="M776"/>
      <c r="N776"/>
      <c r="O776"/>
      <c r="P776"/>
      <c r="Q776"/>
      <c r="R776"/>
      <c r="S776"/>
      <c r="T776"/>
      <c r="U776"/>
      <c r="X776"/>
      <c r="AB776"/>
      <c r="AC776"/>
      <c r="AF776" s="361">
        <f>IF(S.EQC.ApprovePacketLoop3="Y",1,0)</f>
        <v>1</v>
      </c>
      <c r="AG776" s="60">
        <f>IF(AF776=0,,G774)</f>
        <v>41955</v>
      </c>
      <c r="AH776" s="60">
        <f t="shared" si="160"/>
        <v>41955</v>
      </c>
      <c r="AI776" s="59"/>
      <c r="AJ776" s="159"/>
      <c r="AK776" s="44"/>
      <c r="AL776" s="76"/>
    </row>
    <row r="777" spans="1:39" s="23" customFormat="1" ht="14.1" hidden="1" customHeight="1" outlineLevel="3">
      <c r="A777" s="145"/>
      <c r="B777" s="471" t="s">
        <v>242</v>
      </c>
      <c r="C777" s="545" t="s">
        <v>0</v>
      </c>
      <c r="D777" s="715"/>
      <c r="E777" s="715"/>
      <c r="F777"/>
      <c r="G777" s="291">
        <f t="shared" si="159"/>
        <v>41955</v>
      </c>
      <c r="H777" s="291">
        <f t="shared" si="159"/>
        <v>41955</v>
      </c>
      <c r="I777" s="745"/>
      <c r="J777"/>
      <c r="K777"/>
      <c r="L777"/>
      <c r="M777"/>
      <c r="N777"/>
      <c r="O777"/>
      <c r="P777"/>
      <c r="Q777"/>
      <c r="R777"/>
      <c r="S777"/>
      <c r="T777"/>
      <c r="U777"/>
      <c r="X777"/>
      <c r="AB777"/>
      <c r="AC777"/>
      <c r="AF777" s="361">
        <f>IF(S.EQC.ApprovePacketLoop3="Y",1,0)</f>
        <v>1</v>
      </c>
      <c r="AG777" s="60">
        <f>IF(AF777=0,,G774)</f>
        <v>41955</v>
      </c>
      <c r="AH777" s="60">
        <f t="shared" si="160"/>
        <v>41955</v>
      </c>
      <c r="AI777" s="59"/>
      <c r="AJ777" s="159"/>
      <c r="AK777" s="44"/>
      <c r="AL777" s="76"/>
    </row>
    <row r="778" spans="1:39" s="23" customFormat="1" ht="14.1" hidden="1" customHeight="1" outlineLevel="2" thickBot="1">
      <c r="A778" s="145" t="s">
        <v>0</v>
      </c>
      <c r="B778" s="285" t="str">
        <f>AK778</f>
        <v>Brian:</v>
      </c>
      <c r="C778" s="545" t="s">
        <v>0</v>
      </c>
      <c r="D778" s="719"/>
      <c r="E778" s="701"/>
      <c r="F778"/>
      <c r="G778"/>
      <c r="H778"/>
      <c r="I778" s="745"/>
      <c r="J778"/>
      <c r="K778"/>
      <c r="L778"/>
      <c r="M778"/>
      <c r="N778"/>
      <c r="O778"/>
      <c r="P778"/>
      <c r="Q778"/>
      <c r="R778"/>
      <c r="S778"/>
      <c r="T778"/>
      <c r="U778"/>
      <c r="X778"/>
      <c r="AB778"/>
      <c r="AC778"/>
      <c r="AF778" s="361">
        <v>1</v>
      </c>
      <c r="AG778" s="76"/>
      <c r="AH778" s="76"/>
      <c r="AI778" s="59"/>
      <c r="AJ778" s="44"/>
      <c r="AK778" s="67" t="str">
        <f>S.Staff.Subject.Expert.FirstName&amp;":"</f>
        <v>Brian:</v>
      </c>
      <c r="AL778" s="76"/>
    </row>
    <row r="779" spans="1:39" s="23" customFormat="1" ht="14.1" hidden="1" customHeight="1" outlineLevel="2" thickBot="1">
      <c r="A779" s="145"/>
      <c r="B779" s="472" t="str">
        <f>AK779</f>
        <v>* discusses need for 1|1 commissioners briefings with DavidC &amp; Uri</v>
      </c>
      <c r="C779" s="481" t="s">
        <v>206</v>
      </c>
      <c r="D779" s="720"/>
      <c r="E779" s="720"/>
      <c r="F779"/>
      <c r="G779" s="291">
        <f t="shared" si="159"/>
        <v>0</v>
      </c>
      <c r="H779" s="291">
        <f t="shared" si="159"/>
        <v>0</v>
      </c>
      <c r="I779" s="745"/>
      <c r="J779"/>
      <c r="K779"/>
      <c r="L779"/>
      <c r="M779"/>
      <c r="N779"/>
      <c r="O779"/>
      <c r="P779"/>
      <c r="Q779"/>
      <c r="R779"/>
      <c r="S779"/>
      <c r="T779"/>
      <c r="U779"/>
      <c r="X779"/>
      <c r="AB779"/>
      <c r="AC779"/>
      <c r="AF779" s="361">
        <f t="shared" ref="AF779:AF784" si="167">IF(S.EQC.1on1Briefing="Y",1,0)</f>
        <v>0</v>
      </c>
      <c r="AG779" s="60">
        <f>IF(AF779=0,,MAX(H762:H777))</f>
        <v>0</v>
      </c>
      <c r="AH779" s="60">
        <f>IF(AF779=0,,S.EQC.SubmitStaffRpt)</f>
        <v>0</v>
      </c>
      <c r="AI779" s="59"/>
      <c r="AJ779" s="159"/>
      <c r="AK779" s="67" t="str">
        <f>"* discusses need for 1|1 commissioners briefings with "&amp;S.Staff.Program.Mgr.FirstName&amp;" &amp; "&amp;S.Staff.Assistant.DA.ShortName</f>
        <v>* discusses need for 1|1 commissioners briefings with DavidC &amp; Uri</v>
      </c>
      <c r="AL779" s="76"/>
    </row>
    <row r="780" spans="1:39" s="23" customFormat="1" ht="14.1" hidden="1" customHeight="1" outlineLevel="2">
      <c r="A780" s="145"/>
      <c r="B780" s="897" t="s">
        <v>723</v>
      </c>
      <c r="C780" s="1035" t="s">
        <v>349</v>
      </c>
      <c r="D780" s="1035"/>
      <c r="E780" s="1035"/>
      <c r="F780" s="1035"/>
      <c r="G780" s="1035"/>
      <c r="H780" s="1035"/>
      <c r="I780" s="932"/>
      <c r="J780" s="896"/>
      <c r="K780" s="896"/>
      <c r="L780" s="896"/>
      <c r="M780" s="896"/>
      <c r="N780" s="896"/>
      <c r="O780" s="896"/>
      <c r="P780" s="896"/>
      <c r="Q780" s="896"/>
      <c r="R780" s="896"/>
      <c r="S780" s="896"/>
      <c r="T780" s="896"/>
      <c r="U780" s="896"/>
      <c r="V780" s="896"/>
      <c r="W780" s="896"/>
      <c r="X780" s="896"/>
      <c r="Y780" s="896"/>
      <c r="Z780" s="896"/>
      <c r="AA780" s="896"/>
      <c r="AB780" s="896"/>
      <c r="AC780" s="896"/>
      <c r="AD780" s="896"/>
      <c r="AF780" s="361">
        <f t="shared" si="167"/>
        <v>0</v>
      </c>
      <c r="AG780" s="80"/>
      <c r="AH780" s="80"/>
      <c r="AI780" s="59"/>
      <c r="AJ780" s="44"/>
      <c r="AK780" s="44"/>
      <c r="AL780" s="76"/>
    </row>
    <row r="781" spans="1:39" s="23" customFormat="1" ht="14.1" hidden="1" customHeight="1" outlineLevel="2">
      <c r="A781" s="145"/>
      <c r="B781" s="897" t="s">
        <v>723</v>
      </c>
      <c r="C781" s="1035" t="s">
        <v>296</v>
      </c>
      <c r="D781" s="1035"/>
      <c r="E781" s="1035"/>
      <c r="F781" s="1035"/>
      <c r="G781" s="1035"/>
      <c r="H781" s="1035"/>
      <c r="I781" s="932"/>
      <c r="J781" s="896"/>
      <c r="K781" s="896"/>
      <c r="L781" s="896"/>
      <c r="M781" s="896"/>
      <c r="N781" s="896"/>
      <c r="O781" s="896"/>
      <c r="P781" s="896"/>
      <c r="Q781" s="896"/>
      <c r="R781" s="896"/>
      <c r="S781" s="896"/>
      <c r="T781" s="896"/>
      <c r="U781" s="896"/>
      <c r="V781" s="896"/>
      <c r="W781" s="896"/>
      <c r="X781" s="896"/>
      <c r="Y781" s="896"/>
      <c r="Z781" s="896"/>
      <c r="AA781" s="896"/>
      <c r="AB781" s="896"/>
      <c r="AC781" s="896"/>
      <c r="AD781" s="896"/>
      <c r="AF781" s="361">
        <f t="shared" si="167"/>
        <v>0</v>
      </c>
      <c r="AG781" s="80"/>
      <c r="AH781" s="80"/>
      <c r="AI781" s="59"/>
      <c r="AJ781" s="44"/>
      <c r="AK781" s="44"/>
      <c r="AL781" s="76"/>
    </row>
    <row r="782" spans="1:39" s="23" customFormat="1" ht="14.1" hidden="1" customHeight="1" outlineLevel="2">
      <c r="A782" s="145"/>
      <c r="B782" s="897" t="s">
        <v>723</v>
      </c>
      <c r="C782" s="1035" t="s">
        <v>297</v>
      </c>
      <c r="D782" s="1035"/>
      <c r="E782" s="1035"/>
      <c r="F782" s="1035"/>
      <c r="G782" s="1035"/>
      <c r="H782" s="1035"/>
      <c r="I782" s="1035"/>
      <c r="J782" s="1035"/>
      <c r="K782" s="1035"/>
      <c r="L782" s="1035"/>
      <c r="M782" s="1035"/>
      <c r="N782" s="1035"/>
      <c r="O782" s="1035"/>
      <c r="P782" s="1035"/>
      <c r="Q782" s="1035"/>
      <c r="R782" s="1035"/>
      <c r="S782" s="1035"/>
      <c r="T782" s="1035"/>
      <c r="U782" s="1035"/>
      <c r="V782" s="1035"/>
      <c r="W782" s="1035"/>
      <c r="X782" s="1035"/>
      <c r="Y782" s="1035"/>
      <c r="Z782" s="1035"/>
      <c r="AA782" s="1035"/>
      <c r="AB782" s="1035"/>
      <c r="AC782" s="1035"/>
      <c r="AD782" s="1035"/>
      <c r="AF782" s="361">
        <f t="shared" si="167"/>
        <v>0</v>
      </c>
      <c r="AG782" s="80"/>
      <c r="AH782" s="80"/>
      <c r="AI782" s="59"/>
      <c r="AJ782" s="44"/>
      <c r="AK782" s="44"/>
      <c r="AL782" s="76"/>
    </row>
    <row r="783" spans="1:39" s="23" customFormat="1" ht="14.1" hidden="1" customHeight="1" outlineLevel="2">
      <c r="A783" s="145"/>
      <c r="B783" s="897" t="s">
        <v>723</v>
      </c>
      <c r="C783" s="1035" t="s">
        <v>298</v>
      </c>
      <c r="D783" s="1035"/>
      <c r="E783" s="1035"/>
      <c r="F783" s="1035"/>
      <c r="G783" s="1035"/>
      <c r="H783" s="1035"/>
      <c r="I783" s="1035"/>
      <c r="J783" s="1035"/>
      <c r="K783" s="1035"/>
      <c r="L783" s="1035"/>
      <c r="M783" s="1035"/>
      <c r="N783" s="1035"/>
      <c r="O783" s="1035"/>
      <c r="P783" s="1035"/>
      <c r="Q783" s="1035"/>
      <c r="R783" s="1035"/>
      <c r="S783" s="1035"/>
      <c r="T783" s="1035"/>
      <c r="U783" s="1035"/>
      <c r="V783" s="1035"/>
      <c r="W783" s="1035"/>
      <c r="X783" s="1035"/>
      <c r="Y783" s="1035"/>
      <c r="Z783" s="1035"/>
      <c r="AA783" s="1035"/>
      <c r="AB783" s="1035"/>
      <c r="AC783" s="1035"/>
      <c r="AD783" s="1035"/>
      <c r="AF783" s="361">
        <f t="shared" si="167"/>
        <v>0</v>
      </c>
      <c r="AG783" s="80"/>
      <c r="AH783" s="80"/>
      <c r="AI783" s="59"/>
      <c r="AJ783" s="44"/>
      <c r="AK783" s="44"/>
      <c r="AL783" s="76"/>
    </row>
    <row r="784" spans="1:39" s="23" customFormat="1" ht="14.1" hidden="1" customHeight="1" outlineLevel="2">
      <c r="A784" s="145"/>
      <c r="B784" s="897" t="s">
        <v>723</v>
      </c>
      <c r="C784" s="1035" t="s">
        <v>299</v>
      </c>
      <c r="D784" s="1035"/>
      <c r="E784" s="1035"/>
      <c r="F784" s="1035"/>
      <c r="G784" s="1035"/>
      <c r="H784" s="1035"/>
      <c r="I784" s="1035"/>
      <c r="J784" s="1035"/>
      <c r="K784" s="1035"/>
      <c r="L784" s="1035"/>
      <c r="M784" s="1035"/>
      <c r="N784" s="1035"/>
      <c r="O784" s="1035"/>
      <c r="P784" s="1035"/>
      <c r="Q784" s="1035"/>
      <c r="R784" s="1035"/>
      <c r="S784" s="1035"/>
      <c r="T784" s="1035"/>
      <c r="U784" s="1035"/>
      <c r="V784" s="1035"/>
      <c r="W784" s="1035"/>
      <c r="X784" s="1035"/>
      <c r="Y784" s="1035"/>
      <c r="Z784" s="1035"/>
      <c r="AA784" s="1035"/>
      <c r="AB784" s="1035"/>
      <c r="AC784" s="1035"/>
      <c r="AD784" s="1035"/>
      <c r="AF784" s="361">
        <f t="shared" si="167"/>
        <v>0</v>
      </c>
      <c r="AG784" s="80"/>
      <c r="AH784" s="80"/>
      <c r="AI784" s="59"/>
      <c r="AJ784" s="44"/>
      <c r="AK784" s="44"/>
      <c r="AL784" s="76"/>
    </row>
    <row r="785" spans="1:39" ht="14.1" hidden="1" customHeight="1" outlineLevel="2">
      <c r="A785" s="145"/>
      <c r="B785" s="203" t="s">
        <v>724</v>
      </c>
      <c r="C785" s="542"/>
      <c r="D785" s="705"/>
      <c r="E785" s="705"/>
      <c r="F785"/>
      <c r="G785"/>
      <c r="H785"/>
      <c r="I785" s="745"/>
      <c r="AF785" s="361">
        <v>1</v>
      </c>
      <c r="AG785" s="76"/>
      <c r="AH785" s="76"/>
      <c r="AI785" s="59"/>
      <c r="AJ785" s="44"/>
      <c r="AK785" s="44"/>
      <c r="AL785" s="76"/>
      <c r="AM785"/>
    </row>
    <row r="786" spans="1:39" s="23" customFormat="1" ht="14.1" hidden="1" customHeight="1" outlineLevel="2">
      <c r="A786" s="145"/>
      <c r="B786" s="473" t="str">
        <f>AK786</f>
        <v>- DavidC for lead manager approval</v>
      </c>
      <c r="C786" s="545" t="s">
        <v>0</v>
      </c>
      <c r="D786" s="720"/>
      <c r="E786" s="720"/>
      <c r="F786"/>
      <c r="G786" s="291">
        <f t="shared" ref="G786:G787" si="168">AG786</f>
        <v>41866</v>
      </c>
      <c r="H786" s="291">
        <f t="shared" ref="H786:H787" si="169">AH786</f>
        <v>41955</v>
      </c>
      <c r="I786" s="745"/>
      <c r="J786"/>
      <c r="K786"/>
      <c r="L786"/>
      <c r="M786"/>
      <c r="N786"/>
      <c r="O786"/>
      <c r="P786"/>
      <c r="Q786"/>
      <c r="R786"/>
      <c r="S786"/>
      <c r="T786"/>
      <c r="U786"/>
      <c r="X786"/>
      <c r="AB786"/>
      <c r="AC786"/>
      <c r="AF786" s="361">
        <v>1</v>
      </c>
      <c r="AG786" s="60">
        <f>S.EQC.BANNER.Begin</f>
        <v>41866</v>
      </c>
      <c r="AH786" s="60">
        <f>S.EQC.SubmitStaffRpt</f>
        <v>41955</v>
      </c>
      <c r="AI786" s="59"/>
      <c r="AJ786" s="159"/>
      <c r="AK786" s="67" t="str">
        <f>"- "&amp;S.Staff.Program.Mgr.FirstName&amp;" for lead manager approval"</f>
        <v>- DavidC for lead manager approval</v>
      </c>
      <c r="AL786" s="76"/>
    </row>
    <row r="787" spans="1:39" s="23" customFormat="1" ht="14.1" hidden="1" customHeight="1" outlineLevel="2">
      <c r="A787" s="145"/>
      <c r="B787" s="473" t="str">
        <f>AK787</f>
        <v>- Uri for division administrator approval</v>
      </c>
      <c r="C787" s="545" t="s">
        <v>0</v>
      </c>
      <c r="D787" s="720"/>
      <c r="E787" s="720"/>
      <c r="F787"/>
      <c r="G787" s="291">
        <f t="shared" si="168"/>
        <v>41866</v>
      </c>
      <c r="H787" s="291">
        <f t="shared" si="169"/>
        <v>41955</v>
      </c>
      <c r="I787" s="745"/>
      <c r="J787"/>
      <c r="K787"/>
      <c r="L787"/>
      <c r="M787"/>
      <c r="N787"/>
      <c r="O787"/>
      <c r="P787"/>
      <c r="Q787"/>
      <c r="R787"/>
      <c r="S787"/>
      <c r="T787"/>
      <c r="U787"/>
      <c r="X787"/>
      <c r="AB787"/>
      <c r="AC787"/>
      <c r="AF787" s="361">
        <v>1</v>
      </c>
      <c r="AG787" s="60">
        <f>S.EQC.BANNER.Begin</f>
        <v>41866</v>
      </c>
      <c r="AH787" s="60">
        <f>S.EQC.SubmitStaffRpt</f>
        <v>41955</v>
      </c>
      <c r="AI787" s="59"/>
      <c r="AJ787" s="159"/>
      <c r="AK787" s="67" t="str">
        <f>"- "&amp;S.Staff.Assistant.DA.ShortName&amp; " for division administrator approval"</f>
        <v>- Uri for division administrator approval</v>
      </c>
      <c r="AL787" s="76"/>
    </row>
    <row r="788" spans="1:39" s="23" customFormat="1" ht="14.1" hidden="1" customHeight="1" outlineLevel="2">
      <c r="A788" s="145" t="s">
        <v>0</v>
      </c>
      <c r="B788" s="289" t="s">
        <v>725</v>
      </c>
      <c r="C788" s="321"/>
      <c r="D788" s="308"/>
      <c r="E788" s="308"/>
      <c r="F788"/>
      <c r="G788" s="437">
        <f t="shared" ref="G788" si="170">AG788</f>
        <v>41866</v>
      </c>
      <c r="H788" s="437">
        <f t="shared" ref="H788" si="171">AH788</f>
        <v>41989</v>
      </c>
      <c r="I788" s="745"/>
      <c r="J788"/>
      <c r="K788"/>
      <c r="L788"/>
      <c r="M788"/>
      <c r="N788"/>
      <c r="O788"/>
      <c r="P788"/>
      <c r="Q788"/>
      <c r="R788"/>
      <c r="S788"/>
      <c r="T788"/>
      <c r="U788"/>
      <c r="X788"/>
      <c r="AB788"/>
      <c r="AC788"/>
      <c r="AF788" s="361">
        <v>1</v>
      </c>
      <c r="AG788" s="60">
        <f>S.EQC.BANNER.Begin</f>
        <v>41866</v>
      </c>
      <c r="AH788" s="60">
        <f>S.EQC.Meeting-1</f>
        <v>41989</v>
      </c>
      <c r="AI788" s="59"/>
      <c r="AJ788" s="59"/>
      <c r="AK788" s="74"/>
      <c r="AL788" s="76"/>
    </row>
    <row r="789" spans="1:39" s="23" customFormat="1" ht="14.1" hidden="1" customHeight="1" outlineLevel="2">
      <c r="A789" s="145"/>
      <c r="B789" s="474" t="s">
        <v>726</v>
      </c>
      <c r="C789" s="545" t="s">
        <v>0</v>
      </c>
      <c r="D789" s="308"/>
      <c r="E789" s="465"/>
      <c r="I789" s="745"/>
      <c r="AF789" s="361">
        <v>1</v>
      </c>
      <c r="AG789" s="59"/>
      <c r="AH789" s="59"/>
      <c r="AI789" s="59"/>
      <c r="AJ789" s="44"/>
      <c r="AK789" s="44"/>
      <c r="AL789" s="76"/>
    </row>
    <row r="790" spans="1:39" s="23" customFormat="1" ht="14.1" hidden="1" customHeight="1" outlineLevel="2">
      <c r="A790" s="145"/>
      <c r="B790" s="474" t="s">
        <v>246</v>
      </c>
      <c r="C790" s="545" t="s">
        <v>0</v>
      </c>
      <c r="D790" s="308"/>
      <c r="E790" s="465"/>
      <c r="F790"/>
      <c r="G790"/>
      <c r="H790"/>
      <c r="I790" s="745"/>
      <c r="J790"/>
      <c r="K790"/>
      <c r="L790"/>
      <c r="M790"/>
      <c r="N790"/>
      <c r="O790"/>
      <c r="P790"/>
      <c r="Q790"/>
      <c r="R790"/>
      <c r="S790"/>
      <c r="T790"/>
      <c r="U790"/>
      <c r="X790"/>
      <c r="AB790"/>
      <c r="AC790"/>
      <c r="AF790" s="361">
        <v>1</v>
      </c>
      <c r="AG790" s="59"/>
      <c r="AH790" s="59"/>
      <c r="AI790" s="59"/>
      <c r="AJ790" s="44"/>
      <c r="AK790" s="44"/>
      <c r="AL790" s="76"/>
    </row>
    <row r="791" spans="1:39" s="23" customFormat="1" ht="14.1" hidden="1" customHeight="1" outlineLevel="2">
      <c r="A791" s="145"/>
      <c r="B791" s="474" t="s">
        <v>247</v>
      </c>
      <c r="C791" s="545" t="s">
        <v>0</v>
      </c>
      <c r="D791" s="308"/>
      <c r="E791" s="465"/>
      <c r="F791"/>
      <c r="G791"/>
      <c r="H791"/>
      <c r="I791" s="745"/>
      <c r="J791"/>
      <c r="K791"/>
      <c r="L791"/>
      <c r="M791"/>
      <c r="N791"/>
      <c r="O791"/>
      <c r="P791"/>
      <c r="Q791"/>
      <c r="R791"/>
      <c r="S791"/>
      <c r="T791"/>
      <c r="U791"/>
      <c r="X791"/>
      <c r="AB791"/>
      <c r="AC791"/>
      <c r="AF791" s="361">
        <f>IF(S.AC.CommitteeInvolved="Y",1,0)</f>
        <v>0</v>
      </c>
      <c r="AG791" s="59"/>
      <c r="AH791" s="59"/>
      <c r="AI791" s="59"/>
      <c r="AJ791" s="44"/>
      <c r="AK791" s="44"/>
      <c r="AL791" s="76"/>
    </row>
    <row r="792" spans="1:39" s="23" customFormat="1" ht="14.1" hidden="1" customHeight="1" outlineLevel="2">
      <c r="A792" s="145"/>
      <c r="B792" s="474" t="s">
        <v>248</v>
      </c>
      <c r="C792" s="545" t="s">
        <v>0</v>
      </c>
      <c r="D792" s="308"/>
      <c r="E792" s="465"/>
      <c r="F792"/>
      <c r="G792"/>
      <c r="H792"/>
      <c r="I792" s="745"/>
      <c r="J792"/>
      <c r="K792"/>
      <c r="L792"/>
      <c r="M792"/>
      <c r="N792"/>
      <c r="O792"/>
      <c r="P792"/>
      <c r="Q792"/>
      <c r="R792"/>
      <c r="S792"/>
      <c r="T792"/>
      <c r="U792"/>
      <c r="X792"/>
      <c r="AB792"/>
      <c r="AC792"/>
      <c r="AF792" s="361">
        <f>IF(S.Notice.Involved="Y",1,0)</f>
        <v>1</v>
      </c>
      <c r="AG792" s="59"/>
      <c r="AH792" s="59"/>
      <c r="AI792" s="59"/>
      <c r="AJ792" s="44"/>
      <c r="AK792" s="44"/>
      <c r="AL792" s="76"/>
    </row>
    <row r="793" spans="1:39" s="23" customFormat="1" ht="14.1" hidden="1" customHeight="1" outlineLevel="2">
      <c r="A793" s="145"/>
      <c r="B793" s="474" t="s">
        <v>249</v>
      </c>
      <c r="C793" s="545" t="s">
        <v>0</v>
      </c>
      <c r="D793" s="308"/>
      <c r="E793" s="465"/>
      <c r="F793"/>
      <c r="G793"/>
      <c r="H793"/>
      <c r="I793" s="745"/>
      <c r="J793"/>
      <c r="K793"/>
      <c r="L793"/>
      <c r="M793"/>
      <c r="N793"/>
      <c r="O793"/>
      <c r="P793"/>
      <c r="Q793"/>
      <c r="R793"/>
      <c r="S793"/>
      <c r="T793"/>
      <c r="U793"/>
      <c r="X793"/>
      <c r="AB793"/>
      <c r="AC793"/>
      <c r="AF793" s="361">
        <v>1</v>
      </c>
      <c r="AG793" s="59"/>
      <c r="AH793" s="59"/>
      <c r="AI793" s="59"/>
      <c r="AJ793" s="44"/>
      <c r="AK793" s="44"/>
      <c r="AL793" s="76"/>
    </row>
    <row r="794" spans="1:39" ht="14.1" hidden="1" customHeight="1" outlineLevel="2">
      <c r="A794" s="145"/>
      <c r="B794" s="304" t="s">
        <v>237</v>
      </c>
      <c r="C794" s="545" t="s">
        <v>0</v>
      </c>
      <c r="D794" s="308"/>
      <c r="E794" s="308"/>
      <c r="F794"/>
      <c r="G794" s="437">
        <f t="shared" ref="G794:H794" si="172">AG794</f>
        <v>41955</v>
      </c>
      <c r="H794" s="437">
        <f t="shared" si="172"/>
        <v>41989</v>
      </c>
      <c r="I794" s="745"/>
      <c r="AF794" s="361">
        <v>1</v>
      </c>
      <c r="AG794" s="60">
        <f>H787</f>
        <v>41955</v>
      </c>
      <c r="AH794" s="60">
        <f>S.EQC.Meeting-1</f>
        <v>41989</v>
      </c>
      <c r="AI794" s="59"/>
      <c r="AJ794" s="44"/>
      <c r="AK794" s="44"/>
      <c r="AL794" s="76"/>
      <c r="AM794"/>
    </row>
    <row r="795" spans="1:39" ht="14.1" hidden="1" customHeight="1" outlineLevel="2">
      <c r="A795" s="145"/>
      <c r="B795" s="203" t="s">
        <v>239</v>
      </c>
      <c r="C795" s="282" t="s">
        <v>0</v>
      </c>
      <c r="D795" s="308"/>
      <c r="E795" s="308"/>
      <c r="F795"/>
      <c r="G795" s="437">
        <f t="shared" ref="G795:G796" si="173">AG795</f>
        <v>41989</v>
      </c>
      <c r="H795" s="437">
        <f t="shared" ref="H795:H796" si="174">AH795</f>
        <v>41989</v>
      </c>
      <c r="I795" s="745"/>
      <c r="AF795" s="361">
        <v>1</v>
      </c>
      <c r="AG795" s="60">
        <f>H788</f>
        <v>41989</v>
      </c>
      <c r="AH795" s="60">
        <f>S.EQC.Meeting-1</f>
        <v>41989</v>
      </c>
      <c r="AI795" s="59"/>
      <c r="AJ795" s="44"/>
      <c r="AK795" s="44" t="s">
        <v>0</v>
      </c>
      <c r="AL795" s="76"/>
      <c r="AM795"/>
    </row>
    <row r="796" spans="1:39" ht="14.1" hidden="1" customHeight="1" outlineLevel="2">
      <c r="A796" s="145"/>
      <c r="B796" s="456" t="s">
        <v>238</v>
      </c>
      <c r="C796" s="268" t="s">
        <v>0</v>
      </c>
      <c r="D796" s="308"/>
      <c r="E796" s="308"/>
      <c r="F796"/>
      <c r="G796" s="437">
        <f t="shared" si="173"/>
        <v>41989</v>
      </c>
      <c r="H796" s="437">
        <f t="shared" si="174"/>
        <v>41989</v>
      </c>
      <c r="I796" s="745"/>
      <c r="AF796" s="361">
        <v>1</v>
      </c>
      <c r="AG796" s="60">
        <f>G795</f>
        <v>41989</v>
      </c>
      <c r="AH796" s="60">
        <f>S.EQC.Meeting-1</f>
        <v>41989</v>
      </c>
      <c r="AI796" s="59"/>
      <c r="AJ796" s="43"/>
      <c r="AK796" s="43"/>
      <c r="AL796" s="76"/>
      <c r="AM796"/>
    </row>
    <row r="797" spans="1:39" ht="14.1" hidden="1" customHeight="1" outlineLevel="2">
      <c r="A797" s="145"/>
      <c r="B797" s="305" t="s">
        <v>194</v>
      </c>
      <c r="C797" s="324"/>
      <c r="D797" s="305"/>
      <c r="E797" s="305"/>
      <c r="F797"/>
      <c r="G797" s="438">
        <f>AG797</f>
        <v>0</v>
      </c>
      <c r="H797" s="439">
        <f>AH797</f>
        <v>41990</v>
      </c>
      <c r="I797" s="745"/>
      <c r="AF797" s="361">
        <v>1</v>
      </c>
      <c r="AG797" s="59"/>
      <c r="AH797" s="60">
        <f>S.EQC.Meeting</f>
        <v>41990</v>
      </c>
      <c r="AI797" s="59"/>
      <c r="AJ797" s="44"/>
      <c r="AK797" s="44"/>
      <c r="AL797" s="76"/>
      <c r="AM797"/>
    </row>
    <row r="798" spans="1:39" s="23" customFormat="1" ht="14.1" hidden="1" customHeight="1" outlineLevel="2">
      <c r="A798" s="145"/>
      <c r="B798" s="208" t="str">
        <f>AK798</f>
        <v>Brian collects emails about EQC preparations for Rule Record and saves as:</v>
      </c>
      <c r="C798" s="509" t="str">
        <f>HYPERLINK("\\deqhq1\Rule_Development\Currrent Plan","i")</f>
        <v>i</v>
      </c>
      <c r="D798" s="292"/>
      <c r="E798" s="750"/>
      <c r="F798"/>
      <c r="G798" s="525">
        <f>AG798</f>
        <v>41990</v>
      </c>
      <c r="H798" s="525">
        <f>AH798</f>
        <v>41990</v>
      </c>
      <c r="I798" s="745"/>
      <c r="J798"/>
      <c r="K798"/>
      <c r="L798"/>
      <c r="M798"/>
      <c r="N798"/>
      <c r="O798"/>
      <c r="P798"/>
      <c r="Q798"/>
      <c r="R798"/>
      <c r="S798"/>
      <c r="T798"/>
      <c r="U798"/>
      <c r="X798"/>
      <c r="AB798"/>
      <c r="AC798"/>
      <c r="AF798" s="361">
        <v>1</v>
      </c>
      <c r="AG798" s="60">
        <f>S.EQC.Meeting</f>
        <v>41990</v>
      </c>
      <c r="AH798" s="60">
        <f>G798</f>
        <v>41990</v>
      </c>
      <c r="AI798" s="59"/>
      <c r="AJ798" s="59"/>
      <c r="AK798" s="78" t="str">
        <f>S.Staff.Subject.Expert.FirstName&amp;" collects emails about EQC preparations for Rule Record and saves as:"</f>
        <v>Brian collects emails about EQC preparations for Rule Record and saves as:</v>
      </c>
      <c r="AL798" s="76"/>
    </row>
    <row r="799" spans="1:39" s="23" customFormat="1" ht="14.1" hidden="1" customHeight="1" outlineLevel="2">
      <c r="A799" s="145"/>
      <c r="B799" s="277" t="s">
        <v>136</v>
      </c>
      <c r="C799" s="268"/>
      <c r="D799" s="278"/>
      <c r="E799" s="278"/>
      <c r="F799" s="262"/>
      <c r="G799" s="258"/>
      <c r="H799" s="258"/>
      <c r="I799" s="745"/>
      <c r="J799"/>
      <c r="K799"/>
      <c r="L799"/>
      <c r="M799"/>
      <c r="N799"/>
      <c r="O799"/>
      <c r="P799"/>
      <c r="Q799"/>
      <c r="R799"/>
      <c r="S799"/>
      <c r="T799"/>
      <c r="U799"/>
      <c r="X799"/>
      <c r="AB799"/>
      <c r="AC799"/>
      <c r="AF799" s="361">
        <v>1</v>
      </c>
      <c r="AG799" s="58"/>
      <c r="AH799" s="58"/>
      <c r="AI799" s="58"/>
      <c r="AJ799" s="44"/>
      <c r="AK799" s="58" t="s">
        <v>0</v>
      </c>
      <c r="AL799" s="76"/>
    </row>
    <row r="800" spans="1:39" ht="5.25" hidden="1" customHeight="1" outlineLevel="1">
      <c r="A800" s="145"/>
      <c r="B800" s="209"/>
      <c r="C800" s="102"/>
      <c r="D800" s="101"/>
      <c r="E800" s="101"/>
      <c r="F800" s="103"/>
      <c r="G800" s="127"/>
      <c r="H800" s="128"/>
      <c r="I800" s="745"/>
      <c r="AF800" s="361" t="s">
        <v>20</v>
      </c>
      <c r="AG800" s="47"/>
      <c r="AH800" s="47"/>
      <c r="AI800" s="59"/>
      <c r="AJ800" s="44"/>
      <c r="AK800" s="44"/>
      <c r="AL800" s="76"/>
      <c r="AM800"/>
    </row>
    <row r="801" spans="1:39" s="23" customFormat="1" ht="18" hidden="1" customHeight="1" outlineLevel="1">
      <c r="A801" s="145"/>
      <c r="B801" s="1013" t="s">
        <v>200</v>
      </c>
      <c r="C801" s="1013"/>
      <c r="D801" s="1013"/>
      <c r="E801" s="1013"/>
      <c r="F801" s="1013"/>
      <c r="G801" s="1013"/>
      <c r="H801" s="1013"/>
      <c r="I801" s="745"/>
      <c r="J801"/>
      <c r="K801"/>
      <c r="L801"/>
      <c r="M801"/>
      <c r="N801"/>
      <c r="O801"/>
      <c r="P801"/>
      <c r="Q801"/>
      <c r="R801"/>
      <c r="S801"/>
      <c r="T801"/>
      <c r="U801"/>
      <c r="X801"/>
      <c r="AB801"/>
      <c r="AC801"/>
      <c r="AF801" s="361" t="s">
        <v>21</v>
      </c>
      <c r="AG801" s="59"/>
      <c r="AH801" s="59"/>
      <c r="AI801" s="59"/>
      <c r="AJ801" s="68"/>
      <c r="AK801" s="58"/>
      <c r="AL801" s="76"/>
    </row>
    <row r="802" spans="1:39" s="376" customFormat="1" ht="14.1" hidden="1" customHeight="1" outlineLevel="2">
      <c r="A802" s="373"/>
      <c r="B802" s="455" t="s">
        <v>0</v>
      </c>
      <c r="C802" s="374" t="s">
        <v>0</v>
      </c>
      <c r="D802" s="374"/>
      <c r="E802" s="374"/>
      <c r="F802" s="382"/>
      <c r="G802" s="375" t="s">
        <v>57</v>
      </c>
      <c r="H802" s="375" t="s">
        <v>172</v>
      </c>
      <c r="I802" s="745"/>
      <c r="J802"/>
      <c r="K802"/>
      <c r="L802"/>
      <c r="M802"/>
      <c r="N802"/>
      <c r="O802"/>
      <c r="P802"/>
      <c r="Q802"/>
      <c r="R802"/>
      <c r="S802"/>
      <c r="T802"/>
      <c r="U802"/>
      <c r="V802" s="23"/>
      <c r="W802" s="23"/>
      <c r="X802"/>
      <c r="Y802" s="23"/>
      <c r="Z802" s="23"/>
      <c r="AA802" s="23"/>
      <c r="AB802"/>
      <c r="AC802"/>
      <c r="AD802" s="23"/>
      <c r="AE802" s="23"/>
      <c r="AF802" s="378" t="s">
        <v>59</v>
      </c>
      <c r="AG802" s="377"/>
      <c r="AH802" s="377"/>
      <c r="AI802" s="379"/>
      <c r="AJ802" s="380"/>
      <c r="AK802" s="381"/>
      <c r="AL802" s="377"/>
    </row>
    <row r="803" spans="1:39" ht="14.1" hidden="1" customHeight="1" outlineLevel="2">
      <c r="A803" s="145"/>
      <c r="B803" s="113"/>
      <c r="C803" s="129" t="s">
        <v>0</v>
      </c>
      <c r="D803" s="114"/>
      <c r="E803" s="114"/>
      <c r="F803" s="125"/>
      <c r="G803" s="175">
        <f>AG803</f>
        <v>41990</v>
      </c>
      <c r="H803" s="201">
        <f>AH803</f>
        <v>42080</v>
      </c>
      <c r="I803" s="745"/>
      <c r="AF803" s="361" t="s">
        <v>59</v>
      </c>
      <c r="AG803" s="60">
        <f>S.PostEQC.BANNER.Begin</f>
        <v>41990</v>
      </c>
      <c r="AH803" s="60">
        <f>S.PostEQC.BANNER.End</f>
        <v>42080</v>
      </c>
      <c r="AI803" s="59"/>
      <c r="AJ803" s="44"/>
      <c r="AK803" s="44"/>
      <c r="AL803" s="76"/>
      <c r="AM803"/>
    </row>
    <row r="804" spans="1:39" ht="6" hidden="1" customHeight="1" outlineLevel="2">
      <c r="A804" s="145"/>
      <c r="B804" s="106"/>
      <c r="C804" s="98"/>
      <c r="D804" s="691"/>
      <c r="E804" s="691"/>
      <c r="F804" s="99"/>
      <c r="G804" s="98"/>
      <c r="H804" s="98"/>
      <c r="I804" s="745"/>
      <c r="AF804" s="361" t="s">
        <v>16</v>
      </c>
      <c r="AG804" s="47"/>
      <c r="AH804" s="47"/>
      <c r="AI804" s="59"/>
      <c r="AJ804" s="44"/>
      <c r="AK804" s="44"/>
      <c r="AL804" s="76"/>
      <c r="AM804"/>
    </row>
    <row r="805" spans="1:39" s="23" customFormat="1" ht="14.1" hidden="1" customHeight="1" outlineLevel="2">
      <c r="A805" s="145"/>
      <c r="B805" s="538" t="s">
        <v>307</v>
      </c>
      <c r="C805" s="512" t="str">
        <f>HYPERLINK("\\deqhq1\Rule_Resources\i\0-VersionHistory.pdf","i")</f>
        <v>i</v>
      </c>
      <c r="D805" s="692"/>
      <c r="E805" s="692"/>
      <c r="F805" s="83"/>
      <c r="G805" s="82"/>
      <c r="H805" s="82"/>
      <c r="I805" s="745"/>
      <c r="J805"/>
      <c r="K805"/>
      <c r="L805"/>
      <c r="M805"/>
      <c r="N805"/>
      <c r="O805"/>
      <c r="P805"/>
      <c r="Q805"/>
      <c r="R805"/>
      <c r="S805"/>
      <c r="T805"/>
      <c r="U805"/>
      <c r="X805"/>
      <c r="AB805"/>
      <c r="AC805"/>
      <c r="AF805" s="362" t="s">
        <v>20</v>
      </c>
      <c r="AG805" s="47"/>
      <c r="AH805" s="47"/>
      <c r="AI805" s="69"/>
      <c r="AJ805" s="69"/>
      <c r="AK805" s="35"/>
      <c r="AL805" s="76"/>
    </row>
    <row r="806" spans="1:39" s="23" customFormat="1" ht="14.1" hidden="1" customHeight="1" outlineLevel="2">
      <c r="A806" s="145"/>
      <c r="B806" s="534" t="s">
        <v>295</v>
      </c>
      <c r="C806" s="534"/>
      <c r="D806" s="534"/>
      <c r="E806" s="534"/>
      <c r="F806" s="534"/>
      <c r="G806" s="534"/>
      <c r="H806" s="534"/>
      <c r="I806" s="745"/>
      <c r="J806"/>
      <c r="K806"/>
      <c r="L806"/>
      <c r="M806"/>
      <c r="N806"/>
      <c r="O806"/>
      <c r="P806"/>
      <c r="Q806"/>
      <c r="R806"/>
      <c r="S806"/>
      <c r="T806"/>
      <c r="U806"/>
      <c r="X806"/>
      <c r="AB806"/>
      <c r="AC806"/>
      <c r="AF806" s="361">
        <f>IF(S.Notice.Involved="Y",1,0)</f>
        <v>1</v>
      </c>
      <c r="AG806" s="47"/>
      <c r="AH806" s="47"/>
      <c r="AI806" s="47"/>
      <c r="AJ806" s="44"/>
      <c r="AK806" s="72"/>
      <c r="AL806" s="76"/>
    </row>
    <row r="807" spans="1:39" s="23" customFormat="1" ht="14.1" hidden="1" customHeight="1" outlineLevel="2">
      <c r="A807" s="145" t="s">
        <v>0</v>
      </c>
      <c r="B807" s="303" t="str">
        <f>AK807</f>
        <v>Brian:</v>
      </c>
      <c r="C807" s="258"/>
      <c r="D807" s="307"/>
      <c r="E807" s="307"/>
      <c r="F807" s="262"/>
      <c r="G807" s="258"/>
      <c r="H807" s="258"/>
      <c r="I807" s="745"/>
      <c r="J807"/>
      <c r="K807"/>
      <c r="L807"/>
      <c r="M807"/>
      <c r="N807"/>
      <c r="O807"/>
      <c r="P807"/>
      <c r="Q807"/>
      <c r="R807"/>
      <c r="S807"/>
      <c r="T807"/>
      <c r="U807"/>
      <c r="X807"/>
      <c r="AB807"/>
      <c r="AC807"/>
      <c r="AF807" s="361">
        <v>1</v>
      </c>
      <c r="AG807" s="80"/>
      <c r="AH807" s="80"/>
      <c r="AI807" s="59"/>
      <c r="AJ807" s="159"/>
      <c r="AK807" s="67" t="str">
        <f>S.Staff.Subject.Expert.FirstName&amp;":"</f>
        <v>Brian:</v>
      </c>
      <c r="AL807" s="76"/>
    </row>
    <row r="808" spans="1:39" ht="14.1" hidden="1" customHeight="1" outlineLevel="2">
      <c r="A808" s="145"/>
      <c r="B808" s="220" t="s">
        <v>195</v>
      </c>
      <c r="C808" s="545" t="s">
        <v>0</v>
      </c>
      <c r="D808" s="553"/>
      <c r="E808" s="894"/>
      <c r="F808"/>
      <c r="G808"/>
      <c r="H808" s="256">
        <f t="shared" ref="H808" si="175">AH808</f>
        <v>41990</v>
      </c>
      <c r="I808" s="745"/>
      <c r="AF808" s="361">
        <v>1</v>
      </c>
      <c r="AG808" s="80"/>
      <c r="AH808" s="60">
        <f t="shared" ref="AH808" si="176">S.PostEQC.BANNER.Begin</f>
        <v>41990</v>
      </c>
      <c r="AI808" s="59"/>
      <c r="AJ808" s="44"/>
      <c r="AK808" s="217"/>
      <c r="AL808" s="76"/>
      <c r="AM808"/>
    </row>
    <row r="809" spans="1:39" s="23" customFormat="1" ht="14.1" hidden="1" customHeight="1" outlineLevel="2">
      <c r="A809" s="145"/>
      <c r="B809" s="429" t="s">
        <v>196</v>
      </c>
      <c r="C809" s="545" t="s">
        <v>0</v>
      </c>
      <c r="D809" s="553"/>
      <c r="E809" s="894"/>
      <c r="F809"/>
      <c r="G809"/>
      <c r="H809"/>
      <c r="I809" s="745"/>
      <c r="J809"/>
      <c r="K809"/>
      <c r="L809"/>
      <c r="M809"/>
      <c r="N809"/>
      <c r="O809"/>
      <c r="P809"/>
      <c r="Q809"/>
      <c r="R809"/>
      <c r="S809"/>
      <c r="T809"/>
      <c r="U809"/>
      <c r="X809"/>
      <c r="AB809"/>
      <c r="AC809"/>
      <c r="AF809" s="361">
        <v>1</v>
      </c>
      <c r="AG809" s="80"/>
      <c r="AH809" s="80"/>
      <c r="AI809" s="59"/>
      <c r="AJ809" s="44"/>
      <c r="AK809" s="217"/>
      <c r="AL809" s="76"/>
    </row>
    <row r="810" spans="1:39" s="23" customFormat="1" ht="14.1" hidden="1" customHeight="1" outlineLevel="2">
      <c r="A810" s="145"/>
      <c r="B810" s="429" t="s">
        <v>320</v>
      </c>
      <c r="C810" s="545" t="s">
        <v>0</v>
      </c>
      <c r="D810" s="553"/>
      <c r="E810" s="894"/>
      <c r="F810"/>
      <c r="G810"/>
      <c r="H810"/>
      <c r="I810" s="745"/>
      <c r="J810"/>
      <c r="K810"/>
      <c r="L810"/>
      <c r="M810"/>
      <c r="N810"/>
      <c r="O810"/>
      <c r="P810"/>
      <c r="Q810"/>
      <c r="R810"/>
      <c r="S810"/>
      <c r="T810"/>
      <c r="U810"/>
      <c r="X810"/>
      <c r="AB810"/>
      <c r="AC810"/>
      <c r="AF810" s="361">
        <v>1</v>
      </c>
      <c r="AG810" s="80"/>
      <c r="AH810" s="80"/>
      <c r="AI810" s="59"/>
      <c r="AJ810" s="44"/>
      <c r="AK810" s="217"/>
      <c r="AL810" s="76"/>
    </row>
    <row r="811" spans="1:39" s="23" customFormat="1" ht="14.1" hidden="1" customHeight="1" outlineLevel="2">
      <c r="A811" s="145"/>
      <c r="B811" s="429" t="s">
        <v>321</v>
      </c>
      <c r="C811" s="545" t="s">
        <v>0</v>
      </c>
      <c r="D811" s="553"/>
      <c r="E811" s="894"/>
      <c r="F811"/>
      <c r="G811"/>
      <c r="H811"/>
      <c r="I811" s="745"/>
      <c r="J811"/>
      <c r="K811"/>
      <c r="L811"/>
      <c r="M811"/>
      <c r="N811"/>
      <c r="O811"/>
      <c r="P811"/>
      <c r="Q811"/>
      <c r="R811"/>
      <c r="S811"/>
      <c r="T811"/>
      <c r="U811"/>
      <c r="X811"/>
      <c r="AB811"/>
      <c r="AC811"/>
      <c r="AF811" s="361">
        <v>1</v>
      </c>
      <c r="AG811" s="80"/>
      <c r="AH811" s="80"/>
      <c r="AI811" s="59"/>
      <c r="AJ811" s="44"/>
      <c r="AK811" s="217"/>
      <c r="AL811" s="76"/>
    </row>
    <row r="812" spans="1:39" s="23" customFormat="1" ht="14.1" hidden="1" customHeight="1" outlineLevel="2">
      <c r="A812" s="145"/>
      <c r="B812" s="429" t="s">
        <v>305</v>
      </c>
      <c r="C812" s="545" t="s">
        <v>0</v>
      </c>
      <c r="D812" s="553"/>
      <c r="E812" s="894"/>
      <c r="F812"/>
      <c r="G812"/>
      <c r="H812"/>
      <c r="I812" s="745"/>
      <c r="J812"/>
      <c r="K812"/>
      <c r="L812"/>
      <c r="M812"/>
      <c r="N812"/>
      <c r="O812"/>
      <c r="P812"/>
      <c r="Q812"/>
      <c r="R812"/>
      <c r="S812"/>
      <c r="T812"/>
      <c r="U812"/>
      <c r="X812"/>
      <c r="AB812"/>
      <c r="AC812"/>
      <c r="AF812" s="361">
        <v>1</v>
      </c>
      <c r="AG812" s="80"/>
      <c r="AH812" s="80"/>
      <c r="AI812" s="59"/>
      <c r="AJ812" s="44"/>
      <c r="AK812" s="217"/>
      <c r="AL812" s="76"/>
    </row>
    <row r="813" spans="1:39" s="23" customFormat="1" ht="14.1" hidden="1" customHeight="1" outlineLevel="2">
      <c r="A813" s="145"/>
      <c r="B813" s="429" t="s">
        <v>305</v>
      </c>
      <c r="C813" s="545" t="s">
        <v>0</v>
      </c>
      <c r="D813" s="553"/>
      <c r="E813" s="894"/>
      <c r="F813"/>
      <c r="G813"/>
      <c r="H813"/>
      <c r="I813" s="745"/>
      <c r="J813"/>
      <c r="K813"/>
      <c r="L813"/>
      <c r="M813"/>
      <c r="N813"/>
      <c r="O813"/>
      <c r="P813"/>
      <c r="Q813"/>
      <c r="R813"/>
      <c r="S813"/>
      <c r="T813"/>
      <c r="U813"/>
      <c r="X813"/>
      <c r="AB813"/>
      <c r="AC813"/>
      <c r="AF813" s="361">
        <v>1</v>
      </c>
      <c r="AG813" s="80"/>
      <c r="AH813" s="80"/>
      <c r="AI813" s="59"/>
      <c r="AJ813" s="44"/>
      <c r="AK813" s="217"/>
      <c r="AL813" s="76"/>
    </row>
    <row r="814" spans="1:39" s="23" customFormat="1" ht="14.1" hidden="1" customHeight="1" outlineLevel="2" thickBot="1">
      <c r="A814" s="145"/>
      <c r="B814" s="220" t="str">
        <f t="shared" ref="B814" si="177">AK814</f>
        <v>* emails Maggie to affirm EQC action and document readiness</v>
      </c>
      <c r="C814" s="545" t="s">
        <v>0</v>
      </c>
      <c r="D814" s="553"/>
      <c r="E814" s="894"/>
      <c r="F814"/>
      <c r="G814"/>
      <c r="H814"/>
      <c r="I814" s="745"/>
      <c r="J814"/>
      <c r="K814"/>
      <c r="L814"/>
      <c r="M814"/>
      <c r="N814"/>
      <c r="O814"/>
      <c r="P814"/>
      <c r="Q814"/>
      <c r="R814"/>
      <c r="S814"/>
      <c r="T814"/>
      <c r="U814"/>
      <c r="X814"/>
      <c r="AB814"/>
      <c r="AC814"/>
      <c r="AF814" s="361">
        <v>1</v>
      </c>
      <c r="AG814" s="80"/>
      <c r="AH814" s="80"/>
      <c r="AI814" s="59"/>
      <c r="AJ814" s="44"/>
      <c r="AK814" s="214" t="str">
        <f>"* emails "&amp;S.Staff.AgencyRulesCoordinator&amp;" to affirm EQC action and document readiness"</f>
        <v>* emails Maggie to affirm EQC action and document readiness</v>
      </c>
      <c r="AL814" s="76"/>
    </row>
    <row r="815" spans="1:39" ht="14.1" hidden="1" customHeight="1" outlineLevel="2" thickBot="1">
      <c r="A815" s="145"/>
      <c r="B815" s="269" t="s">
        <v>207</v>
      </c>
      <c r="C815" s="539" t="s">
        <v>16</v>
      </c>
      <c r="D815" s="312"/>
      <c r="E815" s="750"/>
      <c r="F815"/>
      <c r="G815"/>
      <c r="H815" s="256">
        <f t="shared" ref="H815:H819" si="178">AH815</f>
        <v>41990</v>
      </c>
      <c r="I815" s="745"/>
      <c r="AF815" s="361">
        <f>IF(S.PostEQC.NotifyStakeholders="N",,1)</f>
        <v>1</v>
      </c>
      <c r="AG815" s="80"/>
      <c r="AH815" s="60">
        <f>IF(AF815=0,,S.PostEQC.BANNER.Begin)</f>
        <v>41990</v>
      </c>
      <c r="AI815" s="59"/>
      <c r="AJ815" s="59"/>
      <c r="AK815" s="45" t="s">
        <v>0</v>
      </c>
      <c r="AL815" s="76"/>
      <c r="AM815"/>
    </row>
    <row r="816" spans="1:39" s="23" customFormat="1" ht="14.1" hidden="1" customHeight="1" outlineLevel="2">
      <c r="A816" s="145"/>
      <c r="B816" s="269" t="str">
        <f>AK816</f>
        <v>* coordinates EPA.SIP.SUBMITAL with AndreaG</v>
      </c>
      <c r="C816" s="545" t="s">
        <v>0</v>
      </c>
      <c r="D816" s="283"/>
      <c r="E816" s="750"/>
      <c r="F816"/>
      <c r="G816"/>
      <c r="H816" s="256">
        <f t="shared" ref="H816" si="179">AH816</f>
        <v>41990</v>
      </c>
      <c r="I816" s="745"/>
      <c r="J816"/>
      <c r="K816"/>
      <c r="L816"/>
      <c r="M816"/>
      <c r="N816"/>
      <c r="O816"/>
      <c r="P816"/>
      <c r="Q816"/>
      <c r="R816"/>
      <c r="S816"/>
      <c r="T816"/>
      <c r="U816"/>
      <c r="X816"/>
      <c r="AB816"/>
      <c r="AC816"/>
      <c r="AF816" s="362">
        <f>IF(S.SIP.Involved="Y",1,0)</f>
        <v>1</v>
      </c>
      <c r="AG816" s="80"/>
      <c r="AH816" s="60">
        <f>S.PostEQC.BANNER.Begin</f>
        <v>41990</v>
      </c>
      <c r="AI816" s="59"/>
      <c r="AJ816" s="59"/>
      <c r="AK816" s="67" t="str">
        <f>"* coordinates EPA.SIP.SUBMITAL with "&amp;S.Staff.SIPCo</f>
        <v>* coordinates EPA.SIP.SUBMITAL with AndreaG</v>
      </c>
      <c r="AL816" s="76"/>
    </row>
    <row r="817" spans="1:39" ht="14.1" hidden="1" customHeight="1" outlineLevel="2">
      <c r="A817" s="145"/>
      <c r="B817" s="220" t="str">
        <f>AK817</f>
        <v>* coordinates AC.THANK.YOU email or letter with DavidC</v>
      </c>
      <c r="C817" s="507" t="str">
        <f>HYPERLINK("\\deqhq1\Rule_Resources\i\AC.THANK.YOU.docx","i")</f>
        <v>i</v>
      </c>
      <c r="D817" s="721"/>
      <c r="E817" s="895"/>
      <c r="F817"/>
      <c r="G817"/>
      <c r="H817" s="256">
        <f t="shared" si="178"/>
        <v>0</v>
      </c>
      <c r="I817" s="745"/>
      <c r="AF817" s="361">
        <f>IF(S.AC.CommitteeInvolved="Y",1,0)</f>
        <v>0</v>
      </c>
      <c r="AG817" s="80"/>
      <c r="AH817" s="60">
        <f>IF(AF817=0,,S.PostEQC.BANNER.Begin)</f>
        <v>0</v>
      </c>
      <c r="AI817" s="59"/>
      <c r="AJ817" s="59"/>
      <c r="AK817" s="67" t="str">
        <f>"* coordinates AC.THANK.YOU email or letter with "&amp;S.Staff.Program.Mgr.FirstName</f>
        <v>* coordinates AC.THANK.YOU email or letter with DavidC</v>
      </c>
      <c r="AL817" s="76"/>
      <c r="AM817"/>
    </row>
    <row r="818" spans="1:39" ht="14.1" hidden="1" customHeight="1" outlineLevel="2">
      <c r="A818" s="145"/>
      <c r="B818" s="220" t="str">
        <f>AK818</f>
        <v>* coordinates AC.SURVEY with DavidC</v>
      </c>
      <c r="C818" s="506" t="str">
        <f>HYPERLINK("\\deqhq1\Rule_Resources\i\AC.SURVEY.docx","i")</f>
        <v>i</v>
      </c>
      <c r="D818" s="283"/>
      <c r="E818" s="750"/>
      <c r="F818"/>
      <c r="G818"/>
      <c r="H818" s="256">
        <f t="shared" si="178"/>
        <v>0</v>
      </c>
      <c r="I818" s="745"/>
      <c r="AF818" s="361">
        <f>IF(S.AC.CommitteeInvolved="Y",1,0)</f>
        <v>0</v>
      </c>
      <c r="AG818" s="80"/>
      <c r="AH818" s="60">
        <f>IF(AF818=0,,S.PostEQC.BANNER.Begin)</f>
        <v>0</v>
      </c>
      <c r="AI818" s="59"/>
      <c r="AJ818" s="59"/>
      <c r="AK818" s="67" t="str">
        <f>"* coordinates AC.SURVEY with "&amp;S.Staff.Program.Mgr.FirstName</f>
        <v>* coordinates AC.SURVEY with DavidC</v>
      </c>
      <c r="AL818" s="76"/>
      <c r="AM818"/>
    </row>
    <row r="819" spans="1:39" ht="14.1" hidden="1" customHeight="1" outlineLevel="2">
      <c r="A819" s="145"/>
      <c r="B819" s="220" t="s">
        <v>251</v>
      </c>
      <c r="C819" s="545" t="s">
        <v>0</v>
      </c>
      <c r="D819" s="283"/>
      <c r="E819" s="750"/>
      <c r="F819"/>
      <c r="G819"/>
      <c r="H819" s="256">
        <f t="shared" si="178"/>
        <v>41990</v>
      </c>
      <c r="I819" s="745"/>
      <c r="AF819" s="361">
        <v>1</v>
      </c>
      <c r="AG819" s="80"/>
      <c r="AH819" s="60">
        <f>S.PostEQC.BANNER.Begin</f>
        <v>41990</v>
      </c>
      <c r="AI819" s="59"/>
      <c r="AJ819" s="59"/>
      <c r="AK819" s="44" t="s">
        <v>0</v>
      </c>
      <c r="AL819" s="76"/>
      <c r="AM819"/>
    </row>
    <row r="820" spans="1:39" s="23" customFormat="1" ht="14.1" hidden="1" customHeight="1" outlineLevel="2">
      <c r="A820" s="145"/>
      <c r="B820" s="303" t="str">
        <f>AK820</f>
        <v>AndreaG:</v>
      </c>
      <c r="C820" s="306"/>
      <c r="D820" s="307"/>
      <c r="E820" s="307"/>
      <c r="F820" s="262"/>
      <c r="G820" s="306"/>
      <c r="H820" s="306"/>
      <c r="I820" s="745"/>
      <c r="J820"/>
      <c r="K820"/>
      <c r="L820"/>
      <c r="M820"/>
      <c r="N820"/>
      <c r="O820"/>
      <c r="P820"/>
      <c r="Q820"/>
      <c r="R820"/>
      <c r="S820"/>
      <c r="T820"/>
      <c r="U820"/>
      <c r="X820"/>
      <c r="AB820"/>
      <c r="AC820"/>
      <c r="AF820" s="361">
        <v>1</v>
      </c>
      <c r="AG820" s="80"/>
      <c r="AH820" s="80"/>
      <c r="AI820" s="59"/>
      <c r="AJ820" s="159"/>
      <c r="AK820" s="67" t="str">
        <f>S.Staff.RG.Lead.FirstName&amp;":"</f>
        <v>AndreaG:</v>
      </c>
      <c r="AL820" s="76"/>
    </row>
    <row r="821" spans="1:39" s="23" customFormat="1" ht="14.1" hidden="1" customHeight="1" outlineLevel="2">
      <c r="A821" s="145"/>
      <c r="B821" s="269" t="str">
        <f>AK821</f>
        <v>* no DAS involvement</v>
      </c>
      <c r="C821" s="546" t="s">
        <v>0</v>
      </c>
      <c r="D821" s="283"/>
      <c r="E821" s="750"/>
      <c r="F821"/>
      <c r="G821"/>
      <c r="H821" s="256">
        <f>AH821</f>
        <v>0</v>
      </c>
      <c r="I821" s="745"/>
      <c r="J821"/>
      <c r="K821"/>
      <c r="L821"/>
      <c r="M821"/>
      <c r="N821"/>
      <c r="O821"/>
      <c r="P821"/>
      <c r="Q821"/>
      <c r="R821"/>
      <c r="S821"/>
      <c r="T821"/>
      <c r="U821"/>
      <c r="X821"/>
      <c r="AB821"/>
      <c r="AC821"/>
      <c r="AF821" s="361">
        <f>IF(S.Fee.Involved="Y",1,0)</f>
        <v>0</v>
      </c>
      <c r="AG821" s="80"/>
      <c r="AH821" s="60">
        <f>IF(AF821=0,,S.PostEQC.BANNER.Begin)</f>
        <v>0</v>
      </c>
      <c r="AI821" s="59"/>
      <c r="AJ821" s="59"/>
      <c r="AK821" s="213" t="str">
        <f>IF(S.Fee.DASApprovalRequired="Y","* submits Part 2 of signed DAS approval within 10 days of effective date",IF(S.Fee.Involved="Y","* prepares and emails DAS notification for fees that don't require approval","* no DAS involvement"))</f>
        <v>* no DAS involvement</v>
      </c>
      <c r="AL821" s="76"/>
    </row>
    <row r="822" spans="1:39" s="23" customFormat="1" ht="14.1" hidden="1" customHeight="1" outlineLevel="2">
      <c r="A822" s="145"/>
      <c r="B822" s="269" t="str">
        <f t="shared" ref="B822" si="180">AK822</f>
        <v>* no DAS involvement</v>
      </c>
      <c r="C822" s="546" t="s">
        <v>0</v>
      </c>
      <c r="D822" s="283"/>
      <c r="E822" s="750"/>
      <c r="F822"/>
      <c r="G822"/>
      <c r="H822" s="256">
        <f t="shared" ref="H822" si="181">AH822</f>
        <v>0</v>
      </c>
      <c r="I822" s="745"/>
      <c r="J822"/>
      <c r="K822"/>
      <c r="L822"/>
      <c r="M822"/>
      <c r="N822"/>
      <c r="O822"/>
      <c r="P822"/>
      <c r="Q822"/>
      <c r="R822"/>
      <c r="S822"/>
      <c r="T822"/>
      <c r="U822"/>
      <c r="X822"/>
      <c r="AB822"/>
      <c r="AC822"/>
      <c r="AF822" s="361">
        <f>IF(S.Fee.Involved="Y",1,0)</f>
        <v>0</v>
      </c>
      <c r="AG822" s="80"/>
      <c r="AH822" s="60">
        <f>IF(AF822=0,,S.PostEQC.BANNER.Begin)</f>
        <v>0</v>
      </c>
      <c r="AI822" s="59"/>
      <c r="AJ822" s="59"/>
      <c r="AK822" s="213" t="str">
        <f>IF(S.Fee.DASApprovalRequired="Y","* scans/saves as Rule_Development|7-PostEQC|DAS.PART2.pdf",IF(S.Fee.Involved="Y","* drafts email DAS notification for fees that don't require approval","* no DAS involvement"))</f>
        <v>* no DAS involvement</v>
      </c>
      <c r="AL822" s="76"/>
    </row>
    <row r="823" spans="1:39" s="23" customFormat="1" ht="14.1" hidden="1" customHeight="1" outlineLevel="2">
      <c r="A823" s="145"/>
      <c r="B823" s="269" t="str">
        <f t="shared" ref="B823" si="182">AK823</f>
        <v>* no DAS involvement</v>
      </c>
      <c r="C823" s="546" t="s">
        <v>0</v>
      </c>
      <c r="D823" s="283"/>
      <c r="E823" s="750"/>
      <c r="F823"/>
      <c r="G823"/>
      <c r="H823" s="256">
        <f t="shared" ref="H823" si="183">AH823</f>
        <v>0</v>
      </c>
      <c r="I823" s="745"/>
      <c r="J823"/>
      <c r="K823"/>
      <c r="L823"/>
      <c r="M823"/>
      <c r="N823"/>
      <c r="O823"/>
      <c r="P823"/>
      <c r="Q823"/>
      <c r="R823"/>
      <c r="S823"/>
      <c r="T823"/>
      <c r="U823"/>
      <c r="X823"/>
      <c r="AB823"/>
      <c r="AC823"/>
      <c r="AF823" s="361">
        <f>IF(S.Fee.Involved="Y",1,0)</f>
        <v>0</v>
      </c>
      <c r="AG823" s="80"/>
      <c r="AH823" s="60">
        <f>IF(AF823=0,,S.PostEQC.BANNER.Begin)</f>
        <v>0</v>
      </c>
      <c r="AI823" s="59"/>
      <c r="AJ823" s="59"/>
      <c r="AK823" s="213" t="str">
        <f>IF(S.Fee.DASApprovalRequired="Y","* emails DAS.PART2.pdf to DAS (requests delivery receipt)",IF(S.Fee.Involved="Y","* emails DAS.NOTIFICATION to DAS (requests delivery receipt) ","* no DAS involvement"))</f>
        <v>* no DAS involvement</v>
      </c>
      <c r="AL823" s="76"/>
    </row>
    <row r="824" spans="1:39" s="23" customFormat="1" ht="14.1" hidden="1" customHeight="1" outlineLevel="2">
      <c r="A824" s="145"/>
      <c r="B824" s="269" t="str">
        <f t="shared" ref="B824" si="184">AK824</f>
        <v>* no DAS involvement</v>
      </c>
      <c r="C824" s="546" t="s">
        <v>0</v>
      </c>
      <c r="D824" s="283"/>
      <c r="E824" s="750"/>
      <c r="F824"/>
      <c r="G824"/>
      <c r="H824" s="256">
        <f t="shared" ref="H824" si="185">AH824</f>
        <v>0</v>
      </c>
      <c r="I824" s="745"/>
      <c r="J824"/>
      <c r="K824"/>
      <c r="L824"/>
      <c r="M824"/>
      <c r="N824"/>
      <c r="O824"/>
      <c r="P824"/>
      <c r="Q824"/>
      <c r="R824"/>
      <c r="S824"/>
      <c r="T824"/>
      <c r="U824"/>
      <c r="X824"/>
      <c r="AB824"/>
      <c r="AC824"/>
      <c r="AF824" s="361">
        <f>IF(S.Fee.Involved="Y",1,0)</f>
        <v>0</v>
      </c>
      <c r="AG824" s="80"/>
      <c r="AH824" s="60">
        <f>IF(AF824=0,,S.PostEQC.BANNER.Begin)</f>
        <v>0</v>
      </c>
      <c r="AI824" s="59"/>
      <c r="AJ824" s="59"/>
      <c r="AK824" s="213" t="str">
        <f>IF(S.Fee.DASApprovalRequired="Y","* saves receipts as Rule_Dev.|7-PostEQC|PROOF.DAS.DELIVERY.pdf",IF(S.Fee.Involved="Y","* saves reciepts as Rule_Dev.|7-PostEQC|PROOF.DAS.DELIVERY.pdf","* no DAS involvement"))</f>
        <v>* no DAS involvement</v>
      </c>
      <c r="AL824" s="76"/>
    </row>
    <row r="825" spans="1:39" s="23" customFormat="1" ht="14.1" hidden="1" customHeight="1" outlineLevel="2">
      <c r="A825" s="145"/>
      <c r="B825" s="216" t="str">
        <f>AK825</f>
        <v>Maggie:</v>
      </c>
      <c r="C825" s="300"/>
      <c r="D825" s="704"/>
      <c r="E825" s="704"/>
      <c r="F825" s="262"/>
      <c r="G825" s="258"/>
      <c r="H825" s="258"/>
      <c r="I825" s="745"/>
      <c r="J825"/>
      <c r="K825"/>
      <c r="L825"/>
      <c r="M825"/>
      <c r="N825"/>
      <c r="O825"/>
      <c r="P825"/>
      <c r="Q825"/>
      <c r="R825"/>
      <c r="S825"/>
      <c r="T825"/>
      <c r="U825"/>
      <c r="X825"/>
      <c r="AB825"/>
      <c r="AC825"/>
      <c r="AF825" s="361">
        <v>1</v>
      </c>
      <c r="AG825" s="47"/>
      <c r="AH825" s="47"/>
      <c r="AI825" s="47"/>
      <c r="AJ825" s="61"/>
      <c r="AK825" s="215" t="str">
        <f>S.Staff.AgencyRulesCoordinator&amp;":"</f>
        <v>Maggie:</v>
      </c>
      <c r="AL825" s="76"/>
    </row>
    <row r="826" spans="1:39" ht="14.1" hidden="1" customHeight="1" outlineLevel="2">
      <c r="A826" s="145"/>
      <c r="B826" s="219" t="s">
        <v>138</v>
      </c>
      <c r="C826" s="512" t="str">
        <f>HYPERLINK("http://arcweb.sos.state.or.us/pages/rules/resources/fileonline.html","i")</f>
        <v>i</v>
      </c>
      <c r="D826" s="357"/>
      <c r="E826" s="750"/>
      <c r="F826"/>
      <c r="G826"/>
      <c r="H826" s="256">
        <f t="shared" ref="H826:H833" si="186">AH826</f>
        <v>41992</v>
      </c>
      <c r="I826" s="745"/>
      <c r="AF826" s="361">
        <v>1</v>
      </c>
      <c r="AG826" s="47"/>
      <c r="AH826" s="60">
        <f>S.PostEQC.FileRuleWithSOS</f>
        <v>41992</v>
      </c>
      <c r="AI826" s="59"/>
      <c r="AJ826" s="61"/>
      <c r="AK826" s="44"/>
      <c r="AL826" s="76"/>
      <c r="AM826"/>
    </row>
    <row r="827" spans="1:39" s="23" customFormat="1" ht="14.1" hidden="1" customHeight="1" outlineLevel="2">
      <c r="A827" s="145"/>
      <c r="B827" s="310" t="s">
        <v>47</v>
      </c>
      <c r="C827" s="324"/>
      <c r="D827" s="357"/>
      <c r="E827" s="750"/>
      <c r="F827"/>
      <c r="G827"/>
      <c r="H827" s="256">
        <f t="shared" si="186"/>
        <v>41992</v>
      </c>
      <c r="I827" s="745"/>
      <c r="J827"/>
      <c r="K827"/>
      <c r="L827"/>
      <c r="M827"/>
      <c r="N827"/>
      <c r="O827"/>
      <c r="P827"/>
      <c r="Q827"/>
      <c r="R827"/>
      <c r="S827"/>
      <c r="T827"/>
      <c r="U827"/>
      <c r="X827"/>
      <c r="AB827"/>
      <c r="AC827"/>
      <c r="AF827" s="361">
        <v>1</v>
      </c>
      <c r="AG827" s="71"/>
      <c r="AH827" s="60">
        <f>S.PostEQC.RuleEffective</f>
        <v>41992</v>
      </c>
      <c r="AI827" s="59"/>
      <c r="AJ827" s="59"/>
      <c r="AK827" s="44"/>
      <c r="AL827" s="76"/>
    </row>
    <row r="828" spans="1:39" s="23" customFormat="1" ht="14.1" hidden="1" customHeight="1" outlineLevel="2">
      <c r="A828" s="145"/>
      <c r="B828" s="219" t="s">
        <v>308</v>
      </c>
      <c r="C828" s="512" t="str">
        <f>HYPERLINK("http://www.lc.state.or.us/arrs.htm","i")</f>
        <v>i</v>
      </c>
      <c r="D828" s="721"/>
      <c r="E828" s="895"/>
      <c r="F828"/>
      <c r="G828"/>
      <c r="H828" s="259">
        <f t="shared" si="186"/>
        <v>41992</v>
      </c>
      <c r="I828" s="745"/>
      <c r="J828"/>
      <c r="K828"/>
      <c r="L828"/>
      <c r="M828"/>
      <c r="N828"/>
      <c r="O828"/>
      <c r="P828"/>
      <c r="Q828"/>
      <c r="R828"/>
      <c r="S828"/>
      <c r="T828"/>
      <c r="U828"/>
      <c r="X828"/>
      <c r="AB828"/>
      <c r="AC828"/>
      <c r="AF828" s="361">
        <v>1</v>
      </c>
      <c r="AG828" s="71"/>
      <c r="AH828" s="60">
        <f>S.PostEQC.FileRuleWithSOS</f>
        <v>41992</v>
      </c>
      <c r="AI828" s="59"/>
      <c r="AJ828" s="61"/>
      <c r="AK828" s="44"/>
      <c r="AL828" s="76"/>
    </row>
    <row r="829" spans="1:39" s="23" customFormat="1" ht="14.1" hidden="1" customHeight="1" outlineLevel="2">
      <c r="A829" s="145"/>
      <c r="B829" s="429" t="s">
        <v>318</v>
      </c>
      <c r="C829" s="306"/>
      <c r="D829" s="722"/>
      <c r="E829" s="722"/>
      <c r="F829" s="262"/>
      <c r="G829" s="306"/>
      <c r="H829" s="306"/>
      <c r="I829" s="745"/>
      <c r="J829"/>
      <c r="K829"/>
      <c r="L829"/>
      <c r="M829"/>
      <c r="N829"/>
      <c r="O829"/>
      <c r="P829"/>
      <c r="Q829"/>
      <c r="R829"/>
      <c r="S829"/>
      <c r="T829"/>
      <c r="U829"/>
      <c r="X829"/>
      <c r="AB829"/>
      <c r="AC829"/>
      <c r="AF829" s="361">
        <v>1</v>
      </c>
      <c r="AG829" s="71"/>
      <c r="AH829" s="71"/>
      <c r="AI829" s="59"/>
      <c r="AJ829" s="61"/>
      <c r="AK829" s="41"/>
      <c r="AL829" s="76"/>
    </row>
    <row r="830" spans="1:39" s="23" customFormat="1" ht="14.1" hidden="1" customHeight="1" outlineLevel="2">
      <c r="A830" s="145"/>
      <c r="B830" s="429" t="s">
        <v>319</v>
      </c>
      <c r="C830" s="306"/>
      <c r="D830" s="722"/>
      <c r="E830" s="722"/>
      <c r="F830" s="262"/>
      <c r="G830" s="306"/>
      <c r="H830" s="306"/>
      <c r="I830" s="745"/>
      <c r="J830"/>
      <c r="K830"/>
      <c r="L830"/>
      <c r="M830"/>
      <c r="N830"/>
      <c r="O830"/>
      <c r="P830"/>
      <c r="Q830"/>
      <c r="R830"/>
      <c r="S830"/>
      <c r="T830"/>
      <c r="U830"/>
      <c r="X830"/>
      <c r="AB830"/>
      <c r="AC830"/>
      <c r="AF830" s="361">
        <v>1</v>
      </c>
      <c r="AG830" s="71"/>
      <c r="AH830" s="71"/>
      <c r="AI830" s="59"/>
      <c r="AJ830" s="61"/>
      <c r="AK830" s="41"/>
      <c r="AL830" s="76"/>
    </row>
    <row r="831" spans="1:39" s="23" customFormat="1" ht="14.1" hidden="1" customHeight="1" outlineLevel="2">
      <c r="A831" s="145"/>
      <c r="B831" s="429" t="s">
        <v>197</v>
      </c>
      <c r="C831" s="306"/>
      <c r="D831" s="722"/>
      <c r="E831" s="722"/>
      <c r="F831" s="262"/>
      <c r="G831" s="306"/>
      <c r="H831" s="306"/>
      <c r="I831" s="745"/>
      <c r="J831"/>
      <c r="K831"/>
      <c r="L831"/>
      <c r="M831"/>
      <c r="N831"/>
      <c r="O831"/>
      <c r="P831"/>
      <c r="Q831"/>
      <c r="R831"/>
      <c r="S831"/>
      <c r="T831"/>
      <c r="U831"/>
      <c r="X831"/>
      <c r="AB831"/>
      <c r="AC831"/>
      <c r="AF831" s="361">
        <v>1</v>
      </c>
      <c r="AG831" s="71"/>
      <c r="AH831" s="71"/>
      <c r="AI831" s="59"/>
      <c r="AJ831" s="61"/>
      <c r="AK831" s="41"/>
      <c r="AL831" s="76"/>
    </row>
    <row r="832" spans="1:39" s="23" customFormat="1" ht="14.1" hidden="1" customHeight="1" outlineLevel="2" thickBot="1">
      <c r="A832" s="145"/>
      <c r="B832" s="367" t="s">
        <v>198</v>
      </c>
      <c r="C832" s="306"/>
      <c r="D832" s="722"/>
      <c r="E832" s="722"/>
      <c r="F832" s="262"/>
      <c r="G832" s="306"/>
      <c r="H832" s="306"/>
      <c r="I832" s="745"/>
      <c r="J832"/>
      <c r="K832"/>
      <c r="L832"/>
      <c r="M832"/>
      <c r="N832"/>
      <c r="O832"/>
      <c r="P832"/>
      <c r="Q832"/>
      <c r="R832"/>
      <c r="S832"/>
      <c r="T832"/>
      <c r="U832"/>
      <c r="X832"/>
      <c r="AB832"/>
      <c r="AC832"/>
      <c r="AF832" s="361">
        <v>1</v>
      </c>
      <c r="AG832" s="71"/>
      <c r="AH832" s="71"/>
      <c r="AI832" s="59"/>
      <c r="AJ832" s="61"/>
      <c r="AK832" s="41"/>
      <c r="AL832" s="76"/>
    </row>
    <row r="833" spans="1:39" s="23" customFormat="1" ht="14.1" hidden="1" customHeight="1" outlineLevel="2" thickBot="1">
      <c r="A833" s="145"/>
      <c r="B833" s="220" t="s">
        <v>323</v>
      </c>
      <c r="C833" s="358" t="str">
        <f>HYPERLINK("http://oarnoticefilings.sos.state.or.us","i")</f>
        <v>i</v>
      </c>
      <c r="D833" s="723"/>
      <c r="E833" s="895"/>
      <c r="F833"/>
      <c r="G833"/>
      <c r="H833" s="256">
        <f t="shared" si="186"/>
        <v>41992</v>
      </c>
      <c r="I833" s="745"/>
      <c r="J833"/>
      <c r="K833"/>
      <c r="L833"/>
      <c r="M833"/>
      <c r="N833"/>
      <c r="O833"/>
      <c r="P833"/>
      <c r="Q833"/>
      <c r="R833"/>
      <c r="S833"/>
      <c r="T833"/>
      <c r="U833"/>
      <c r="X833"/>
      <c r="AB833"/>
      <c r="AC833"/>
      <c r="AF833" s="361">
        <v>1</v>
      </c>
      <c r="AG833" s="71"/>
      <c r="AH833" s="60">
        <f>S.PostEQC.FileRuleWithSOS</f>
        <v>41992</v>
      </c>
      <c r="AI833" s="59"/>
      <c r="AJ833" s="61"/>
      <c r="AK833" s="44"/>
      <c r="AL833" s="76"/>
    </row>
    <row r="834" spans="1:39" s="23" customFormat="1" ht="14.1" hidden="1" customHeight="1" outlineLevel="2">
      <c r="A834" s="145"/>
      <c r="B834" s="554" t="s">
        <v>322</v>
      </c>
      <c r="C834" s="306"/>
      <c r="D834" s="722"/>
      <c r="E834" s="722"/>
      <c r="F834" s="262"/>
      <c r="G834" s="306"/>
      <c r="H834" s="306"/>
      <c r="I834" s="745"/>
      <c r="J834"/>
      <c r="K834"/>
      <c r="L834"/>
      <c r="M834"/>
      <c r="N834"/>
      <c r="O834"/>
      <c r="P834"/>
      <c r="Q834"/>
      <c r="R834"/>
      <c r="S834"/>
      <c r="T834"/>
      <c r="U834"/>
      <c r="X834"/>
      <c r="AB834"/>
      <c r="AC834"/>
      <c r="AF834" s="361">
        <v>1</v>
      </c>
      <c r="AG834" s="71"/>
      <c r="AH834" s="71"/>
      <c r="AI834" s="59"/>
      <c r="AJ834" s="61"/>
      <c r="AK834" s="41"/>
      <c r="AL834" s="76"/>
    </row>
    <row r="835" spans="1:39" ht="14.1" hidden="1" customHeight="1" outlineLevel="2">
      <c r="A835" s="145"/>
      <c r="B835" s="206" t="s">
        <v>317</v>
      </c>
      <c r="C835" s="306"/>
      <c r="D835" s="722"/>
      <c r="E835" s="722"/>
      <c r="F835" s="262"/>
      <c r="G835" s="306"/>
      <c r="H835" s="306"/>
      <c r="I835" s="745"/>
      <c r="AF835" s="361">
        <v>1</v>
      </c>
      <c r="AG835" s="71"/>
      <c r="AH835" s="71"/>
      <c r="AI835" s="59"/>
      <c r="AJ835" s="61"/>
      <c r="AK835" s="41"/>
      <c r="AL835" s="76"/>
      <c r="AM835"/>
    </row>
    <row r="836" spans="1:39" s="23" customFormat="1" ht="14.1" hidden="1" customHeight="1" outlineLevel="2">
      <c r="A836" s="145"/>
      <c r="B836" s="207" t="str">
        <f>AK836</f>
        <v>reserved for temporary rules</v>
      </c>
      <c r="C836" s="306"/>
      <c r="D836" s="722"/>
      <c r="E836" s="722"/>
      <c r="F836" s="262"/>
      <c r="G836" s="306"/>
      <c r="H836" s="306"/>
      <c r="I836" s="745"/>
      <c r="J836"/>
      <c r="K836"/>
      <c r="L836"/>
      <c r="M836"/>
      <c r="N836"/>
      <c r="O836"/>
      <c r="P836"/>
      <c r="Q836"/>
      <c r="R836"/>
      <c r="S836"/>
      <c r="T836"/>
      <c r="U836"/>
      <c r="X836"/>
      <c r="AB836"/>
      <c r="AC836"/>
      <c r="AF836" s="361">
        <f>IF(S.General.RuleType="T",1,0)</f>
        <v>0</v>
      </c>
      <c r="AG836" s="71"/>
      <c r="AH836" s="71"/>
      <c r="AI836" s="59"/>
      <c r="AJ836" s="61"/>
      <c r="AK836" s="206" t="str">
        <f>IF(S.General.RuleType="P","reserved for temporary rules","1a Justification.SOS.Stamped.pdf")</f>
        <v>reserved for temporary rules</v>
      </c>
      <c r="AL836" s="76"/>
    </row>
    <row r="837" spans="1:39" s="23" customFormat="1" ht="14.1" hidden="1" customHeight="1" outlineLevel="2">
      <c r="A837" s="145"/>
      <c r="B837" s="206" t="s">
        <v>310</v>
      </c>
      <c r="C837" s="306"/>
      <c r="D837" s="722"/>
      <c r="E837" s="722"/>
      <c r="F837" s="262"/>
      <c r="G837" s="306"/>
      <c r="H837" s="306"/>
      <c r="I837" s="745"/>
      <c r="J837"/>
      <c r="K837"/>
      <c r="L837"/>
      <c r="M837"/>
      <c r="N837"/>
      <c r="O837"/>
      <c r="P837"/>
      <c r="Q837"/>
      <c r="R837"/>
      <c r="S837"/>
      <c r="T837"/>
      <c r="U837"/>
      <c r="X837"/>
      <c r="AB837"/>
      <c r="AC837"/>
      <c r="AF837" s="361">
        <v>1</v>
      </c>
      <c r="AG837" s="71"/>
      <c r="AH837" s="71"/>
      <c r="AI837" s="59"/>
      <c r="AJ837" s="61"/>
      <c r="AK837" s="41"/>
      <c r="AL837" s="76"/>
    </row>
    <row r="838" spans="1:39" s="23" customFormat="1" ht="14.1" hidden="1" customHeight="1" outlineLevel="2">
      <c r="A838" s="145"/>
      <c r="B838" s="207" t="s">
        <v>311</v>
      </c>
      <c r="C838" s="306"/>
      <c r="D838" s="722"/>
      <c r="E838" s="722"/>
      <c r="F838" s="262"/>
      <c r="G838" s="306"/>
      <c r="H838" s="306"/>
      <c r="I838" s="745"/>
      <c r="J838"/>
      <c r="K838"/>
      <c r="L838"/>
      <c r="M838"/>
      <c r="N838"/>
      <c r="O838"/>
      <c r="P838"/>
      <c r="Q838"/>
      <c r="R838"/>
      <c r="S838"/>
      <c r="T838"/>
      <c r="U838"/>
      <c r="X838"/>
      <c r="AB838"/>
      <c r="AC838"/>
      <c r="AF838" s="361">
        <v>1</v>
      </c>
      <c r="AG838" s="71"/>
      <c r="AH838" s="71"/>
      <c r="AI838" s="59"/>
      <c r="AJ838" s="61"/>
      <c r="AK838" s="41"/>
      <c r="AL838" s="76"/>
    </row>
    <row r="839" spans="1:39" s="23" customFormat="1" ht="14.1" hidden="1" customHeight="1" outlineLevel="2">
      <c r="A839" s="145"/>
      <c r="B839" s="207" t="s">
        <v>312</v>
      </c>
      <c r="C839" s="306"/>
      <c r="D839" s="722"/>
      <c r="E839" s="722"/>
      <c r="F839" s="262"/>
      <c r="G839" s="306"/>
      <c r="H839" s="306"/>
      <c r="I839" s="745"/>
      <c r="J839"/>
      <c r="K839"/>
      <c r="L839"/>
      <c r="M839"/>
      <c r="N839"/>
      <c r="O839"/>
      <c r="P839"/>
      <c r="Q839"/>
      <c r="R839"/>
      <c r="S839"/>
      <c r="T839"/>
      <c r="U839"/>
      <c r="X839"/>
      <c r="AB839"/>
      <c r="AC839"/>
      <c r="AF839" s="361">
        <v>1</v>
      </c>
      <c r="AG839" s="71"/>
      <c r="AH839" s="71"/>
      <c r="AI839" s="59"/>
      <c r="AJ839" s="61"/>
      <c r="AK839" s="41"/>
      <c r="AL839" s="76"/>
    </row>
    <row r="840" spans="1:39" s="23" customFormat="1" ht="14.1" hidden="1" customHeight="1" outlineLevel="2">
      <c r="A840" s="145"/>
      <c r="B840" s="206" t="s">
        <v>309</v>
      </c>
      <c r="C840" s="306"/>
      <c r="D840" s="722"/>
      <c r="E840" s="722"/>
      <c r="F840" s="262"/>
      <c r="G840" s="306"/>
      <c r="H840" s="306"/>
      <c r="I840" s="745"/>
      <c r="J840"/>
      <c r="K840"/>
      <c r="L840"/>
      <c r="M840"/>
      <c r="N840"/>
      <c r="O840"/>
      <c r="P840"/>
      <c r="Q840"/>
      <c r="R840"/>
      <c r="S840"/>
      <c r="T840"/>
      <c r="U840"/>
      <c r="X840"/>
      <c r="AB840"/>
      <c r="AC840"/>
      <c r="AF840" s="361">
        <v>1</v>
      </c>
      <c r="AG840" s="71"/>
      <c r="AH840" s="71"/>
      <c r="AI840" s="494"/>
      <c r="AJ840" s="61"/>
      <c r="AK840" s="41"/>
      <c r="AL840" s="76"/>
    </row>
    <row r="841" spans="1:39" s="23" customFormat="1" ht="14.1" hidden="1" customHeight="1" outlineLevel="2">
      <c r="A841" s="145"/>
      <c r="B841" s="206" t="s">
        <v>313</v>
      </c>
      <c r="C841" s="306"/>
      <c r="D841" s="722"/>
      <c r="E841" s="722"/>
      <c r="F841" s="262"/>
      <c r="G841" s="306"/>
      <c r="H841" s="306"/>
      <c r="I841" s="745"/>
      <c r="J841"/>
      <c r="K841"/>
      <c r="L841"/>
      <c r="M841"/>
      <c r="N841"/>
      <c r="O841"/>
      <c r="P841"/>
      <c r="Q841"/>
      <c r="R841"/>
      <c r="S841"/>
      <c r="T841"/>
      <c r="U841"/>
      <c r="X841"/>
      <c r="AB841"/>
      <c r="AC841"/>
      <c r="AF841" s="361">
        <v>1</v>
      </c>
      <c r="AG841" s="71"/>
      <c r="AH841" s="71"/>
      <c r="AI841" s="59"/>
      <c r="AJ841" s="61"/>
      <c r="AK841" s="41"/>
      <c r="AL841" s="76"/>
    </row>
    <row r="842" spans="1:39" s="23" customFormat="1" ht="14.1" hidden="1" customHeight="1" outlineLevel="2">
      <c r="A842" s="145"/>
      <c r="B842" s="206" t="s">
        <v>314</v>
      </c>
      <c r="C842" s="306"/>
      <c r="D842" s="722"/>
      <c r="E842" s="722"/>
      <c r="F842" s="262"/>
      <c r="G842" s="306"/>
      <c r="H842" s="306"/>
      <c r="I842" s="745"/>
      <c r="J842"/>
      <c r="K842"/>
      <c r="L842"/>
      <c r="M842"/>
      <c r="N842"/>
      <c r="O842"/>
      <c r="P842"/>
      <c r="Q842"/>
      <c r="R842"/>
      <c r="S842"/>
      <c r="T842"/>
      <c r="U842"/>
      <c r="X842"/>
      <c r="AB842"/>
      <c r="AC842"/>
      <c r="AF842" s="361">
        <v>1</v>
      </c>
      <c r="AG842" s="71"/>
      <c r="AH842" s="71"/>
      <c r="AI842" s="59"/>
      <c r="AJ842" s="61"/>
      <c r="AK842" s="41"/>
      <c r="AL842" s="76"/>
    </row>
    <row r="843" spans="1:39" s="23" customFormat="1" ht="14.1" hidden="1" customHeight="1" outlineLevel="2">
      <c r="A843" s="145"/>
      <c r="B843" s="206" t="s">
        <v>315</v>
      </c>
      <c r="C843" s="306"/>
      <c r="D843" s="722"/>
      <c r="E843" s="722"/>
      <c r="F843" s="262"/>
      <c r="G843" s="306"/>
      <c r="H843" s="306"/>
      <c r="I843" s="745"/>
      <c r="J843"/>
      <c r="K843"/>
      <c r="L843"/>
      <c r="M843"/>
      <c r="N843"/>
      <c r="O843"/>
      <c r="P843"/>
      <c r="Q843"/>
      <c r="R843"/>
      <c r="S843"/>
      <c r="T843"/>
      <c r="U843"/>
      <c r="X843"/>
      <c r="AB843"/>
      <c r="AC843"/>
      <c r="AF843" s="361">
        <v>1</v>
      </c>
      <c r="AG843" s="71"/>
      <c r="AH843" s="71"/>
      <c r="AI843" s="59"/>
      <c r="AJ843" s="61"/>
      <c r="AK843" s="41"/>
      <c r="AL843" s="76"/>
    </row>
    <row r="844" spans="1:39" s="23" customFormat="1" ht="14.1" hidden="1" customHeight="1" outlineLevel="2">
      <c r="A844" s="145"/>
      <c r="B844" s="206" t="s">
        <v>316</v>
      </c>
      <c r="C844" s="306"/>
      <c r="D844" s="722"/>
      <c r="E844" s="722"/>
      <c r="F844" s="262"/>
      <c r="G844" s="306"/>
      <c r="H844" s="306"/>
      <c r="I844" s="745"/>
      <c r="J844"/>
      <c r="K844"/>
      <c r="L844"/>
      <c r="M844"/>
      <c r="N844"/>
      <c r="O844"/>
      <c r="P844"/>
      <c r="Q844"/>
      <c r="R844"/>
      <c r="S844"/>
      <c r="T844"/>
      <c r="U844"/>
      <c r="X844"/>
      <c r="AB844"/>
      <c r="AC844"/>
      <c r="AF844" s="361">
        <v>1</v>
      </c>
      <c r="AG844" s="71"/>
      <c r="AH844" s="71"/>
      <c r="AI844" s="59"/>
      <c r="AJ844" s="61"/>
      <c r="AK844" s="41"/>
      <c r="AL844" s="76"/>
    </row>
    <row r="845" spans="1:39" s="23" customFormat="1" ht="14.1" hidden="1" customHeight="1" outlineLevel="2">
      <c r="A845" s="145"/>
      <c r="B845" s="303" t="str">
        <f>AK845</f>
        <v>* coordinates with Brian to:</v>
      </c>
      <c r="C845" s="508" t="str">
        <f>HYPERLINK("\\deqhq1\Rule_Resources\i\EMAIL.Post.EQC.CloseOut.docx","i")</f>
        <v>i</v>
      </c>
      <c r="D845" s="283"/>
      <c r="E845" s="283"/>
      <c r="F845" s="255">
        <f t="shared" ref="F845" si="187">NETWORKDAYS(G845,H845,S.DDL_DEQClosed)</f>
        <v>1</v>
      </c>
      <c r="G845" s="256">
        <f t="shared" ref="G845" si="188">AG845</f>
        <v>41992</v>
      </c>
      <c r="H845" s="256">
        <f t="shared" ref="H845" si="189">AH845</f>
        <v>41992</v>
      </c>
      <c r="I845" s="745"/>
      <c r="J845"/>
      <c r="K845"/>
      <c r="L845"/>
      <c r="M845"/>
      <c r="N845"/>
      <c r="O845"/>
      <c r="P845"/>
      <c r="Q845"/>
      <c r="R845"/>
      <c r="S845"/>
      <c r="T845"/>
      <c r="U845"/>
      <c r="X845"/>
      <c r="AB845"/>
      <c r="AC845"/>
      <c r="AF845" s="361">
        <v>1</v>
      </c>
      <c r="AG845" s="60">
        <f>S.PostEQC.FileRuleWithSOS</f>
        <v>41992</v>
      </c>
      <c r="AH845" s="60">
        <f t="shared" ref="AH845" si="190">G845</f>
        <v>41992</v>
      </c>
      <c r="AI845" s="59"/>
      <c r="AJ845" s="43"/>
      <c r="AK845" s="78" t="str">
        <f>"* coordinates with "&amp;S.Staff.Subject.Expert.FirstName&amp;" to:"</f>
        <v>* coordinates with Brian to:</v>
      </c>
      <c r="AL845" s="76"/>
    </row>
    <row r="846" spans="1:39" s="23" customFormat="1" ht="14.1" hidden="1" customHeight="1" outlineLevel="2">
      <c r="A846" s="145" t="s">
        <v>0</v>
      </c>
      <c r="B846" s="555" t="s">
        <v>324</v>
      </c>
      <c r="C846" s="508" t="str">
        <f>HYPERLINK("\\deqhq1\Rule_Development\Filed Rules","i")</f>
        <v>i</v>
      </c>
      <c r="D846" s="708"/>
      <c r="E846" s="708"/>
      <c r="F846" s="279"/>
      <c r="G846" s="279"/>
      <c r="H846" s="279"/>
      <c r="I846" s="745"/>
      <c r="J846"/>
      <c r="K846"/>
      <c r="L846"/>
      <c r="M846"/>
      <c r="N846"/>
      <c r="O846"/>
      <c r="P846"/>
      <c r="Q846"/>
      <c r="R846"/>
      <c r="S846"/>
      <c r="T846"/>
      <c r="U846"/>
      <c r="X846"/>
      <c r="AB846"/>
      <c r="AC846"/>
      <c r="AF846" s="361">
        <v>1</v>
      </c>
      <c r="AG846" s="58"/>
      <c r="AH846" s="58"/>
      <c r="AI846" s="59"/>
      <c r="AJ846" s="43"/>
      <c r="AK846" s="41"/>
      <c r="AL846" s="76"/>
    </row>
    <row r="847" spans="1:39" s="23" customFormat="1" ht="14.1" hidden="1" customHeight="1" outlineLevel="2">
      <c r="A847" s="145" t="s">
        <v>0</v>
      </c>
      <c r="B847" s="555" t="s">
        <v>325</v>
      </c>
      <c r="C847" s="321"/>
      <c r="D847" s="708"/>
      <c r="E847" s="708"/>
      <c r="F847" s="279"/>
      <c r="G847" s="279"/>
      <c r="H847" s="279"/>
      <c r="I847" s="745"/>
      <c r="J847"/>
      <c r="K847"/>
      <c r="L847"/>
      <c r="M847"/>
      <c r="N847"/>
      <c r="O847"/>
      <c r="P847"/>
      <c r="Q847"/>
      <c r="R847"/>
      <c r="S847"/>
      <c r="T847"/>
      <c r="U847"/>
      <c r="X847"/>
      <c r="AB847"/>
      <c r="AC847"/>
      <c r="AF847" s="361">
        <v>1</v>
      </c>
      <c r="AG847" s="58"/>
      <c r="AH847" s="58"/>
      <c r="AI847" s="59"/>
      <c r="AJ847" s="43"/>
      <c r="AK847" s="41"/>
      <c r="AL847" s="76"/>
    </row>
    <row r="848" spans="1:39" s="23" customFormat="1" ht="14.1" hidden="1" customHeight="1" outlineLevel="2">
      <c r="A848" s="145" t="s">
        <v>0</v>
      </c>
      <c r="B848" s="429" t="s">
        <v>326</v>
      </c>
      <c r="C848" s="306"/>
      <c r="D848" s="723"/>
      <c r="E848" s="895"/>
      <c r="F848"/>
      <c r="G848"/>
      <c r="H848" s="256">
        <f t="shared" ref="H848" si="191">AH848</f>
        <v>41992</v>
      </c>
      <c r="I848" s="745"/>
      <c r="J848"/>
      <c r="K848"/>
      <c r="L848"/>
      <c r="M848"/>
      <c r="N848"/>
      <c r="O848"/>
      <c r="P848"/>
      <c r="Q848"/>
      <c r="R848"/>
      <c r="S848"/>
      <c r="T848"/>
      <c r="U848"/>
      <c r="X848"/>
      <c r="AB848"/>
      <c r="AC848"/>
      <c r="AF848" s="361">
        <v>1</v>
      </c>
      <c r="AG848" s="80"/>
      <c r="AH848" s="60">
        <f>S.PostEQC.FileRuleWithSOS</f>
        <v>41992</v>
      </c>
      <c r="AI848" s="59"/>
      <c r="AJ848" s="61"/>
      <c r="AK848" s="41"/>
      <c r="AL848" s="76"/>
    </row>
    <row r="849" spans="1:39" s="23" customFormat="1" ht="14.1" hidden="1" customHeight="1" outlineLevel="2">
      <c r="A849" s="145" t="s">
        <v>0</v>
      </c>
      <c r="B849" s="555" t="s">
        <v>327</v>
      </c>
      <c r="C849" s="306"/>
      <c r="D849" s="307"/>
      <c r="E849" s="307"/>
      <c r="F849" s="262"/>
      <c r="G849" s="306"/>
      <c r="H849" s="306"/>
      <c r="I849" s="745"/>
      <c r="J849"/>
      <c r="K849"/>
      <c r="L849"/>
      <c r="M849"/>
      <c r="N849"/>
      <c r="O849"/>
      <c r="P849"/>
      <c r="Q849"/>
      <c r="R849"/>
      <c r="S849"/>
      <c r="T849"/>
      <c r="U849"/>
      <c r="X849"/>
      <c r="AB849"/>
      <c r="AC849"/>
      <c r="AF849" s="361">
        <v>1</v>
      </c>
      <c r="AG849" s="80"/>
      <c r="AH849" s="80"/>
      <c r="AI849" s="59"/>
      <c r="AJ849" s="159"/>
      <c r="AK849" s="41"/>
      <c r="AL849" s="76"/>
    </row>
    <row r="850" spans="1:39" s="23" customFormat="1" ht="14.1" hidden="1" customHeight="1" outlineLevel="2">
      <c r="A850" s="145"/>
      <c r="B850" s="303" t="str">
        <f>AK850</f>
        <v>Brian:</v>
      </c>
      <c r="C850" s="306"/>
      <c r="D850" s="307"/>
      <c r="E850" s="307"/>
      <c r="F850" s="262"/>
      <c r="G850" s="306"/>
      <c r="H850" s="306"/>
      <c r="I850" s="745"/>
      <c r="J850"/>
      <c r="K850"/>
      <c r="L850"/>
      <c r="M850"/>
      <c r="N850"/>
      <c r="O850"/>
      <c r="P850"/>
      <c r="Q850"/>
      <c r="R850"/>
      <c r="S850"/>
      <c r="T850"/>
      <c r="U850"/>
      <c r="X850"/>
      <c r="AB850"/>
      <c r="AC850"/>
      <c r="AF850" s="361">
        <v>1</v>
      </c>
      <c r="AG850" s="80"/>
      <c r="AH850" s="80"/>
      <c r="AI850" s="59"/>
      <c r="AJ850" s="159"/>
      <c r="AK850" s="67" t="str">
        <f>S.Staff.Subject.Expert.FirstName&amp;":"</f>
        <v>Brian:</v>
      </c>
      <c r="AL850" s="76"/>
    </row>
    <row r="851" spans="1:39" s="23" customFormat="1" ht="14.1" hidden="1" customHeight="1" outlineLevel="2">
      <c r="A851" s="145"/>
      <c r="B851" s="269" t="s">
        <v>236</v>
      </c>
      <c r="C851" s="542"/>
      <c r="D851" s="283"/>
      <c r="E851" s="357"/>
      <c r="F851" s="313">
        <f>NETWORKDAYS(G851,H851,S.DDL_DEQClosed)</f>
        <v>1</v>
      </c>
      <c r="G851" s="256">
        <f>AG851</f>
        <v>41992</v>
      </c>
      <c r="H851" s="256">
        <f>AH851</f>
        <v>41992</v>
      </c>
      <c r="I851" s="745"/>
      <c r="J851"/>
      <c r="K851"/>
      <c r="L851"/>
      <c r="M851"/>
      <c r="N851"/>
      <c r="O851"/>
      <c r="P851"/>
      <c r="Q851"/>
      <c r="R851"/>
      <c r="S851"/>
      <c r="T851"/>
      <c r="U851"/>
      <c r="X851"/>
      <c r="AB851"/>
      <c r="AC851"/>
      <c r="AF851" s="361">
        <v>1</v>
      </c>
      <c r="AG851" s="60">
        <f>S.PostEQC.FileRuleWithSOS</f>
        <v>41992</v>
      </c>
      <c r="AH851" s="60">
        <f>G851</f>
        <v>41992</v>
      </c>
      <c r="AI851" s="59"/>
      <c r="AJ851" s="59"/>
      <c r="AK851" s="58" t="s">
        <v>0</v>
      </c>
      <c r="AL851" s="76"/>
    </row>
    <row r="852" spans="1:39" s="23" customFormat="1" ht="14.1" hidden="1" customHeight="1" outlineLevel="2">
      <c r="A852" s="145"/>
      <c r="B852" s="277" t="s">
        <v>137</v>
      </c>
      <c r="C852" s="268"/>
      <c r="D852" s="278"/>
      <c r="E852" s="278"/>
      <c r="F852" s="262"/>
      <c r="G852" s="264"/>
      <c r="H852" s="258"/>
      <c r="I852" s="745"/>
      <c r="J852"/>
      <c r="K852"/>
      <c r="L852"/>
      <c r="M852"/>
      <c r="N852"/>
      <c r="O852"/>
      <c r="P852"/>
      <c r="Q852"/>
      <c r="R852"/>
      <c r="S852"/>
      <c r="T852"/>
      <c r="U852"/>
      <c r="X852"/>
      <c r="AB852"/>
      <c r="AC852"/>
      <c r="AF852" s="361">
        <v>1</v>
      </c>
      <c r="AG852" s="58"/>
      <c r="AH852" s="58"/>
      <c r="AI852" s="58"/>
      <c r="AJ852" s="44"/>
      <c r="AK852" s="58" t="s">
        <v>0</v>
      </c>
      <c r="AL852" s="76"/>
    </row>
    <row r="853" spans="1:39" s="23" customFormat="1" ht="14.1" hidden="1" customHeight="1" outlineLevel="2" thickBot="1">
      <c r="A853" s="145"/>
      <c r="B853" s="269" t="s">
        <v>199</v>
      </c>
      <c r="C853" s="542"/>
      <c r="D853" s="283" t="s">
        <v>0</v>
      </c>
      <c r="E853" s="357"/>
      <c r="F853" s="313">
        <f>NETWORKDAYS(G853,H853,S.DDL_DEQClosed)</f>
        <v>1</v>
      </c>
      <c r="G853" s="256">
        <f t="shared" ref="G853:H855" si="192">AG853</f>
        <v>42009</v>
      </c>
      <c r="H853" s="256">
        <f t="shared" si="192"/>
        <v>42009</v>
      </c>
      <c r="I853" s="745"/>
      <c r="J853"/>
      <c r="K853"/>
      <c r="L853"/>
      <c r="M853"/>
      <c r="N853"/>
      <c r="O853"/>
      <c r="P853"/>
      <c r="Q853"/>
      <c r="R853"/>
      <c r="S853"/>
      <c r="T853"/>
      <c r="U853"/>
      <c r="X853"/>
      <c r="AB853"/>
      <c r="AC853"/>
      <c r="AF853" s="361">
        <v>1</v>
      </c>
      <c r="AG853" s="60">
        <f>AH853</f>
        <v>42009</v>
      </c>
      <c r="AH853" s="60">
        <f>WORKDAY(S.PostEQC.FileRuleWithSOS+14,1,S.DDL_DEQClosed)</f>
        <v>42009</v>
      </c>
      <c r="AI853" s="59"/>
      <c r="AJ853" s="59"/>
      <c r="AK853" s="58" t="s">
        <v>0</v>
      </c>
      <c r="AL853" s="76"/>
    </row>
    <row r="854" spans="1:39" s="23" customFormat="1" ht="14.1" hidden="1" customHeight="1" outlineLevel="2" thickBot="1">
      <c r="A854" s="145"/>
      <c r="B854" s="342" t="str">
        <f>AK854</f>
        <v>If errors, Brian works with Maggie to correct and selects 'Y'  &gt;</v>
      </c>
      <c r="C854" s="539" t="s">
        <v>16</v>
      </c>
      <c r="D854" s="357" t="s">
        <v>0</v>
      </c>
      <c r="E854" s="357"/>
      <c r="F854" s="255">
        <f>NETWORKDAYS(G854,H854,S.DDL_DEQClosed)</f>
        <v>1</v>
      </c>
      <c r="G854" s="256">
        <f t="shared" si="192"/>
        <v>42009</v>
      </c>
      <c r="H854" s="256">
        <f t="shared" si="192"/>
        <v>42009</v>
      </c>
      <c r="I854" s="745"/>
      <c r="J854"/>
      <c r="K854"/>
      <c r="L854"/>
      <c r="M854"/>
      <c r="N854"/>
      <c r="O854"/>
      <c r="P854"/>
      <c r="Q854"/>
      <c r="R854"/>
      <c r="S854"/>
      <c r="T854"/>
      <c r="U854"/>
      <c r="X854"/>
      <c r="AB854"/>
      <c r="AC854"/>
      <c r="AF854" s="361">
        <f>IF(C854="Y",1,0)</f>
        <v>1</v>
      </c>
      <c r="AG854" s="60">
        <f>IF(AF854=0,,H853)</f>
        <v>42009</v>
      </c>
      <c r="AH854" s="60">
        <f>IF(AF854=0,,G854)</f>
        <v>42009</v>
      </c>
      <c r="AI854" s="59"/>
      <c r="AJ854" s="59"/>
      <c r="AK854" s="78" t="str">
        <f>"If errors, "&amp;S.Staff.Subject.Expert.FirstName&amp;" works with "&amp;S.Staff.AgencyRulesCoordinator&amp;" to correct and selects 'Y'  &gt;"</f>
        <v>If errors, Brian works with Maggie to correct and selects 'Y'  &gt;</v>
      </c>
      <c r="AL854" s="76"/>
    </row>
    <row r="855" spans="1:39" s="23" customFormat="1" ht="14.1" hidden="1" customHeight="1" outlineLevel="2">
      <c r="A855" s="145"/>
      <c r="B855" s="267" t="str">
        <f>AK855</f>
        <v>AndreaG submits SIP to EPA within 60 days AFTER adoption</v>
      </c>
      <c r="C855" s="542"/>
      <c r="D855" s="283"/>
      <c r="E855" s="357"/>
      <c r="F855" s="313">
        <f>NETWORKDAYS(G855,H855,S.DDL_DEQClosed)</f>
        <v>31</v>
      </c>
      <c r="G855" s="263">
        <f t="shared" si="192"/>
        <v>41990</v>
      </c>
      <c r="H855" s="256">
        <f t="shared" si="192"/>
        <v>42037</v>
      </c>
      <c r="I855" s="745"/>
      <c r="J855"/>
      <c r="K855"/>
      <c r="L855"/>
      <c r="M855"/>
      <c r="N855"/>
      <c r="O855"/>
      <c r="P855"/>
      <c r="Q855"/>
      <c r="R855"/>
      <c r="S855"/>
      <c r="T855"/>
      <c r="U855"/>
      <c r="X855"/>
      <c r="AB855"/>
      <c r="AC855"/>
      <c r="AF855" s="361">
        <v>1</v>
      </c>
      <c r="AG855" s="60">
        <f>S.EQC.Meeting</f>
        <v>41990</v>
      </c>
      <c r="AH855" s="60">
        <f>WORKDAY(S.EQC.Meeting+44,1,S.DDL_DEQClosed)</f>
        <v>42037</v>
      </c>
      <c r="AI855" s="59"/>
      <c r="AJ855" s="59"/>
      <c r="AK855" s="78" t="str">
        <f>S.Staff.SIPCo&amp;" submits SIP to EPA within 60 days AFTER adoption"</f>
        <v>AndreaG submits SIP to EPA within 60 days AFTER adoption</v>
      </c>
      <c r="AL855" s="76"/>
    </row>
    <row r="856" spans="1:39" s="23" customFormat="1" ht="14.1" hidden="1" customHeight="1" outlineLevel="2">
      <c r="A856" s="145"/>
      <c r="B856" s="303" t="str">
        <f>AK856</f>
        <v>Brian:</v>
      </c>
      <c r="C856" s="306"/>
      <c r="D856" s="307"/>
      <c r="E856" s="307"/>
      <c r="F856" s="262"/>
      <c r="G856" s="306"/>
      <c r="H856" s="306"/>
      <c r="I856" s="745"/>
      <c r="J856"/>
      <c r="K856"/>
      <c r="L856"/>
      <c r="M856"/>
      <c r="N856"/>
      <c r="O856"/>
      <c r="P856"/>
      <c r="Q856"/>
      <c r="R856"/>
      <c r="S856"/>
      <c r="T856"/>
      <c r="U856"/>
      <c r="X856"/>
      <c r="AB856"/>
      <c r="AC856"/>
      <c r="AF856" s="361">
        <v>1</v>
      </c>
      <c r="AG856" s="80"/>
      <c r="AH856" s="80"/>
      <c r="AI856" s="59"/>
      <c r="AJ856" s="159"/>
      <c r="AK856" s="67" t="str">
        <f>S.Staff.Subject.Expert.FirstName&amp;":"</f>
        <v>Brian:</v>
      </c>
      <c r="AL856" s="76"/>
    </row>
    <row r="857" spans="1:39" ht="14.1" hidden="1" customHeight="1" outlineLevel="2">
      <c r="A857" s="145"/>
      <c r="B857" s="220" t="s">
        <v>287</v>
      </c>
      <c r="C857" s="545"/>
      <c r="D857" s="283"/>
      <c r="E857" s="283"/>
      <c r="F857" s="255">
        <f t="shared" ref="F857" si="193">NETWORKDAYS(G857,H857,S.DDL_DEQClosed)</f>
        <v>59</v>
      </c>
      <c r="G857" s="299">
        <f t="shared" ref="G857:H857" si="194">AG857</f>
        <v>41992</v>
      </c>
      <c r="H857" s="299">
        <f t="shared" si="194"/>
        <v>42080</v>
      </c>
      <c r="I857" s="745"/>
      <c r="AF857" s="361">
        <v>1</v>
      </c>
      <c r="AG857" s="60">
        <f>AH845</f>
        <v>41992</v>
      </c>
      <c r="AH857" s="60">
        <f>S.PostEQC.BANNER.End</f>
        <v>42080</v>
      </c>
      <c r="AI857" s="59"/>
      <c r="AJ857" s="46"/>
      <c r="AK857" s="41"/>
      <c r="AL857" s="76"/>
      <c r="AM857"/>
    </row>
    <row r="858" spans="1:39" s="23" customFormat="1" ht="14.1" hidden="1" customHeight="1" outlineLevel="2">
      <c r="A858" s="145"/>
      <c r="B858" s="220" t="s">
        <v>282</v>
      </c>
      <c r="C858" s="545"/>
      <c r="D858" s="283"/>
      <c r="E858" s="750"/>
      <c r="F858"/>
      <c r="G858"/>
      <c r="H858" s="299">
        <f t="shared" ref="H858" si="195">AH858</f>
        <v>42080</v>
      </c>
      <c r="I858" s="745"/>
      <c r="J858"/>
      <c r="K858"/>
      <c r="L858"/>
      <c r="M858"/>
      <c r="N858"/>
      <c r="O858"/>
      <c r="P858"/>
      <c r="Q858"/>
      <c r="R858"/>
      <c r="S858"/>
      <c r="T858"/>
      <c r="U858"/>
      <c r="X858"/>
      <c r="AB858"/>
      <c r="AC858"/>
      <c r="AF858" s="361">
        <v>1</v>
      </c>
      <c r="AG858" s="60">
        <f>AH846</f>
        <v>0</v>
      </c>
      <c r="AH858" s="60">
        <f>S.PostEQC.BANNER.End</f>
        <v>42080</v>
      </c>
      <c r="AI858" s="59"/>
      <c r="AJ858" s="46"/>
      <c r="AK858" s="41"/>
      <c r="AL858" s="76"/>
    </row>
    <row r="859" spans="1:39" s="23" customFormat="1" ht="14.1" hidden="1" customHeight="1" outlineLevel="2">
      <c r="A859" s="145"/>
      <c r="B859" s="220" t="str">
        <f>AK859</f>
        <v>* delivers archival box to Maggie</v>
      </c>
      <c r="C859" s="545"/>
      <c r="D859" s="283"/>
      <c r="E859" s="750"/>
      <c r="F859"/>
      <c r="G859"/>
      <c r="H859" s="299">
        <f t="shared" ref="H859" si="196">AH859</f>
        <v>42080</v>
      </c>
      <c r="I859" s="745"/>
      <c r="J859"/>
      <c r="K859"/>
      <c r="L859"/>
      <c r="M859"/>
      <c r="N859"/>
      <c r="O859"/>
      <c r="P859"/>
      <c r="Q859"/>
      <c r="R859"/>
      <c r="S859"/>
      <c r="T859"/>
      <c r="U859"/>
      <c r="X859"/>
      <c r="AB859"/>
      <c r="AC859"/>
      <c r="AF859" s="361">
        <v>1</v>
      </c>
      <c r="AG859" s="60">
        <f>AH846</f>
        <v>0</v>
      </c>
      <c r="AH859" s="60">
        <f>S.PostEQC.BANNER.End</f>
        <v>42080</v>
      </c>
      <c r="AI859" s="59"/>
      <c r="AJ859" s="46"/>
      <c r="AK859" s="78" t="str">
        <f>"* delivers archival box to "&amp;S.Staff.AgencyRulesCoordinator</f>
        <v>* delivers archival box to Maggie</v>
      </c>
      <c r="AL859" s="76"/>
    </row>
    <row r="860" spans="1:39" s="23" customFormat="1" ht="14.1" hidden="1" customHeight="1" outlineLevel="2">
      <c r="A860" s="145" t="s">
        <v>0</v>
      </c>
      <c r="B860" s="311" t="str">
        <f>AK860</f>
        <v>AndreaG coordinates retiring Q-Time number(s) with RobertB</v>
      </c>
      <c r="C860" s="268" t="s">
        <v>0</v>
      </c>
      <c r="D860" s="283"/>
      <c r="E860" s="283"/>
      <c r="F860" s="255">
        <f>NETWORKDAYS(G860,H860,S.DDL_DEQClosed)</f>
        <v>1</v>
      </c>
      <c r="G860" s="256">
        <f>AG860</f>
        <v>41992</v>
      </c>
      <c r="H860" s="256">
        <f>AH860</f>
        <v>41992</v>
      </c>
      <c r="I860" s="745"/>
      <c r="J860"/>
      <c r="K860"/>
      <c r="L860"/>
      <c r="M860"/>
      <c r="N860"/>
      <c r="O860"/>
      <c r="P860"/>
      <c r="Q860"/>
      <c r="R860"/>
      <c r="S860"/>
      <c r="T860"/>
      <c r="U860"/>
      <c r="X860"/>
      <c r="AB860"/>
      <c r="AC860"/>
      <c r="AF860" s="361">
        <v>1</v>
      </c>
      <c r="AG860" s="60">
        <f>AH845</f>
        <v>41992</v>
      </c>
      <c r="AH860" s="60">
        <f>G860</f>
        <v>41992</v>
      </c>
      <c r="AI860" s="59"/>
      <c r="AJ860" s="43"/>
      <c r="AK860" s="63" t="str">
        <f>S.Staff.RG.Lead.FirstName&amp;" coordinates retiring Q-Time number(s) with "&amp;S.Staff.TimeAccounting</f>
        <v>AndreaG coordinates retiring Q-Time number(s) with RobertB</v>
      </c>
      <c r="AL860" s="76"/>
    </row>
    <row r="861" spans="1:39" s="23" customFormat="1" ht="14.1" hidden="1" customHeight="1" outlineLevel="2">
      <c r="A861" s="145"/>
      <c r="B861" s="303" t="str">
        <f>AK861</f>
        <v>At the close of the rulemaking records, Maggie archives the record</v>
      </c>
      <c r="C861" s="306"/>
      <c r="D861" s="307"/>
      <c r="E861" s="307"/>
      <c r="F861" s="262"/>
      <c r="G861" s="306"/>
      <c r="H861" s="306"/>
      <c r="I861" s="745"/>
      <c r="J861"/>
      <c r="K861"/>
      <c r="L861"/>
      <c r="M861"/>
      <c r="N861"/>
      <c r="O861"/>
      <c r="P861"/>
      <c r="Q861"/>
      <c r="R861"/>
      <c r="S861"/>
      <c r="T861"/>
      <c r="U861"/>
      <c r="X861"/>
      <c r="AB861"/>
      <c r="AC861"/>
      <c r="AF861" s="361">
        <v>1</v>
      </c>
      <c r="AG861" s="80"/>
      <c r="AH861" s="80"/>
      <c r="AI861" s="59"/>
      <c r="AJ861" s="159"/>
      <c r="AK861" s="67" t="str">
        <f>"At the close of the rulemaking records, "&amp;S.Staff.AgencyRulesCoordinator&amp;" archives the record"</f>
        <v>At the close of the rulemaking records, Maggie archives the record</v>
      </c>
      <c r="AL861" s="76"/>
    </row>
    <row r="862" spans="1:39" s="23" customFormat="1" ht="14.1" hidden="1" customHeight="1" outlineLevel="2">
      <c r="A862" s="145"/>
      <c r="B862" s="502" t="s">
        <v>289</v>
      </c>
      <c r="C862" s="509" t="str">
        <f>HYPERLINK("\\deqhq1\Rule_Development\Currrent Plan","i")</f>
        <v>i</v>
      </c>
      <c r="D862" s="307"/>
      <c r="E862" s="307"/>
      <c r="F862" s="262"/>
      <c r="G862" s="306"/>
      <c r="H862" s="306"/>
      <c r="I862" s="745"/>
      <c r="J862"/>
      <c r="K862"/>
      <c r="L862"/>
      <c r="M862"/>
      <c r="N862"/>
      <c r="O862"/>
      <c r="P862"/>
      <c r="Q862"/>
      <c r="R862"/>
      <c r="S862"/>
      <c r="T862"/>
      <c r="U862"/>
      <c r="X862"/>
      <c r="AB862"/>
      <c r="AC862"/>
      <c r="AF862" s="361">
        <v>1</v>
      </c>
      <c r="AG862" s="80"/>
      <c r="AH862" s="80"/>
      <c r="AI862" s="59"/>
      <c r="AJ862" s="159"/>
      <c r="AK862" s="41"/>
      <c r="AL862" s="76"/>
    </row>
    <row r="863" spans="1:39" s="23" customFormat="1" ht="14.1" hidden="1" customHeight="1" outlineLevel="2">
      <c r="A863" s="145"/>
      <c r="B863" s="502" t="s">
        <v>290</v>
      </c>
      <c r="C863" s="306"/>
      <c r="D863" s="307"/>
      <c r="E863" s="307"/>
      <c r="F863" s="262"/>
      <c r="G863" s="306"/>
      <c r="H863" s="306"/>
      <c r="I863" s="745"/>
      <c r="J863"/>
      <c r="K863"/>
      <c r="L863"/>
      <c r="M863"/>
      <c r="N863"/>
      <c r="O863"/>
      <c r="P863"/>
      <c r="Q863"/>
      <c r="R863"/>
      <c r="S863"/>
      <c r="T863"/>
      <c r="U863"/>
      <c r="X863"/>
      <c r="AB863"/>
      <c r="AC863"/>
      <c r="AF863" s="361">
        <v>1</v>
      </c>
      <c r="AG863" s="80"/>
      <c r="AH863" s="80"/>
      <c r="AI863" s="59"/>
      <c r="AJ863" s="159"/>
      <c r="AK863" s="41"/>
      <c r="AL863" s="76"/>
    </row>
    <row r="864" spans="1:39" s="23" customFormat="1" ht="14.1" hidden="1" customHeight="1" outlineLevel="2">
      <c r="A864" s="145"/>
      <c r="B864" s="222" t="s">
        <v>139</v>
      </c>
      <c r="C864" s="545"/>
      <c r="D864" s="283"/>
      <c r="E864" s="283"/>
      <c r="F864" s="255">
        <f t="shared" ref="F864" si="197">NETWORKDAYS(G864,H864,S.DDL_DEQClosed)</f>
        <v>59</v>
      </c>
      <c r="G864" s="299">
        <f t="shared" ref="G864" si="198">AG864</f>
        <v>41992</v>
      </c>
      <c r="H864" s="299">
        <f t="shared" ref="H864" si="199">AH864</f>
        <v>42080</v>
      </c>
      <c r="I864" s="745"/>
      <c r="J864"/>
      <c r="K864"/>
      <c r="L864"/>
      <c r="M864"/>
      <c r="N864"/>
      <c r="O864"/>
      <c r="P864"/>
      <c r="Q864"/>
      <c r="R864"/>
      <c r="S864"/>
      <c r="T864"/>
      <c r="U864"/>
      <c r="X864"/>
      <c r="AB864"/>
      <c r="AC864"/>
      <c r="AF864" s="361">
        <v>1</v>
      </c>
      <c r="AG864" s="60">
        <f>AH845</f>
        <v>41992</v>
      </c>
      <c r="AH864" s="60">
        <f>S.PostEQC.BANNER.End</f>
        <v>42080</v>
      </c>
      <c r="AI864" s="59"/>
      <c r="AJ864" s="46"/>
      <c r="AK864" s="41"/>
      <c r="AL864" s="76"/>
    </row>
    <row r="865" spans="1:39" s="23" customFormat="1" ht="14.1" hidden="1" customHeight="1" outlineLevel="2">
      <c r="A865" s="145"/>
      <c r="B865" s="303" t="str">
        <f>AK865</f>
        <v>Brian takes a vacation</v>
      </c>
      <c r="C865" s="306"/>
      <c r="D865" s="307"/>
      <c r="E865" s="307"/>
      <c r="F865" s="262"/>
      <c r="G865" s="306"/>
      <c r="H865" s="306"/>
      <c r="I865" s="745"/>
      <c r="J865"/>
      <c r="K865"/>
      <c r="L865"/>
      <c r="M865"/>
      <c r="N865"/>
      <c r="O865"/>
      <c r="P865"/>
      <c r="Q865"/>
      <c r="R865"/>
      <c r="S865"/>
      <c r="T865"/>
      <c r="U865"/>
      <c r="X865"/>
      <c r="AB865"/>
      <c r="AC865"/>
      <c r="AF865" s="361">
        <v>1</v>
      </c>
      <c r="AG865" s="80"/>
      <c r="AH865" s="80"/>
      <c r="AI865" s="59"/>
      <c r="AJ865" s="159"/>
      <c r="AK865" s="67" t="str">
        <f>S.Staff.Subject.Expert.FirstName&amp;" takes a vacation"</f>
        <v>Brian takes a vacation</v>
      </c>
      <c r="AL865" s="76"/>
    </row>
    <row r="866" spans="1:39" hidden="1" outlineLevel="1">
      <c r="A866" s="145"/>
      <c r="B866" s="314"/>
      <c r="C866" s="300"/>
      <c r="D866" s="704"/>
      <c r="E866" s="704"/>
      <c r="F866" s="315"/>
      <c r="G866" s="300"/>
      <c r="H866" s="493" t="str">
        <f>"$H"&amp;"$"&amp;ROW(S.General.LastCellSchedule)</f>
        <v>$H$866</v>
      </c>
      <c r="I866" s="745"/>
      <c r="AF866" s="363" t="s">
        <v>0</v>
      </c>
      <c r="AG866" s="47"/>
      <c r="AH866" s="47"/>
      <c r="AI866" s="495" t="s">
        <v>0</v>
      </c>
      <c r="AJ866" s="46"/>
      <c r="AK866" s="36"/>
      <c r="AL866" s="76"/>
      <c r="AM866"/>
    </row>
    <row r="867" spans="1:39" ht="12.75" customHeight="1" collapsed="1">
      <c r="A867" s="145"/>
      <c r="B867" s="165"/>
      <c r="C867" s="166"/>
      <c r="D867" s="724"/>
      <c r="E867" s="724"/>
      <c r="F867" s="167"/>
      <c r="G867" s="166"/>
      <c r="H867" s="166"/>
      <c r="I867" s="745"/>
      <c r="AF867" s="557" t="s">
        <v>59</v>
      </c>
      <c r="AG867" s="556"/>
      <c r="AH867" s="556"/>
      <c r="AI867" s="556"/>
      <c r="AJ867" s="556"/>
      <c r="AK867" s="556"/>
      <c r="AL867" s="556"/>
      <c r="AM867" s="75"/>
    </row>
    <row r="868" spans="1:39">
      <c r="C868"/>
      <c r="D868"/>
      <c r="E868"/>
      <c r="F868"/>
      <c r="G868"/>
      <c r="H868"/>
      <c r="I868" s="745"/>
      <c r="V868"/>
      <c r="W868"/>
      <c r="Y868"/>
      <c r="Z868"/>
      <c r="AA868"/>
      <c r="AD868"/>
      <c r="AE868"/>
      <c r="AF868"/>
      <c r="AH868"/>
      <c r="AI868"/>
      <c r="AJ868"/>
      <c r="AM868"/>
    </row>
    <row r="869" spans="1:39">
      <c r="C869"/>
      <c r="D869"/>
      <c r="E869"/>
      <c r="F869"/>
      <c r="G869"/>
      <c r="H869"/>
      <c r="I869" s="745"/>
      <c r="V869"/>
      <c r="W869"/>
      <c r="Y869"/>
      <c r="Z869"/>
      <c r="AA869"/>
      <c r="AD869"/>
      <c r="AE869"/>
      <c r="AF869"/>
      <c r="AH869"/>
      <c r="AI869"/>
      <c r="AJ869"/>
      <c r="AM869"/>
    </row>
  </sheetData>
  <sheetProtection formatRows="0" insertHyperlinks="0"/>
  <mergeCells count="63">
    <mergeCell ref="C543:G543"/>
    <mergeCell ref="C782:AD782"/>
    <mergeCell ref="C783:AD783"/>
    <mergeCell ref="C784:AD784"/>
    <mergeCell ref="D691:G691"/>
    <mergeCell ref="G754:H754"/>
    <mergeCell ref="C780:H780"/>
    <mergeCell ref="C781:H781"/>
    <mergeCell ref="C610:G610"/>
    <mergeCell ref="C605:G605"/>
    <mergeCell ref="B801:H801"/>
    <mergeCell ref="B649:H649"/>
    <mergeCell ref="D237:G237"/>
    <mergeCell ref="G572:H572"/>
    <mergeCell ref="B487:H487"/>
    <mergeCell ref="B287:H287"/>
    <mergeCell ref="G562:H562"/>
    <mergeCell ref="D630:G630"/>
    <mergeCell ref="C249:G249"/>
    <mergeCell ref="C539:G539"/>
    <mergeCell ref="C540:G540"/>
    <mergeCell ref="C541:G541"/>
    <mergeCell ref="G591:H591"/>
    <mergeCell ref="G594:H594"/>
    <mergeCell ref="D626:G626"/>
    <mergeCell ref="D609:G609"/>
    <mergeCell ref="AJ1:AO1"/>
    <mergeCell ref="B489:F489"/>
    <mergeCell ref="G1:H1"/>
    <mergeCell ref="D217:H217"/>
    <mergeCell ref="D219:F219"/>
    <mergeCell ref="D238:G238"/>
    <mergeCell ref="D239:G239"/>
    <mergeCell ref="D240:G240"/>
    <mergeCell ref="D223:F223"/>
    <mergeCell ref="D224:F224"/>
    <mergeCell ref="D225:F225"/>
    <mergeCell ref="D226:F226"/>
    <mergeCell ref="D244:G244"/>
    <mergeCell ref="D243:G243"/>
    <mergeCell ref="B91:C91"/>
    <mergeCell ref="B452:H452"/>
    <mergeCell ref="AS3:AY3"/>
    <mergeCell ref="D218:F218"/>
    <mergeCell ref="D220:F220"/>
    <mergeCell ref="D221:F221"/>
    <mergeCell ref="D222:F222"/>
    <mergeCell ref="B5:F5"/>
    <mergeCell ref="AI16:AI18"/>
    <mergeCell ref="AG43:AK43"/>
    <mergeCell ref="AG44:AK44"/>
    <mergeCell ref="C3:F3"/>
    <mergeCell ref="C27:G27"/>
    <mergeCell ref="C42:G42"/>
    <mergeCell ref="D423:G423"/>
    <mergeCell ref="D377:G377"/>
    <mergeCell ref="D400:G400"/>
    <mergeCell ref="D446:G446"/>
    <mergeCell ref="G43:H44"/>
    <mergeCell ref="C235:H235"/>
    <mergeCell ref="D241:G241"/>
    <mergeCell ref="D242:G242"/>
    <mergeCell ref="F257:G261"/>
  </mergeCells>
  <conditionalFormatting sqref="G607:G608 G610 G613:G615 G692:G725 G728:G739 G748:H748 G747:G749 G753:G779 G785:G866 G617:G690 H577 H563:H565 G564:H564 G232:G353 G355:G486 G28:G43 C27 C42 G45:G230 G6:G22 G24:G25 G488:G539 G530:H531 G541:G605 G574:H574 H589 H37 G29:H29 G34:H35 G46:H46">
    <cfRule type="expression" dxfId="51" priority="315" stopIfTrue="1">
      <formula>IF(WORKDAY($G$6-1,1,S.DDL_DEQClosed)&lt;&gt;$G$6,TRUE)</formula>
    </cfRule>
    <cfRule type="expression" dxfId="50" priority="317" stopIfTrue="1">
      <formula>IF(WORKDAY($H$6-1,1,S.DDL_DEQClosed)&lt;&gt;$H$6,TRUE)</formula>
    </cfRule>
  </conditionalFormatting>
  <conditionalFormatting sqref="B94:B97 B87 B69:B70 B79:B82 B22:B24">
    <cfRule type="expression" dxfId="49" priority="324">
      <formula>IF(AND(S.General.RuleType="P",S.Notice.HearingInvolved="Y",S.Notice.Involved="N"),TRUE,FALSE)</formula>
    </cfRule>
  </conditionalFormatting>
  <conditionalFormatting sqref="B18">
    <cfRule type="expression" dxfId="48" priority="320">
      <formula>IF(AND(S.SIP.Involved="Y",OR(S.Notice.Involved="N",S.Hearing.1stInvolve="N")),TRUE,)</formula>
    </cfRule>
  </conditionalFormatting>
  <conditionalFormatting sqref="A188:H188 A198:H198 A172:H172 A252:H252 A262:H262 B45:H45 D28:E42 C30 F30 B28:H28 B33:H33 G28:G43 C26:C27 D26:F26 H607:H608 F606:G608 A610:G610 F617:H625 A614:H615 H626 F611:F615 H611:H615 G613:G616 G293:H293 H232:H286 F232:F290 F799:F866 F626:G690 F692:F700 E606:E691 F230 H288:H486 G232:G353 C320:C486 D320:E353 F714:F721 G692:G725 A579:G605 A740:E740 A743:E743 G728:H739 B606:B752 G747:H748 B754:B755 B758 E693:E758 A606:A758 C754:H758 A760:H761 A759:E759 D785:E866 B785:B866 A780:A866 C780:C866 A762:E779 G753:H779 A789:E789 G785:G866 H785:H808 H815:H866 A151:H160 D355:E486 G355:G486 F357:F448 F450:F486 A215:H215 F101:F227 G101:H230 C32:C62 A59:H86 C92:C93 C87:C90 D87:H93 A94:H100 A87:B93 A564:H564 A6:H19 AG43:AG44 F32:F40 I43:I44 F42 A20:A62 B26:B42 B45:B62 H20:H22 H24 A320:B520 C488:H520 A620:H620 C25:H25 B20:E24 G20:G24 F20:F21 F23:F24 D541:G561 H521:H561 D521:G539 A530:H531 A567:H568 H590:H605 D565:H574 A521:C574 A575:H578 H579:H588 H629:H630 H634:H725 G29:H29 G34:H34 H26:H42 G23:H23 D45:H62 C606:D758 A101:E319">
    <cfRule type="expression" dxfId="47" priority="74" stopIfTrue="1">
      <formula>IF($AF6=0,TRUE)</formula>
    </cfRule>
  </conditionalFormatting>
  <conditionalFormatting sqref="D28:E42 D355:E486 D740:E740 D743:E743 E693:E758 D754:E779 D785:E866 D6:E26 D620:E620 D488:E539 D541:E561 D563:E578 D579:D758 E579:E691 D45:E353">
    <cfRule type="expression" dxfId="46" priority="69">
      <formula>IF(OR($D6="X",$D6="x"),TRUE)</formula>
    </cfRule>
  </conditionalFormatting>
  <conditionalFormatting sqref="E43">
    <cfRule type="expression" dxfId="45" priority="61" stopIfTrue="1">
      <formula>IF($AF43=0,TRUE)</formula>
    </cfRule>
  </conditionalFormatting>
  <conditionalFormatting sqref="C29 F29">
    <cfRule type="expression" dxfId="44" priority="354" stopIfTrue="1">
      <formula>IF($AF31=0,TRUE)</formula>
    </cfRule>
  </conditionalFormatting>
  <conditionalFormatting sqref="G562:H562">
    <cfRule type="expression" dxfId="43" priority="50" stopIfTrue="1">
      <formula>IF($AF562=0,TRUE)</formula>
    </cfRule>
  </conditionalFormatting>
  <conditionalFormatting sqref="H610">
    <cfRule type="expression" dxfId="42" priority="402" stopIfTrue="1">
      <formula>IF($AF606=0,TRUE)</formula>
    </cfRule>
  </conditionalFormatting>
  <conditionalFormatting sqref="B19">
    <cfRule type="expression" dxfId="41" priority="428">
      <formula>IF(ISERROR($H$19)=TRUE,TRUE,)</formula>
    </cfRule>
  </conditionalFormatting>
  <conditionalFormatting sqref="D563:H564">
    <cfRule type="expression" dxfId="40" priority="494" stopIfTrue="1">
      <formula>IF($AF562=0,TRUE)</formula>
    </cfRule>
  </conditionalFormatting>
  <conditionalFormatting sqref="G749:H749">
    <cfRule type="expression" dxfId="39" priority="540" stopIfTrue="1">
      <formula>IF($AF750=0,TRUE)</formula>
    </cfRule>
  </conditionalFormatting>
  <conditionalFormatting sqref="B753">
    <cfRule type="expression" dxfId="38" priority="44" stopIfTrue="1">
      <formula>IF($AF753=0,TRUE)</formula>
    </cfRule>
  </conditionalFormatting>
  <conditionalFormatting sqref="B756:B757 B25">
    <cfRule type="expression" dxfId="37" priority="601" stopIfTrue="1">
      <formula>IF(#REF!=0,TRUE)</formula>
    </cfRule>
  </conditionalFormatting>
  <conditionalFormatting sqref="B780:B784">
    <cfRule type="expression" dxfId="36" priority="43" stopIfTrue="1">
      <formula>IF($AF780=0,TRUE)</formula>
    </cfRule>
  </conditionalFormatting>
  <conditionalFormatting sqref="F41">
    <cfRule type="expression" dxfId="35" priority="42" stopIfTrue="1">
      <formula>IF($AF41=0,TRUE)</formula>
    </cfRule>
  </conditionalFormatting>
  <conditionalFormatting sqref="F20">
    <cfRule type="expression" dxfId="34" priority="41" stopIfTrue="1">
      <formula>IF($AF26=0,TRUE)</formula>
    </cfRule>
  </conditionalFormatting>
  <conditionalFormatting sqref="F16">
    <cfRule type="expression" dxfId="33" priority="40" stopIfTrue="1">
      <formula>IF($AF27=0,TRUE)</formula>
    </cfRule>
  </conditionalFormatting>
  <conditionalFormatting sqref="B32">
    <cfRule type="expression" dxfId="32" priority="760">
      <formula>IF($AJ$32=1,TRUE)</formula>
    </cfRule>
  </conditionalFormatting>
  <conditionalFormatting sqref="I6:I25">
    <cfRule type="expression" dxfId="31" priority="27" stopIfTrue="1">
      <formula>IF($AF6=0,TRUE)</formula>
    </cfRule>
  </conditionalFormatting>
  <conditionalFormatting sqref="I20">
    <cfRule type="expression" dxfId="30" priority="26" stopIfTrue="1">
      <formula>IF($AF26=0,TRUE)</formula>
    </cfRule>
  </conditionalFormatting>
  <conditionalFormatting sqref="I16">
    <cfRule type="expression" dxfId="29" priority="25" stopIfTrue="1">
      <formula>IF($AF27=0,TRUE)</formula>
    </cfRule>
  </conditionalFormatting>
  <conditionalFormatting sqref="I30 I32:I40">
    <cfRule type="expression" dxfId="28" priority="24" stopIfTrue="1">
      <formula>IF($AF30=0,TRUE)</formula>
    </cfRule>
  </conditionalFormatting>
  <conditionalFormatting sqref="I29">
    <cfRule type="expression" dxfId="27" priority="23" stopIfTrue="1">
      <formula>IF($AF31=0,TRUE)</formula>
    </cfRule>
  </conditionalFormatting>
  <conditionalFormatting sqref="I41">
    <cfRule type="expression" dxfId="26" priority="22" stopIfTrue="1">
      <formula>IF($AF41=0,TRUE)</formula>
    </cfRule>
  </conditionalFormatting>
  <conditionalFormatting sqref="F29">
    <cfRule type="expression" dxfId="25" priority="21" stopIfTrue="1">
      <formula>IF($AF29=0,TRUE)</formula>
    </cfRule>
  </conditionalFormatting>
  <conditionalFormatting sqref="F41">
    <cfRule type="expression" dxfId="24" priority="20" stopIfTrue="1">
      <formula>IF($AF41=0,TRUE)</formula>
    </cfRule>
  </conditionalFormatting>
  <conditionalFormatting sqref="I43:I44 E43">
    <cfRule type="expression" dxfId="23" priority="814">
      <formula>IF(OR($I43="X",$I43="x"),TRUE)</formula>
    </cfRule>
  </conditionalFormatting>
  <conditionalFormatting sqref="H23">
    <cfRule type="expression" dxfId="22" priority="19" stopIfTrue="1">
      <formula>IF($AF23=0,TRUE)</formula>
    </cfRule>
  </conditionalFormatting>
  <conditionalFormatting sqref="H23">
    <cfRule type="expression" dxfId="21" priority="18" stopIfTrue="1">
      <formula>IF($AF23=0,TRUE)</formula>
    </cfRule>
  </conditionalFormatting>
  <conditionalFormatting sqref="F22">
    <cfRule type="expression" dxfId="20" priority="13" stopIfTrue="1">
      <formula>IF($AF22=0,TRUE)</formula>
    </cfRule>
  </conditionalFormatting>
  <conditionalFormatting sqref="H589">
    <cfRule type="expression" dxfId="19" priority="12" stopIfTrue="1">
      <formula>IF($AF589=0,TRUE)</formula>
    </cfRule>
  </conditionalFormatting>
  <conditionalFormatting sqref="G574:H574">
    <cfRule type="expression" dxfId="18" priority="11" stopIfTrue="1">
      <formula>IF($AF573=0,TRUE)</formula>
    </cfRule>
  </conditionalFormatting>
  <conditionalFormatting sqref="H589">
    <cfRule type="expression" dxfId="17" priority="8" stopIfTrue="1">
      <formula>IF($AF589=0,TRUE)</formula>
    </cfRule>
  </conditionalFormatting>
  <conditionalFormatting sqref="H610">
    <cfRule type="expression" dxfId="16" priority="7" stopIfTrue="1">
      <formula>IF($AF610=0,TRUE)</formula>
    </cfRule>
  </conditionalFormatting>
  <conditionalFormatting sqref="G23:H23">
    <cfRule type="expression" dxfId="15" priority="3" stopIfTrue="1">
      <formula>IF(WORKDAY($G$6-1,1,S.DDL_DEQClosed)&lt;&gt;$G$6,TRUE)</formula>
    </cfRule>
    <cfRule type="expression" dxfId="14" priority="4" stopIfTrue="1">
      <formula>IF(WORKDAY($H$6-1,1,S.DDL_DEQClosed)&lt;&gt;$H$6,TRUE)</formula>
    </cfRule>
  </conditionalFormatting>
  <conditionalFormatting sqref="H47">
    <cfRule type="expression" dxfId="13" priority="1" stopIfTrue="1">
      <formula>IF(WORKDAY($G$6-1,1,S.DDL_DEQClosed)&lt;&gt;$G$6,TRUE)</formula>
    </cfRule>
    <cfRule type="expression" dxfId="12" priority="2" stopIfTrue="1">
      <formula>IF(WORKDAY($H$6-1,1,S.DDL_DEQClosed)&lt;&gt;$H$6,TRUE)</formula>
    </cfRule>
  </conditionalFormatting>
  <dataValidations xWindow="1284" yWindow="784" count="225">
    <dataValidation type="date" allowBlank="1" showInputMessage="1" showErrorMessage="1" errorTitle="OUT OF BANNER DATE RANGE" error="Enter a date that is between the END date of the last task and the END date on the Fee Approval banner." promptTitle="TASK START" prompt="DEFUALT          The default equals the END date for the last task._x000a__x000a_OVERWRITE       Yes, to a date between the END date for the last task and the END date on the Fee Approval banner._x000a__x000a__x000a__x000a_" sqref="G480">
      <formula1>H475</formula1>
      <formula2>S.Fee.BANNER.End</formula2>
    </dataValidation>
    <dataValidation type="date" allowBlank="1" showInputMessage="1" showErrorMessage="1" promptTitle="TASK END" prompt="DEFUALT           The default is the date entered in the cell on the left_x000a__x000a_OVERWRITE      Yes, to a date between the date on the laft and the END date on the Fee Approval banner._x000a__x000a__x000a__x000a_" sqref="H821:H824 H458">
      <formula1>G458</formula1>
      <formula2>S.Fee.BANNER.End</formula2>
    </dataValidation>
    <dataValidation type="date" allowBlank="1" showInputMessage="1" showErrorMessage="1" errorTitle="OUT OF DATE RANGE" error="Enter a date between the date to the left and theLAST hearing date." promptTitle="TASK END" prompt="DEFUALT          The LAST hearing date_x000a__x000a_OVERWRITE      Yes, to a date between the date to the left and the default._x000a__x000a__x000a_" sqref="H229">
      <formula1>G229</formula1>
      <formula2>S.Notice.LastHearingDate</formula2>
    </dataValidation>
    <dataValidation type="date" allowBlank="1" showInputMessage="1" showErrorMessage="1" errorTitle="OUT OF BANNER DATE RANGE" error="Enter a date that is between the  date to the left and the END date on the Fee Approval banner." promptTitle="TASK END" prompt="DEFUALT          The default is the END date on the Fee Approval banner._x000a__x000a_OVERWRITE       Yes, to a date between the  date in the cell to the left and the END date on the Fee Approval banner._x000a__x000a__x000a__x000a_" sqref="H475">
      <formula1>G475</formula1>
      <formula2>S.Fee.BANNER.End</formula2>
    </dataValidation>
    <dataValidation type="date" allowBlank="1" showInputMessage="1" showErrorMessage="1" errorTitle="OUT OF RANGE" error="Enter date between the date to the left and the the END date on the Fee Approval banner" promptTitle="TASK END" prompt="DEFUALT          About 5 days after the date to the left._x000a__x000a_OVERWRITE    Yes, To a date between the date to the left and the END date on the Fee Approval banner._x000a__x000a__x000a__x000a_" sqref="H464 H466:H470">
      <formula1>G464</formula1>
      <formula2>S.Fee.BANNER.End</formula2>
    </dataValidation>
    <dataValidation type="date" allowBlank="1" showInputMessage="1" showErrorMessage="1" errorTitle="OUT OF RANGE" error="_x000a_The date is not between the date on the left and the END date on the Advisory Committee banner." promptTitle="TASK END" prompt="DEFAULT              Thirty days after date to the left, excluding office closure dates._x000a__x000a_OVERWRITE          Yes, to a date that is between the date to the left and the END date on the Advisory committee banner._x000a__x000a_" sqref="H327 H310">
      <formula1>G310</formula1>
      <formula2>S.AC.BANNER.End</formula2>
    </dataValidation>
    <dataValidation type="date" allowBlank="1" showErrorMessage="1" errorTitle="INVALID DATE" error="If you need a differenct date, change the Submit notice to SOS under Key dates." sqref="H645">
      <formula1>G645</formula1>
      <formula2>G645</formula2>
    </dataValidation>
    <dataValidation type="date" allowBlank="1" showInputMessage="1" showErrorMessage="1" errorTitle="INVALID DATE ENTRY" error="Enter a date between the date on the left and the END TASK date on 5-Public Comment and Testimony banner. _x000a_" promptTitle="ENTER DATE" prompt="DEFAULT  The END TASK date on 5-Public Comment and Testimony banner. _x000a__x000a_OVERWRITE   Yes, to a date between the date on the left and the default." sqref="H687 H692">
      <formula1>G687</formula1>
      <formula2>S.Hearing.BANNER.End</formula2>
    </dataValidation>
    <dataValidation type="date" allowBlank="1" showInputMessage="1" showErrorMessage="1" errorTitle="OUT OF BANNER DATE RANGE" error="Enter a date between date DEQ received DAS response and the END TASK date on the Fee Approval banner." promptTitle="TASK START" prompt="DEFUALT          The default equals the date DEQ received DAS response_x000a__x000a_OVERWRITE       Yes, to a date between the default and the END date on the Fee Approval banner._x000a__x000a__x000a__x000a_" sqref="G478">
      <formula1>H476</formula1>
      <formula2>S.Fee.BANNER.End</formula2>
    </dataValidation>
    <dataValidation type="date" allowBlank="1" showInputMessage="1" showErrorMessage="1" errorTitle="DATE OUT OF RANGE" error="Enter a date between the date to the left and the End Task date on the Overview of Key Dates banner" promptTitle="ENTER END DATE" prompt="DEFAULT   Date staff submits EQC staff report_x000a__x000a_OVERWRITE   Yes, to a date between the date to the left and the End Task date on the Overview of Key Dates banner" sqref="H12">
      <formula1>G12</formula1>
      <formula2>S.Overview.BANNER.End</formula2>
    </dataValidation>
    <dataValidation type="date" allowBlank="1" showErrorMessage="1" errorTitle="OUT OF BANNER DATE RANGE" error="Enter a date that is between the  dateto the left and the END date on the Fee Approval banner." promptTitle="TASK END" prompt="DEFUALT          The default is the date in the cell to the left._x000a__x000a_OVERWRITE       Yes, to a date between the  date in the cell to the left and the END date on the Fee Approval banner._x000a__x000a__x000a__x000a_" sqref="H476">
      <formula1>AF476</formula1>
      <formula2>S.Fee.BANNER.End</formula2>
    </dataValidation>
    <dataValidation type="date" allowBlank="1" showInputMessage="1" showErrorMessage="1" errorTitle="OUT OF RANGE" error="Enter a date between the date to the left and the End Task dates on the Planning banner" promptTitle="ENTER END DATE" prompt="DEFAULT  The date to the left_x000a__x000a_OVERWRITE   Yes, to a date between the date to the left and the End Task date on the Planning banner" sqref="H845 H190 H860 H183 H283 H146 H161 H157 H159 H150:H154">
      <formula1>G146</formula1>
      <formula2>S.Planning.BANNER.End</formula2>
    </dataValidation>
    <dataValidation type="date" allowBlank="1" showInputMessage="1" showErrorMessage="1" errorTitle="OUT OF RANGE" error="Enter date between the date to the left and the the END date on the Fee Approval banner" promptTitle="TASK END" prompt="DEFUALT         The date to the left._x000a__x000a_OVERWRITE    Yes, To a date between the date to the left and the END date on the Fee Approval banner._x000a__x000a__x000a__x000a_" sqref="H480">
      <formula1>G480</formula1>
      <formula2>S.Fee.BANNER.End</formula2>
    </dataValidation>
    <dataValidation type="date" allowBlank="1" showInputMessage="1" showErrorMessage="1" errorTitle="OUT OF RANGE" error="Enter date between the date to the left and the the END date on the Fee Approval banner" promptTitle="TASK END" prompt="DEFUALT          The date to the left._x000a__x000a_OVERWRITE    Yes, To a date between the date to the left and the END date on the Fee Approval banner._x000a__x000a__x000a__x000a_" sqref="H479">
      <formula1>G479</formula1>
      <formula2>S.Fee.BANNER.End</formula2>
    </dataValidation>
    <dataValidation type="date" allowBlank="1" showInputMessage="1" showErrorMessage="1" errorTitle="OUT OF RANGE" error="Enter date between the date to the left and the the END date on the Fee Approval banner" promptTitle="TASK END" prompt="DEFUALT        The date to the left._x000a__x000a_OVERWRITE    Yes, To a date between the date to the left and the END date on the Fee Approval banner._x000a__x000a__x000a__x000a_" sqref="H481">
      <formula1>G481</formula1>
      <formula2>S.Fee.BANNER.End</formula2>
    </dataValidation>
    <dataValidation type="date" allowBlank="1" showInputMessage="1" showErrorMessage="1" errorTitle="OUT OF RANGE" error="Enter a date between the date to the left and theSubmit staff report date under Oveview of Key Dates banner" promptTitle="ENTER DATE" prompt="DEFAULT  Submit staff report date under Overview of Key Dates banner at top of workbook_x000a__x000a_OVERWRITE   Yes, to a date between the date cell on the left and Submit staff report date" sqref="H736 H722:H725">
      <formula1>G722</formula1>
      <formula2>S.EQC.SubmitStaffRpt</formula2>
    </dataValidation>
    <dataValidation type="date" allowBlank="1" showInputMessage="1" showErrorMessage="1" errorTitle="OUT OF RANGE" error="Enter a date between date in cell to left and SUBMIT EQC PACKET below. Make adjustment to submittal date under Oveview of Key Dates banner at top of worksheet." promptTitle="ENTER DATE" prompt="DEFAULT   Date entered in cell to left_x000a__x000a_OVERWRITE   Yes, to a date between the date in cell to left and SUBMIT EQC PACKET below" sqref="H766 H770 H774 H548 H552 H556">
      <formula1>G548</formula1>
      <formula2>S.EQC.SubmitStaffRpt</formula2>
    </dataValidation>
    <dataValidation type="date" allowBlank="1" showInputMessage="1" showErrorMessage="1" errorTitle="OUT OF RANGE" error="Enter a date between the date on Practice presentation row above and EQC meeting date" promptTitle="ENTER DATE" prompt="DEFAULT   START TASK date on Practice presentation row above._x000a__x000a_OVERWRITE   Yes, to a date between the default and EQC meeting date" sqref="G796">
      <formula1>G795</formula1>
      <formula2>S.EQC.BANNER.End</formula2>
    </dataValidation>
    <dataValidation type="date" allowBlank="1" showInputMessage="1" showErrorMessage="1" errorTitle="OUT OF RANGE" error="Enter a date between the date to the left and the EQC meeting date." promptTitle="ENTER DATE" prompt="DEFAULT  One day before the EQC meeting date_x000a__x000a_OVERWRITE  Yes, to a date between default and the EQC meeting date" sqref="H796">
      <formula1>G796</formula1>
      <formula2>S.EQC.BANNER.End</formula2>
    </dataValidation>
    <dataValidation type="date" allowBlank="1" showInputMessage="1" showErrorMessage="1" errorTitle="OUT OF RANGE" error="Enter a date between the date to the left and the EQC meeting date." promptTitle="ENTER DATE" prompt="DEFAULT   One day before EQC meeting date_x000a__x000a_OVERWRITE  Yes, to a date between default and the EQC meeting date" sqref="H795">
      <formula1>G795</formula1>
      <formula2>S.EQC.BANNER.End</formula2>
    </dataValidation>
    <dataValidation type="date" allowBlank="1" showInputMessage="1" showErrorMessage="1" errorTitle="DATE RANGE ERROR" error="Enter a date between the date in the active cell above and the End Task date on the Planning banner" promptTitle="END DATE" prompt="DEFAULT          The date in active cell above_x000a__x000a_OVERWRITE      Yes, to  a date between the date in the active cell above and the End Task date on the Planning banner." sqref="H129">
      <formula1>H128</formula1>
      <formula2>S.Planning.BANNER.End</formula2>
    </dataValidation>
    <dataValidation type="date" allowBlank="1" showInputMessage="1" showErrorMessage="1" errorTitle="OUSIDE VALID DATE RANGE" error="Enter a date between the date to the left and  the End Task date on the Advisory Committee banner" promptTitle="ENTER END TASK DATE" prompt="DEFAULT              The date to the left_x000a__x000a_OVERWRITE          Yes, to a date that is between the date to the left and the End Task date on the Advisory committee banner._x000a__x000a_" sqref="H325:H326 H321:H323">
      <formula1>G321</formula1>
      <formula2>S.AC.BANNER.End</formula2>
    </dataValidation>
    <dataValidation type="date" allowBlank="1" showInputMessage="1" showErrorMessage="1" errorTitle="OUTSIDE VALID DATE RANGE" error="Enter a date between the date to the left and the End Task date on the Advisory Committee banner." promptTitle="TASK END" prompt="DEFAULT              The date to the left_x000a__x000a_OVERWRITE          Yes, to a date that is between the date to the left and the End Task date on the Advisory committee banner._x000a__x000a_" sqref="H328 H431:H432 H407:H409 H362:H363 H385:H386 H330">
      <formula1>G328</formula1>
      <formula2>S.AC.BANNER.End</formula2>
    </dataValidation>
    <dataValidation type="date" allowBlank="1" showInputMessage="1" showErrorMessage="1" errorTitle="OUTSIDE VALID DATE RANGE" error="Enter a date between the date to the left and the End Task ate on the Advisory Committee banner." promptTitle="TASK END" prompt="DEFAULT              The date to the left_x000a__x000a_OVERWRITE          Yes, to a date that is between the date to the left and the End Task date on the Advisory committee banner._x000a__x000a_" sqref="H348 H342:H345 H350:H351 H447:H449 H355:H356 H358 H406 H364:H367 H416 H429:H430 H381 H372:H376 H387:H390 H360:H361 H378:H379 H401:H402 H404 H370 H393 H410:H413 H383:H384 H395:H399 H427 H418:H422 H424:H425 H433:H436 H439 H441:H445 H334 H337:H338">
      <formula1>G334</formula1>
      <formula2>S.AC.BANNER.End</formula2>
    </dataValidation>
    <dataValidation type="date" allowBlank="1" showInputMessage="1" showErrorMessage="1" errorTitle="NOT IN VALID DATE RANGE" error="Enter a date between the date to the left and the End Task date on the 5-Public Comment and Testimony banner" promptTitle="ENTER DATE" prompt="DEFAULT  The Etart Task date on 5-Public Comment and Testimony banner_x000a__x000a_OVERWRITE   Yes, to a date between the date to the left and the default_x000a_" sqref="H662">
      <formula1>G662</formula1>
      <formula2>S.Hearing.BANNER.End</formula2>
    </dataValidation>
    <dataValidation type="date" allowBlank="1" showInputMessage="1" showErrorMessage="1" errorTitle="OUTSIDE VALID DATE RANGE" error="Enter a date between the latest End Task date in 5 rows above and close of public comment" promptTitle="ENTER DATE" prompt="DEFAULT  The latest date End Task date in 5 rows above _x000a__x000a_OVERWRITE   Yes, to a date between the default and the close of public comment" sqref="G662">
      <formula1>MAX(H657:H661)</formula1>
      <formula2>S.Notice.LastHearingDate</formula2>
    </dataValidation>
    <dataValidation type="date" allowBlank="1" showInputMessage="1" showErrorMessage="1" errorTitle="OUTSIDE VALID DATE RANGE" error="Enter a date between the date to the left and the End Task date on the 5-Public Comment and Testimony banner" promptTitle="ENTER DATE" prompt="DEFAULT  The date to the left_x000a__x000a_OVERWRITE   Yes, to a date between the date to the left and the default_x000a_" sqref="H656">
      <formula1>G656</formula1>
      <formula2>S.Hearing.BANNER.End</formula2>
    </dataValidation>
    <dataValidation type="date" operator="greaterThanOrEqual" allowBlank="1" showInputMessage="1" showErrorMessage="1" error="Enter a date later than the SOS filing date" promptTitle="ENTER DATE" prompt="DEFAULT  The date the ARC filed the rules_x000a__x000a_OVERWRITE  Yes, to a later date" sqref="AH827">
      <formula1>G826</formula1>
    </dataValidation>
    <dataValidation type="date" allowBlank="1" showInputMessage="1" showErrorMessage="1" errorTitle="OUT OF RANGE" error="Enter a date between the date to the left and the Submit staff report date under Oveview of Key Dates banner" promptTitle="ENTER DATE" prompt="DEFAULT  Submit staff report date under Overview of Key Dates banner at top of workbook_x000a__x000a_OVERWRITE   Yes, to a date between the date cell on the left and Submit staff report date" sqref="H779 H767:H769 H771:H773 H775:H777 H786:H787 H549:H551 H553:H555 H557:H559 H749 H762:H765">
      <formula1>G549</formula1>
      <formula2>S.EQC.SubmitStaffRpt</formula2>
    </dataValidation>
    <dataValidation type="date" allowBlank="1" showInputMessage="1" showErrorMessage="1" errorTitle="OUTSIDE VALID DATE RANGE" error="Enter a date between the End Task date on the row above and the End Task date on the advisory committee banner. " promptTitle="TASK START" prompt="DEFAULT           The End Task date in the row above _x000a__x000a_OVERWRITE       Yes, to a date between the default and the End Task date on the advisory committee banner.   _x000a_" sqref="G326">
      <formula1>H325</formula1>
      <formula2>S.AC.BANNER.End</formula2>
    </dataValidation>
    <dataValidation type="date" allowBlank="1" showInputMessage="1" showErrorMessage="1" errorTitle="OUTSIDE VALID DATE RANGE" error="Enter a date between the End Task date on the row above and the End Task date on the advisory committee banner. " promptTitle="TASK START" prompt="DEFAULT           The End Task date in the row above _x000a__x000a_OVERWRITE       Yes, to a date between the default and the End Task date on the advisory committee banner.   _x000a_" sqref="G323">
      <formula1>H320</formula1>
      <formula2>S.AC.BANNER.End</formula2>
    </dataValidation>
    <dataValidation type="date" allowBlank="1" showInputMessage="1" showErrorMessage="1" errorTitle="OUTSIDE VALID DATE RANGE" error="Enter a date between the date to the left and the start preview period below" promptTitle="TASK END" prompt="DEFUALT         2 workdays before the start preview period date_x000a__x000a_OVERWRITE     Yes, to a date between the date to the left and the start preview period._x000a__x000a__x000a_" sqref="H761 H755">
      <formula1>G755</formula1>
      <formula2>S.Notice.PreviewBegin</formula2>
    </dataValidation>
    <dataValidation type="date" allowBlank="1" showInputMessage="1" showErrorMessage="1" errorTitle="OUTSIDE VALID DATE RANGE" error="Enter a date between the date to the left and the Open comment date" promptTitle="TASK END" prompt="DEFUALT         2 workdays before the Open Comment date_x000a__x000a_OVERWRITE      Yes, to a date between the date to the left and the Open comment date_x000a__x000a__x000a_" sqref="H637 H589 H642">
      <formula1>G589</formula1>
      <formula2>S.Notice.OpenComment</formula2>
    </dataValidation>
    <dataValidation type="date" operator="greaterThanOrEqual" allowBlank="1" showInputMessage="1" showErrorMessage="1" errorTitle="OUTSIDE VALID DATE RANGE" error="Enter a date that is greater than or equal to the date to the left" promptTitle="Enter End Task Date" prompt="DEFAULT   End Task date on Notice banner_x000a__x000a_OVEWRITE   Yes, to a date that is greater than or equal to the date to the left" sqref="H484 H646">
      <formula1>G484</formula1>
    </dataValidation>
    <dataValidation type="date" allowBlank="1" showInputMessage="1" showErrorMessage="1" errorTitle="OUTSIDE VALID DATE RANGE" error="Enter a date between the date to the left and the End Task date on the Advisory Committee banner_x000a_" promptTitle="TASK END" prompt="DEFAULT              The date to the left_x000a__x000a_OVERWRITE          Yes, to a date that is between the date to the left and the End Task date on the Advisory committee banner._x000a__x000a_" sqref="H317:H319 H308 H292">
      <formula1>G292</formula1>
      <formula2>S.AC.BANNER.End</formula2>
    </dataValidation>
    <dataValidation type="date" allowBlank="1" showInputMessage="1" showErrorMessage="1" errorTitle="OUTSIDE VALID DATE RANGE" error="Enter a date between the date the team finalized Notice Packe and ubmittal to Rule Publication_x000a_" promptTitle="TASK START" prompt="DEFAULT  The date the team finalized Notice Packet  _x000a__x000a_OVERWRITE  Yes to a date between the default submittal to Rule Publication_x000a_" sqref="G603">
      <formula1>H601</formula1>
      <formula2>S.Notice.EMAIL.RulePublication</formula2>
    </dataValidation>
    <dataValidation type="date" allowBlank="1" showInputMessage="1" showErrorMessage="1" errorTitle="OUTSIDE VALID DATE RANGE" error="Enter a date between the date to the left and the 1st hearing date_x000a_" promptTitle="TASK END" prompt="DEFUALT         2 workdays before the Open Comment date_x000a__x000a_OVERWRITE      Yes, to a date between the date to the left and the 1st hearing date. WARNING! It is up to you to maintain all deadlines for advertisements!_x000a__x000a__x000a_" sqref="H233:H234 H249:H251">
      <formula1>G233</formula1>
      <formula2>S.Hearing.1stDate</formula2>
    </dataValidation>
    <dataValidation type="date" allowBlank="1" showInputMessage="1" showErrorMessage="1" errorTitle="OUTSIDE VALID DATE RANGE" error="Enter a date between the date in column H of the row above and the End Task date on the Planning banner" promptTitle="START LINE TASK" prompt="DEFUALT           The date in column H of the row above_x000a__x000a_OVERWRITE      Yes, to a date between the default and End Task date on the Planning banner_x000a__x000a__x000a_" sqref="G208:G210">
      <formula1>H207</formula1>
      <formula2>S.Notice.BANNER.End</formula2>
    </dataValidation>
    <dataValidation type="date" allowBlank="1" showInputMessage="1" showErrorMessage="1" errorTitle="OUTSIDE VALID DATE RANGE" error="Enter a date between the date to the left and the End Task date on the Planning banner." promptTitle="ENTER TASK END DATE" prompt="DEFUALT           The date entered in the cell to the left_x000a__x000a_OVERWRITE      Yes, to a date between the default and the End Task date on the Planning banner_x000a__x000a_" sqref="H206:H211 H201 H203:H204 H264">
      <formula1>G201</formula1>
      <formula2>S.Notice.BANNER.End</formula2>
    </dataValidation>
    <dataValidation type="date" allowBlank="1" showInputMessage="1" showErrorMessage="1" errorTitle="OUTSIDE VALID DATE RANGE" error="Enter a date between the date on the left and the End Task date on 5-Public Comment and Testimony banner. _x000a_" promptTitle="ENTER DATE" prompt="DEFAULT  The date to the left_x000a__x000a_OVERWRITE   Yes, to a date between the date on the left and the default." sqref="H701">
      <formula1>G701</formula1>
      <formula2>S.Hearing.BANNER.End</formula2>
    </dataValidation>
    <dataValidation type="date" allowBlank="1" showInputMessage="1" showErrorMessage="1" errorTitle="OUTSIDE VALID DATE RANGE" error="Enter a date between the date to the left and the End Task date on the Overview of Key Dates banner" promptTitle="ENTER START TASK DATE" prompt="DEFAULT   The date to the left_x000a__x000a_OVERWRITE   Yes, to a date between default and the End Task date on the Overview of Key Dates banner" sqref="H798">
      <formula1>G798</formula1>
      <formula2>S.Overview.BANNER.End</formula2>
    </dataValidation>
    <dataValidation type="date" allowBlank="1" showInputMessage="1" showErrorMessage="1" errorTitle="OUTSIDE VALID DATE RANGE" error="Enter a date between the date on the left and the End Task date on Public Comment and Testimony banner. _x000a_" promptTitle="ENTER DATE" prompt="DEFAULT  The date in the cell to the left_x000a__x000a_OVERWRITE   Yes, to a date between the date on the left and the End Task date on the Public Comment and Testimony banner." sqref="H707:H711">
      <formula1>G707</formula1>
      <formula2>S.Hearing.BANNER.End</formula2>
    </dataValidation>
    <dataValidation type="date" allowBlank="1" showInputMessage="1" showErrorMessage="1" errorTitle="OUTSIDE VALID DATE RANGE" error="Enter a date between the date to the left and the End Task date on the Fee Approval banner" promptTitle="ENTER END TASK DATE" prompt="DEFUALT          The default is the date to the left_x000a__x000a_OVERWRITE       Yes, to a date between the  default and the End Tak date on the Fee Approval banner_x000a__x000a__x000a__x000a_" sqref="H477">
      <formula1>G477</formula1>
      <formula2>S.Fee.BANNER.End</formula2>
    </dataValidation>
    <dataValidation type="date" allowBlank="1" showInputMessage="1" showErrorMessage="1" errorTitle="OUTSIDE VALID DATE RANGE" error="Enter date between the date to the left and the the End Task date on the Fee Approval banner" promptTitle="TASK END" prompt="DEFUALT         The date to the left._x000a__x000a_OVERWRITE    Yes, To a date between the date to the left and the End Task date on the Fee Approval banner_x000a__x000a__x000a__x000a_" sqref="H478">
      <formula1>G478</formula1>
      <formula2>S.Fee.BANNER.End</formula2>
    </dataValidation>
    <dataValidation type="date" allowBlank="1" showInputMessage="1" showErrorMessage="1" errorTitle="OUTSIDE VALID DATE RANGE" error="Enter a date between the date to the left and the End Task dates on the Planning banner" promptTitle="ENTER END DATE" prompt="DEFAULT  the date to the left_x000a__x000a_OVERWRITE   Yes, to a date between default and the End Task date on the Planning banner" sqref="H122 H120 H125">
      <formula1>G120</formula1>
      <formula2>S.Planning.BANNER.End</formula2>
    </dataValidation>
    <dataValidation type="date" allowBlank="1" showInputMessage="1" showErrorMessage="1" errorTitle="OUTSIDE VALID DATE RANGE" error="Enter a date between the date in the cell above and the END TASK dates on the 4-Public Notice banner " promptTitle="START LINE TASK" prompt="DEFUALT           The date in the cell above_x000a__x000a_OVERWRITE      Yes, to a date between the default and END TASK dates on the 4-Public Notice banner_x000a__x000a__x000a_" sqref="G211">
      <formula1>G210</formula1>
      <formula2>S.Notice.BANNER.End</formula2>
    </dataValidation>
    <dataValidation type="date" allowBlank="1" showInputMessage="1" showErrorMessage="1" errorTitle="DATE RANGE ERROR" error="The date entered must be between the START and END date on the Planning section heade." sqref="G118">
      <formula1>G26</formula1>
      <formula2>#REF!</formula2>
    </dataValidation>
    <dataValidation type="date" allowBlank="1" showInputMessage="1" showErrorMessage="1" errorTitle="OUTSIDE VALID DATE RANGE" error="Enter a date between the date to the left and the submittal date to the Sponsoring Manager " promptTitle="TASK END" prompt="DEFUALT         The date before submitting work product to Sponsoring Manager_x000a__x000a_OVERWRITE     Yes, to a date between the date to the left and date for submitting work product to sponsoring manager_x000a__x000a__x000a_" sqref="H507 H493">
      <formula1>G493</formula1>
      <formula2>S.Notice.Submit.ToSponsoringMgr</formula2>
    </dataValidation>
    <dataValidation type="date" allowBlank="1" showInputMessage="1" showErrorMessage="1" promptTitle="ENTER START DATE" prompt="DEFAULT   Date Director added rulemaking to DEQ Rulemaking Plan_x000a__x000a_OVERWRITE   Yes, to a date between Start and End date on the Overview of Key Dates BANNER above" sqref="G14">
      <formula1>G5</formula1>
      <formula2>S.AC.BANNER.Begin</formula2>
    </dataValidation>
    <dataValidation type="date" allowBlank="1" showInputMessage="1" showErrorMessage="1" errorTitle="OUT OF RANGE" error="Enter a date between completing the 3 initial drafts above and the End Task dates on the Planning banner" promptTitle="ENTER START DATE" prompt="DEFAULT  The latest date for completing the three initial drafts above_x000a__x000a_OVERWRITE   Yes, to a date between the default and the End Task date on the Planning banner" sqref="G161">
      <formula1>MAX(H150:H150)</formula1>
      <formula2>S.Planning.BANNER.End</formula2>
    </dataValidation>
    <dataValidation type="date" allowBlank="1" showInputMessage="1" showErrorMessage="1" errorTitle="OUT OF RANGE" error="Enter a date between the END TASK date on Finalize draft EQC Packet above and the SUBMIT EQC PACKET date below. Make any adjustments to the packet submittal date under Overview of Key Dates banner at top of workbook" promptTitle="ENTER DATE" prompt="DEFAULT   END TASK date on Finalize draft EQC Packet above_x000a__x000a_OVERWRITE  Yes, to a date between the default and SUBMIT EQC PACKET date" sqref="G766">
      <formula1>H749</formula1>
      <formula2>S.EQC.SubmitStaffRpt</formula2>
    </dataValidation>
    <dataValidation type="date" allowBlank="1" showInputMessage="1" showErrorMessage="1" promptTitle="ENTER START DATE" prompt="DEFAULT   Date Director added rulemaking to DEQ Rulemaking Plan_x000a__x000a_OVERWRITE   Yes, to a date between Start and End date on the Overview of Key Dates BANNER above" sqref="G22">
      <formula1>G11</formula1>
      <formula2>S.AC.BANNER.Begin</formula2>
    </dataValidation>
    <dataValidation type="date" allowBlank="1" showInputMessage="1" showErrorMessage="1" errorTitle="OUTSIDE VALID DATE RANGE" error="Enter a date between the date to the left and the start date for the Sponsoring Manager's work period." promptTitle="TASK END" prompt="DEFUALT         The day before the start of the Sponsoring Manager's work period listed below_x000a__x000a_OVERWRITE     Yes, to a date between the date to the left and the due date for submitting work product to Sponsoring Manager _x000a__x000a__x000a_" sqref="H509:H512 H515:H521 H530">
      <formula1>G509</formula1>
      <formula2>S.Notice.Submit.ToSponsoringMgr</formula2>
    </dataValidation>
    <dataValidation type="date" allowBlank="1" showInputMessage="1" showErrorMessage="1" errorTitle="LOCKED" error="Set under Overview of Key Tasks " promptTitle="LOCKED" prompt="Set under Overview of Key Tasks by Rules Group Lead_x000a__x000a__x000a_" sqref="H563">
      <formula1>G563</formula1>
      <formula2>S.Notice.PreviewBegin</formula2>
    </dataValidation>
    <dataValidation type="date" operator="greaterThanOrEqual" allowBlank="1" showInputMessage="1" showErrorMessage="1" errorTitle="OUTSIDE VALID DATE RANGE" error="Enter a date after the due date to the Sponsoring Mananger's work period above" promptTitle="TASK START" prompt="DEFUALT          The day after the end of the Sponsoring Mananger's work period_x000a__x000a_OVERWRITE      Yes, to the actuial date Subject Expert started addressing Spojnsoring Mananager's concerns_x000a__x000a__x000a_" sqref="G569">
      <formula1>G563</formula1>
    </dataValidation>
    <dataValidation type="date" allowBlank="1" showInputMessage="1" showErrorMessage="1" errorTitle="OUTSIDE VALID DATE RANGE" error="Enter a date between the date to the left and the start preview period below" promptTitle="TASK END" prompt="DEFUALT         2 workdays before the start preview period date_x000a__x000a_OVERWRITE     Yes, to a date between the date to the left and the start preview period._x000a__x000a__x000a_" sqref="H569">
      <formula1>G569</formula1>
      <formula2>G573</formula2>
    </dataValidation>
    <dataValidation type="date" operator="greaterThanOrEqual" allowBlank="1" showInputMessage="1" showErrorMessage="1" errorTitle="OUTSIDE VALID DATE RANGE" error="The day after subject expert and rules group lead complete preview draft" promptTitle="TASK START" prompt="DEFUALT        The day after subject expert and rules group lead complete preview draft_x000a__x000a_OVERWRITE      Yes, to a later date_x000a__x000a__x000a_" sqref="G580 G584">
      <formula1>H579</formula1>
    </dataValidation>
    <dataValidation type="date" operator="greaterThanOrEqual" allowBlank="1" showInputMessage="1" showErrorMessage="1" errorTitle="OUTSIDE VALID DATE RANGE" error="Enter a date after sponsiring manager approves or raises concerns in the row above" promptTitle="TASK START" prompt="DEFUALT        The day after sponsiring manager approves or raises concerns in the row above_x000a__x000a_OVERWRITE      Yes, to a later date_x000a__x000a__x000a_" sqref="G581:G583">
      <formula1>H580</formula1>
    </dataValidation>
    <dataValidation type="date" allowBlank="1" showInputMessage="1" showErrorMessage="1" errorTitle="OUTSIDE VALID DATE RANGE" error="Enter a date that is later than the date to the left" promptTitle="TASK END" prompt="DEFUALT         3 work days after the date to the left_x000a__x000a_OVERWRITE     Yes, to a later date than the date to the left_x000a__x000a_" sqref="H579 H581:H584">
      <formula1>G579</formula1>
      <formula2>S.Notice.PreviewBegin</formula2>
    </dataValidation>
    <dataValidation type="date" allowBlank="1" showInputMessage="1" showErrorMessage="1" errorTitle="OUTSIDE VALID DATE RANGE" error="Enter a date that is later than the date to the left" promptTitle="TASK END" prompt="DEFUALT        1 work day after the date to the left_x000a__x000a_OVERWRITE     Yes, to a later date than the date to the left_x000a__x000a_" sqref="H580">
      <formula1>G580</formula1>
      <formula2>S.Notice.PreviewBegin</formula2>
    </dataValidation>
    <dataValidation type="date" allowBlank="1" showInputMessage="1" showErrorMessage="1" errorTitle="OUTSIDE VALID DATE RANGE" error="Enter a date between the date directly above and the date directly below" promptTitle="TASK END" prompt="DEFUALT         The date in the cell directly above_x000a__x000a_OVERWRITE      Yes, to a date between the date to the date directly above and the date directly below_x000a__x000a__x000a_" sqref="H586">
      <formula1>H584</formula1>
      <formula2>H590</formula2>
    </dataValidation>
    <dataValidation type="date" operator="greaterThanOrEqual" allowBlank="1" showInputMessage="1" showErrorMessage="1" promptTitle="ENTER START DATE" prompt="DEFAULT   Date Director added rulemaking to DEQ Rulemaking Plan_x000a__x000a_OVERWRITE   Yes, to a date between Start and End date on the Overview of Key Dates BANNER above" sqref="G12">
      <formula1>G3</formula1>
    </dataValidation>
    <dataValidation operator="greaterThanOrEqual" allowBlank="1" showInputMessage="1" showErrorMessage="1" sqref="AG596 AG778:AH778 AG637 AG642 AG755 AG761 AG785:AH785 AG806 AG579:AG584 AG233 AG569 AG573 AG563 AG548:AG559 AH541 AH543 AG515:AG531 AG507 AG229 AG509:AG512 AG250:AG251 AG493"/>
    <dataValidation allowBlank="1" showErrorMessage="1" sqref="AK815:AK819 B815:B819"/>
    <dataValidation allowBlank="1" sqref="AG794:AG795"/>
    <dataValidation type="date" allowBlank="1" showInputMessage="1" showErrorMessage="1" errorTitle="INVALID DATE" error="Enter a date between the dates on the Notice banner." promptTitle="TASK START" prompt="DEFAULT   Start date on Notice banner_x000a__x000a_OVERWRITE  Yes, to a date between the dates on the Notice banner." sqref="AG796 AG656:AG661">
      <formula1>S.Notice.BANNER.Begin</formula1>
      <formula2>S.Notice.CloseComment</formula2>
    </dataValidation>
    <dataValidation allowBlank="1" showErrorMessage="1" promptTitle="TEAM DISCRETION" prompt="The team may place an &quot;X&quot; in this location to indicate the task has been completed." sqref="C736 C533 D404:E404 C271 D333:E334 D337:E338 D358:E358 D381:E381 D427:E427 C201 C161 C154 AL300"/>
    <dataValidation allowBlank="1" showInputMessage="1" showErrorMessage="1" errorTitle="LOCKED:CHANGE UNDER NOTICE" sqref="AK673 AK675 AK677 AK679 AK681 AK683 AK685"/>
    <dataValidation allowBlank="1" showInputMessage="1" showErrorMessage="1" errorTitle="LOCKED:CHANGE UNDER NOTICE" error="Change the city name under 4-Notice banner" sqref="AK671 B685 B683 B681 B679 B677 B675 B673 B671"/>
    <dataValidation allowBlank="1" showInputMessage="1" showErrorMessage="1" promptTitle="LOCKED: CANNOT CHANGE DATE HERE" prompt="Change the hearing dates under Public notice section." sqref="AH685 AH683 AH681 AH679 AH677 AH675 AH673 AH671 H673 H675 H677 H679 H681 H683 H671 H685"/>
    <dataValidation allowBlank="1" showInputMessage="1" sqref="AG662:AG666"/>
    <dataValidation allowBlank="1" showInputMessage="1" showErrorMessage="1" promptTitle="CALCULATION PROTECTION" prompt="_x000a_The RDT has the ability to unprotect this worksheet; therefore, a calculation under this column could be deleted. Reestablishing a deleted calculation is easy. Using cell I13 as an example, click on cell I13 and enter =AHI13." sqref="H802 H650 H717 H288 H488 H453 H53 H2"/>
    <dataValidation type="date" allowBlank="1" showInputMessage="1" showErrorMessage="1" errorTitle="OUT OF RANGE" error="Enter a date between the Start Task and End Task dates on the Planning banner" promptTitle="ENTER START DATE" prompt="DEFAULT  Start Task date on the Planning banner_x000a__x000a_OVERWRITE   Yes, to a date between the default and the End Task date on the Planning banner" sqref="G860">
      <formula1>S.Planning.BANNER.Begin</formula1>
      <formula2>S.Planning.BANNER.End</formula2>
    </dataValidation>
    <dataValidation type="date" allowBlank="1" showInputMessage="1" showErrorMessage="1" promptTitle="ENTER DATE" prompt="DEFAULT  Start Task date on the 7-Post EQC banner_x000a__x000a_OVERWRITE  Yes, to a date between the Start Task and End Task dates on the 7-Post EQC Banner_x000a_" sqref="G864 G857">
      <formula1>S.PostEQC.BANNER.Begin</formula1>
      <formula2>S.PostEQC.BANNER.End</formula2>
    </dataValidation>
    <dataValidation type="date" allowBlank="1" showInputMessage="1" showErrorMessage="1" promptTitle="ENTER DATE" prompt="DEFAULT  End Task date on the 7-Post EQC banner_x000a__x000a_OVERWRITE  Yes, to a date between the Start Task and End Task dates on the 7-Post EQC Banner_x000a_" sqref="H857:H859 H864">
      <formula1>S.PostEQC.BANNER.Begin</formula1>
      <formula2>S.PostEQC.BANNER.End</formula2>
    </dataValidation>
    <dataValidation type="date" allowBlank="1" showInputMessage="1" showErrorMessage="1" errorTitle="OUTSIDE VALID DATE RANGE" error="Enter a date between filing with SOS and team celebration." promptTitle="ENTER START DATE" prompt="DEFAULT  SOS filing date_x000a__x000a_OVERWRITE   Yes, to a date between the default and the team ccelebration date" sqref="G845">
      <formula1>S.PostEQC.FileRuleWithSOS</formula1>
      <formula2>S.PostEQC.BANNER.End</formula2>
    </dataValidation>
    <dataValidation type="date" operator="greaterThanOrEqual" allowBlank="1" showInputMessage="1" showErrorMessage="1" errorTitle="BEFORE FILING WITH SOS" error="Select a later date" promptTitle="ENTER DATE" prompt="DEFAULT  5 working days after filing with SOS_x000a__x000a_OVERWRITE  Yes, to a date greater than or equal to the filing date with Secretary of State" sqref="H848 H827:H828 H833">
      <formula1>S.PostEQC.FileRuleWithSOS</formula1>
    </dataValidation>
    <dataValidation type="date" allowBlank="1" showInputMessage="1" showErrorMessage="1" errorTitle="LOCKED" error="Modify under Overview of Key Dates - cell H28" promptTitle="LOCKED" prompt="This is a key date. Modify under Overview of Key Dates - cell H28." sqref="H851">
      <formula1>S.Notice.SubmitToEPA</formula1>
      <formula2>S.Notice.SubmitToEPA</formula2>
    </dataValidation>
    <dataValidation type="date" operator="greaterThan" allowBlank="1" showInputMessage="1" showErrorMessage="1" errorTitle="LOCKED" error="Modify under Overview of Key Dates - cell G19" promptTitle="LOCKED" prompt="This is a key date. Modify under Overview of Key Dates in cell G19." sqref="G851">
      <formula1>S.PostEQC.FileRuleWithSOS</formula1>
    </dataValidation>
    <dataValidation allowBlank="1" showInputMessage="1" showErrorMessage="1" errorTitle="LOCKED" error="Modify under Overview of Key Dates." promptTitle="LOCKED" prompt="The EQC meeting date. Modify under Overview of Key Dates." sqref="G855"/>
    <dataValidation type="date" allowBlank="1" showInputMessage="1" showErrorMessage="1" errorTitle="OUTSIDE VALID DATE RANGE" error="Enter a date within 60 days of rule adoption" promptTitle="ENTER DATE" prompt="DEFAULT  45 days after rule adoption_x000a__x000a_OVERWRITE  Yes, to a date within 60 days of rule adoption" sqref="H855">
      <formula1>S.EQC.Meeting</formula1>
      <formula2>WORKDAY(S.EQC.Meeting+58,1,S.DDL_DEQClosed)</formula2>
    </dataValidation>
    <dataValidation type="date" operator="greaterThanOrEqual" allowBlank="1" showInputMessage="1" showErrorMessage="1" errorTitle="OUTSIDE VALID DATE RANGE" error="Select a date greater than or equal to the EQC meeting date" promptTitle="ENTER DATE" prompt="DEFAULT  the SOS submittal date entered under the Overview of Key Dates banner_x000a__x000a_OVERWRITE  Yes, to a date greater than or equal to the EQC meeting date" sqref="H826">
      <formula1>S.EQC.Meeting</formula1>
    </dataValidation>
    <dataValidation type="date" allowBlank="1" showInputMessage="1" showErrorMessage="1" sqref="H808">
      <formula1>S.EQC.Meeting</formula1>
      <formula2>S.PostEQC.BANNER.End</formula2>
    </dataValidation>
    <dataValidation type="date" allowBlank="1" showInputMessage="1" showErrorMessage="1" errorTitle="OUTSIDE VALID DATE RANGE" error="Enter a date between the date to the left and 90 days after the date to the left_x000a_" promptTitle="Rulemaking Complete" prompt="DEFAULT   About 90 days after the date to the left_x000a__x000a_OVERWRITE  Yes, to a date between the date to the left and the default or request an override from rules coordinators for a later date" sqref="H803">
      <formula1>S.PostEQC.BANNER.Begin</formula1>
      <formula2>WORKDAY(S.PostEQC.BANNER.Begin+89,1,S.DDL_DEQClosed)</formula2>
    </dataValidation>
    <dataValidation type="date" allowBlank="1" showInputMessage="1" showErrorMessage="1" errorTitle="LOCKED" error="This cell is locked._x000a_" promptTitle="START TASK" prompt="DEFAULT  EQC meeting date_x000a__x000a_OVERWRITE   No." sqref="G803">
      <formula1>S.EQC.Meeting</formula1>
      <formula2>S.PostEQC.BANNER.End</formula2>
    </dataValidation>
    <dataValidation allowBlank="1" showInputMessage="1" showErrorMessage="1" promptTitle="CALCULATION PROTECTION" prompt="_x000a_The RDT has the ability to unprotect this worksheet; therefore, a calculation under this column could be deleted. Reestablishing a deleted calculation is easy. Using cell H13 as an example, click on cell H13 and enter =AHH13." sqref="G802 G650 G717 G288 G453 G488 G53 G1:G2"/>
    <dataValidation type="date" allowBlank="1" showInputMessage="1" showErrorMessage="1" errorTitle="OUT OF RANGE" error="Enter a date between the date on Develop EQC presentation row aboveand EQC meeting date" promptTitle="ENTER DATE" prompt="DEFAULT   START TASK date on Develop EQC presentation row above._x000a__x000a_OVERWRITE   Yes, to a date between the default and EQC meeting date" sqref="G795">
      <formula1>G795</formula1>
      <formula2>S.EQC.BANNER.End</formula2>
    </dataValidation>
    <dataValidation type="date" allowBlank="1" showInputMessage="1" showErrorMessage="1" errorTitle="OUT OF RANGE" error="Enter a date between the START TASK and END TASK dates on the  6-EQC banner" promptTitle="ENTER DATE" prompt="DEFAULT   START TASK date on 6-EQC Preparation banner_x000a__x000a_OVERWRITE  Yes, to a date between the START TASK and END TASK dates on the 6-EQC Preparation banner" sqref="G794 G788">
      <formula1>S.EQC.BANNER.Begin</formula1>
      <formula2>S.EQC.BANNER.End</formula2>
    </dataValidation>
    <dataValidation type="date" allowBlank="1" showInputMessage="1" showErrorMessage="1" errorTitle="OUT OF RANGE" error="Enter a date between the START TASK and END TASK dates on the 6-EQC banner" promptTitle="ENTER DATE" prompt="DEFAULT   One day before the EQC meeting_x000a__x000a_OVERWRITE  Yes, to a date between the START TASK and END TASK dates on the 6-EQC Preparation banner" sqref="H794 H788">
      <formula1>S.EQC.BANNER.Begin</formula1>
      <formula2>S.EQC.BANNER.End</formula2>
    </dataValidation>
    <dataValidation type="date" allowBlank="1" showInputMessage="1" showErrorMessage="1" errorTitle="OUTSIDE VALID DATE RANGE" error="Enter a date between the Start Task date on the EQC Preparation banner and the End Task date on the Overview of Key Dates banner" promptTitle="ENTER START TASK DATE" prompt="DEFAULT   The EQC meeting date_x000a__x000a_OVERWRITE   Yes, to a date between Start Task date on the EQC Preparation banner and the End Task date on the Overview of Key Dates banner" sqref="G798">
      <formula1>S.EQC.BANNER.Begin</formula1>
      <formula2>S.Overview.BANNER.End</formula2>
    </dataValidation>
    <dataValidation allowBlank="1" showInputMessage="1" showErrorMessage="1" promptTitle="TEAM DISCRETION" prompt="The team may place an &quot;X&quot; in this location to indicate the task has been completed." sqref="D845:E845 D851:E851 D798:E798 E693 D864:E864 D857:E860 D815:E816 D826:E828 D821:E824 D818:E819 D774:E774 D770:E770 D766:E766 D761:E761 D748:E748 D740:E746 D586:E586 D589:E589 D593:E593 D596:E601 D603:E603 D692:D693 D612:E612 D615:E615 D853:E855 D654:E654 D659:E669 D707:E713 D656:E657 D687:E690 D700:E701 D627:E629 D631:E635 D637:E647 D695:E698 D788:E796 D618:E621 D579:E584 D569:E569 D563:E563 D575:E575 D552:E552 D548:E548 D533:E537 D556:E556 D88:E93 D250:E251 D277:E277 E258:E261 D83:E86 D246:E248 C236:E236 D233:E234 D229:E230 D218:E218 D271 D291:E310 D316:E323 D484:E484 D472:E472 D475:E482 D466:E470 D460:E464 D458:E458 D341:E345 D333:E334 D325:E326 D328:E328 D337:E338 D347:E353 D330:E331 D401:E404 D363:E367 D355:E358 D424:E427 D378:E381 D409:E413 D386:E390 D447:E449 D432:E436 D369:E376 D392:E399 D438:E445 D415:E422 D201:E214 D190:E190 D174:E175 D169:E169 D181:E183 D171:E171 D115:E129 D102:E102 D146:E146 D150:E163 D95:E95 D98:E100 D57:E68 D71:E78 D80:E80 E264:E271 D264:D269 E279:E284 D279 D281:D284"/>
    <dataValidation type="list" allowBlank="1" showInputMessage="1" showErrorMessage="1" sqref="C854 C779 C770 C766 C774 C603 C664:C666 C709:C711 C815 C581:C583 C556 C552 C548 C219:C226 C257:C261 C318:C319 C479:C481 C468:C470 C332 C346 C403 C414 C357 C368 C391 C380 C426 C437 C208:C210 C174 C192:C197 C37:C39 C49 C29 C6 C22 C18 C12 C14:C15">
      <formula1>"Y,N"</formula1>
    </dataValidation>
    <dataValidation allowBlank="1" showInputMessage="1" showErrorMessage="1" promptTitle="RULE - ACCEPT ALL CHANGES" prompt="Save the EQC-approved rules with all changes accepted within one Word document. Organize the rules in ascending order by division number then by rule number within that division. Name the document RULE-7.00." sqref="B833"/>
    <dataValidation allowBlank="1" showErrorMessage="1" promptTitle="RULE - SHOW INSERTIONS/DELETIONS" prompt="Send following by registered Shuttle_x000a_a. PROOF.OF.SOS.FILING-7.00 _x000a_b. REDLINE-7.00 _x000a_c. Self-addressed  envelope, copy of certificate-part of filing, Ask LC to date-stamp &amp; return_x000a_Send to:_x000a_Legislative Counsel_x000a_900 Court St NE S101_x000a_Salem, OR 97301_x000a_142000 " sqref="B838"/>
    <dataValidation allowBlank="1" showInputMessage="1" showErrorMessage="1" promptTitle="ADDRESS" prompt="SHUTTLE LABLELS stored with Agency rules coordinator_x000a__x000a_Legislative Counsel_x000a_900 Court St NE S101_x000a_Salem, OR 97301_x000a_142000 " sqref="B828"/>
    <dataValidation allowBlank="1" showInputMessage="1" showErrorMessage="1" promptTitle="WORKDAYS FOR TASK" prompt="_x000a_CALCULATION   The numbers in this column represents the number of non-weekend, non state holidays and non fixed furlough days between the dates in columns I and J of the current row. _x000a_" sqref="F802 F717 F650 F288 F453 F53"/>
    <dataValidation type="date" allowBlank="1" showInputMessage="1" showErrorMessage="1" errorTitle="OUT OF RANGE" error="Enter a date between the Start Task and END Task on the 6-EQC banner" promptTitle="ENTER DATE" prompt="DEFAULT Start Task date on 6-EQC Preparation banner_x000a__x000a_OVERWRITE  Yes, to a date between the START TASK and END TASK dates on the 6-EQC Preparation banner" sqref="G786:G787 G775:G777 G771:G773 G767:G769 G762:G765 G749 G736 G722:G725 G553:G555 G557:G559 G549:G551">
      <formula1>S.EQC.BANNER.Begin</formula1>
      <formula2>S.EQC.BANNER.End</formula2>
    </dataValidation>
    <dataValidation allowBlank="1" showErrorMessage="1" promptTitle="OUTCOME BASED MEASURE" prompt="The number of loops is a reportable measure for outcome-based measures. Please track the start and end date for each loop. Ask the PE to add more loop lines if needed." sqref="B785 B774 B766 B761 B770 B708:B711 B579:B584 B530 B548 B556 B552 B513:B514 B207:B210 B562:B571"/>
    <dataValidation type="date" allowBlank="1" showInputMessage="1" showErrorMessage="1" errorTitle="OUT OF RANGE" error="Enter a date between the END TASK date for the last loop and the SUBMIT EQC PACKET date below. Make any adjustments to the packet submittal date under Overview of Key Dates banner at top of workbook" promptTitle="ENTER DATE" prompt="DEFAULT   END TASK date for the last loop_x000a__x000a_OVERWRITE  Yes, to a date between the default and SUBMIT EQC PACKET date" sqref="G774 G770 G552 G556">
      <formula1>#REF!</formula1>
      <formula2>S.EQC.SubmitStaffRpt</formula2>
    </dataValidation>
    <dataValidation type="date" allowBlank="1" showInputMessage="1" showErrorMessage="1" errorTitle="OUT OF RANGE" error="Enter a date between the Start Task and END Task on the 6-EQC banner" promptTitle="ENTER DATE" prompt="DEFAULT   The latest for review date listed in the 19 rows above under column H _x000a__x000a_OVERWRITE  Yes, to a date between the START TASK and END TASK dates on the 6-EQC Preparation banner" sqref="G779">
      <formula1>S.EQC.BANNER.Begin</formula1>
      <formula2>S.EQC.BANNER.End</formula2>
    </dataValidation>
    <dataValidation type="date" allowBlank="1" showInputMessage="1" showErrorMessage="1" errorTitle="OUTSIDE VALID DATE RANGE" error="Enter a date between the Start Task date on the 4-Public Notice banner and the and Open public comment entered under Overview of Key Dates banner" promptTitle="TASK START" prompt="DEFUALT           Start Task date on 4-Public Notice banner_x000a__x000a_OVERWRITE      Yes, to a date between the default and Open public comment entered under Overview of Key Dates banner_x000a__x000a__x000a_" sqref="G761 G755 G250:G251 G233:G234">
      <formula1>S.Notice.BANNER.Begin</formula1>
      <formula2>S.Notice.OpenComment</formula2>
    </dataValidation>
    <dataValidation type="date" allowBlank="1" showErrorMessage="1" errorTitle="INVALID DATE" error="If you need a differenct date, change the Submit notice to SOS under Key dates." sqref="H630">
      <formula1>#REF!</formula1>
      <formula2>#REF!</formula2>
    </dataValidation>
    <dataValidation type="date" allowBlank="1" showInputMessage="1" showErrorMessage="1" promptTitle="LOCKED" prompt="DEFAULT   EQC Meeting date selected in cell G10" sqref="H718">
      <formula1>S.EQC.BANNER.Begin</formula1>
      <formula2>S.EQC.SubmitStaffRpt</formula2>
    </dataValidation>
    <dataValidation allowBlank="1" showInputMessage="1" showErrorMessage="1" promptTitle="ENTER DATE" prompt="DEFAULT  _x000a_For Permanent - date notice submitted to the Secretary of State_x000a_For Temporary - START TASK date on Overview of Key Dates banner_x000a__x000a_Overwrite   No" sqref="G718"/>
    <dataValidation allowBlank="1" showInputMessage="1" showErrorMessage="1" errorTitle="LOCKED" error="Change under Overview of Key Dates" promptTitle="LOCKED" prompt="Change under Overview of Key Dates" sqref="H691"/>
    <dataValidation type="date" allowBlank="1" showInputMessage="1" showErrorMessage="1" errorTitle="OUTSIDE VALID DATE RANGE" error="Enter a date between the End Task date on the row above_x000a_and the End Task date on the 5-Public comment and testimony banner" promptTitle="ENTER DATE" prompt="DEFAULT  The End Task date on the row above_x000a__x000a_OVERWRITE   Yes, to a date between the default and the End Task date on the 5-Public comment and testimony banner" sqref="G708:G711">
      <formula1>S.Notice.CloseComment</formula1>
      <formula2>S.Notice.BANNER.End</formula2>
    </dataValidation>
    <dataValidation type="date" allowBlank="1" showInputMessage="1" showErrorMessage="1" errorTitle="OUT OF DATE RANGE" error="Enter a date between the 1st public hearing and the END date on 5-Public Comment and Testimony  banner.      _x000a_" promptTitle="ENTER DATE" prompt="DEFAULT   The date of the last public hearing_x000a__x000a_OVERWRITE   Yes, to a date between the 1st public hearing and the END date on 5-Public Comment and Testimony  banner      " sqref="G687 G692">
      <formula1>S.HearingFirst</formula1>
      <formula2>S.Hearing.BANNER.End</formula2>
    </dataValidation>
    <dataValidation type="date" allowBlank="1" showInputMessage="1" showErrorMessage="1" errorTitle="INVALID DATE ENTRY" error="Enter a date between the START TASK and END TASK dates on the 5-Public Comment and Testimony banner." promptTitle="ENTER DATE" prompt="DEFAULT  The date of the fisrt public hearing. _x000a__x000a_OVERWRITE   Yes, to a date between the START and END TASK dates on the 5-Public Comment and Testimony banner." sqref="H663:H666 H668:H669 H654">
      <formula1>S.Hearing.BANNER.Begin</formula1>
      <formula2>S.Hearing.BANNER.End</formula2>
    </dataValidation>
    <dataValidation type="date" allowBlank="1" showInputMessage="1" showErrorMessage="1" errorTitle="INVALID DATE ENTRY" error="Enter a date between the START TASK and END TASK dates on the 5-Public Comment and Testimony banner." promptTitle="ENTER DATE" prompt="DEFAULT  The START TASK date on the 5-Public Comment and Testimony banner. _x000a__x000a_OVERWRITE   Yes, to a date between the default and the END TASK date on the 5-Public Comment and Testimony banner." sqref="G663:G666 G668:G669 G654">
      <formula1>S.Hearing.BANNER.Begin</formula1>
      <formula2>S.Hearing.BANNER.End</formula2>
    </dataValidation>
    <dataValidation type="date" allowBlank="1" showInputMessage="1" showErrorMessage="1" errorTitle="INVALID DATE ENTRY" error="Enter a date between the START TASK and END TASK dates on the 5-Public Comment and Testimony banner." promptTitle="ENTER DATE" prompt="DEFAULT  The Start Task date on the 5-Public Comment and Testimony banner. _x000a__x000a_OVERWRITE   Yes, to a date between the default and the End Task date on the 5-Public Comment and Testimony banner." sqref="G656">
      <formula1>S.Hearing.BANNER.Begin</formula1>
      <formula2>S.Hearing.BANNER.End</formula2>
    </dataValidation>
    <dataValidation type="date" operator="greaterThanOrEqual" allowBlank="1" showInputMessage="1" showErrorMessage="1" errorTitle="OUTSIDE VALID DATE RANGE" error="Enter a date between the Start Task date on the Notice banner_x000a__x000a_OVERWRITE Yes, to a later date " promptTitle="START TASK DATE" prompt="DEFAULT   The Start Task date on the Notice banner_x000a__x000a_OVERWRITE Yes, to a later date " sqref="G651">
      <formula1>S.Notice.BANNER.Begin</formula1>
    </dataValidation>
    <dataValidation type="date" allowBlank="1" showInputMessage="1" showErrorMessage="1" errorTitle="DATE OUT OF RANGE" error="Enter a date between the date to the left and the staff report submittal date" promptTitle="END TASK DATE" prompt="DEFAULT  The final EQC Packet review date_x000a__x000a_OVERTWRITE  Yes, to a date between the date to the left and the staff report submittal date." sqref="H651">
      <formula1>S.Hearing.BANNER.Begin</formula1>
      <formula2>S.EQC.SubmitStaffRpt</formula2>
    </dataValidation>
    <dataValidation type="date" allowBlank="1" showInputMessage="1" showErrorMessage="1" errorTitle="OUTSIDE VALID DATE RANGE" error="Enter a date between the Start Task and End Task date on Public Comment and Testimony banner. _x000a_" promptTitle="ENTER DATE" prompt="DEFAULT  The End Task date on the line above_x000a__x000a_OVERWRITE  Yes, to a date between the StartTtask and End Task date on Public Comment and Testimony banner. " sqref="H700">
      <formula1>S.Hearing.BANNER.Begin</formula1>
      <formula2>S.Hearing.BANNER.End</formula2>
    </dataValidation>
    <dataValidation type="date" allowBlank="1" showInputMessage="1" showErrorMessage="1" errorTitle="OUTSIDE VALID DATE RANGE" error="Enter a date between the End Task date on the row above_x000a_and the End Task date on the 5-Public comment and testimony banner" promptTitle="ENTER DATE" prompt="DEFAULT   The End Task date on the row above_x000a__x000a_OVERWRITE   Yes, to a date between the default and the End Task date on the 5-Public comment and testimony banner" sqref="G701">
      <formula1>S.Notice.BANNER.Begin</formula1>
      <formula2>S.Notice.BANNER.End</formula2>
    </dataValidation>
    <dataValidation type="date" allowBlank="1" showErrorMessage="1" errorTitle="LOCKED" error="Enter a date between submittal to SOS and  the notice publication in the Bulletin." promptTitle="ENTER DATE" prompt="Enter a date between the notice submittal to Secretary of State and publication of the notice in the Bulletin." sqref="G645">
      <formula1>S.Notice.OpenComment</formula1>
      <formula2>S.Notice.BANNER.Begin</formula2>
    </dataValidation>
    <dataValidation type="date" operator="greaterThanOrEqual" allowBlank="1" showInputMessage="1" showErrorMessage="1" errorTitle="OUTSIDE VALID DATE RANGE" error="Enter a date that is greater than or equal to the Start Task date on the Notice banner" promptTitle="TASK START" prompt="DEFAULT   Start Task date on Notice banner_x000a__x000a_OVEWRITE   Yes, to a date that is greater than or equal to the Start Task date on the Notice banner" sqref="G646 G484">
      <formula1>S.Notice.BANNER.Begin</formula1>
    </dataValidation>
    <dataValidation allowBlank="1" showInputMessage="1" showErrorMessage="1" errorTitle="LOCKED" error="To make changes" sqref="H626"/>
    <dataValidation type="date" allowBlank="1" showInputMessage="1" showErrorMessage="1" errorTitle="OUTSIDE VALID DATE RANGE" error="Enter a date between the end of the preview period and the email date to Rule publication._x000a_" promptTitle="TASK END" prompt="DEFUALT           One workday before emailing Rule publication_x000a__x000a_OVERWRITE      Yes, to a date between the end of the preview period and the email date to Rule publication._x000a__x000a__x000a_" sqref="H603 H596 H605">
      <formula1>S.Notice.PreviewEnd</formula1>
      <formula2>S.Notice.EMAIL.RulePublication</formula2>
    </dataValidation>
    <dataValidation type="date" allowBlank="1" showInputMessage="1" showErrorMessage="1" errorTitle="OUTSIDE VALID DATE RANGE" error="Enter a date between the start of the preview period for Notice Packet and the Rule publication date below_x000a_" promptTitle="START TASK DATE" prompt="DEFUALT          The start of the preview period listed above _x000a__x000a_OVERWRITE     Yes, to a date between the default and the Rule publication date_x000a_" sqref="G596">
      <formula1>S.Notice.PreviewBegin</formula1>
      <formula2>S.Notice.EMAIL.RulePublication</formula2>
    </dataValidation>
    <dataValidation type="date" allowBlank="1" showInputMessage="1" showErrorMessage="1" errorTitle="OUTSIDE VALID DATE RANGE" error="Enter a date between the STARTS preview period and Rules Publication date" promptTitle="TASK END" prompt="DEFUALT         7 workdays after opening preview period_x000a__x000a_OVERWRITE      Yes, to a date between STARTS preview period and submitting Notice Packet to Rule publication_x000a__x000a_" sqref="H593">
      <formula1>S.Notice.PreviewBegin</formula1>
      <formula2>S.Notice.EMAIL.RulePublication</formula2>
    </dataValidation>
    <dataValidation allowBlank="1" showInputMessage="1" showErrorMessage="1" promptTitle="OPTIONAL AD##" prompt="Some regulations require newspaper publication of hearings. Since there may be multiple hearings with ads in various publications, number each display ad and number the associated proof of publication using the same number. " sqref="B625 B233:B234 B248"/>
    <dataValidation allowBlank="1" showInputMessage="1" showErrorMessage="1" errorTitle="LOCKED" error="Set under Overview of Key Dates by Rules Group Lead" promptTitle="LOCKED" prompt="Set under Overview of Key Dates by Rules Group Lead" sqref="G593"/>
    <dataValidation allowBlank="1" showInputMessage="1" showErrorMessage="1" promptTitle="OUTCOME BASED MEASURE" prompt="The number of loops is a reportable measure for outcome-based measures. Please track the start and end date for each loop. Ask the PE to add more loop lines if needed." sqref="B583"/>
    <dataValidation allowBlank="1" showInputMessage="1" showErrorMessage="1" promptTitle="START DATE" prompt="DEFAULT   1st work day after the end of the rule publication work period_x000a__x000a_" sqref="G579"/>
    <dataValidation allowBlank="1" showInputMessage="1" showErrorMessage="1" errorTitle="LOCKED" error="Date set under Overview of Key Dates banner by Rules Group Lead" promptTitle="LOCKED" prompt="Date set under Overview of Key Dates banner by Rules Group Lead_x000a__x000a__x000a_" sqref="G563"/>
    <dataValidation allowBlank="1" showInputMessage="1" showErrorMessage="1" errorTitle="LOCKED" error="Set under Overview of Key Dates by Rules Group Lead" promptTitle="LOCKED" prompt="Set under Overview of Key Dates by Rules Group Lead_x000a__x000a__x000a_" sqref="G573:H573"/>
    <dataValidation type="date" allowBlank="1" showInputMessage="1" showErrorMessage="1" errorTitle="OUT OF RANGE" error="Enter a date between the END TASK date on Finalize draft EQC Packet above and the SUBMIT EQC PACKET date below. Make any adjustments to the packet submittal date under Overview of Key Dates banner at top of workbook" promptTitle="ENTER DATE" prompt="DEFAULT   END TASK date on Finalize draft EQC Packet above_x000a__x000a_OVERWRITE  Yes, to a date between the default and SUBMIT EQC PACKET date" sqref="G548">
      <formula1>#REF!</formula1>
      <formula2>S.EQC.SubmitStaffRpt</formula2>
    </dataValidation>
    <dataValidation allowBlank="1" showInputMessage="1" showErrorMessage="1" promptTitle="TASK END" prompt="DEFUALT         About 60 days before the briefing meeting _x000a__x000a_OVERWRITE     Yes, to the actual date_x000a__x000a__x000a_" sqref="H539"/>
    <dataValidation allowBlank="1" showInputMessage="1" showErrorMessage="1" errorTitle="LOCKED" error="This is a calculated date based on the date for submitting Notice to the Assistant DA set under the Overview of Key dates." promptTitle="LOCKED" prompt="This is a calculated date based on the date for submitting Notice to the Assistant DA set under the Overview of Key dates." sqref="H540:H541 H543"/>
    <dataValidation type="date" allowBlank="1" showInputMessage="1" showErrorMessage="1" errorTitle="OUTSIDE VALID DATE RANGE" error="Enter a date between the two dates on the Notice banner." promptTitle="ENTER START DATE" prompt="DEFUALT           Start Task date on Notice BANNER_x000a__x000a_OVERWRITE      Yes, to a date between the two dates on the Notice BANNER_x000a__x000a_" sqref="G521 G530">
      <formula1>S.Notice.BANNER.Begin</formula1>
      <formula2>S.Notice.BANNER.End</formula2>
    </dataValidation>
    <dataValidation allowBlank="1" showInputMessage="1" showErrorMessage="1" errorTitle="LOCKED" error="Set under Notice section" promptTitle="Locked" prompt="DEFAULT  About 10 days work days before submitting to Rule Publication_x000a__x000a_" sqref="H23"/>
    <dataValidation allowBlank="1" showInputMessage="1" showErrorMessage="1" promptTitle="ENTER TASK END DATE" prompt="DEFAULT" sqref="AH454"/>
    <dataValidation type="date" operator="greaterThanOrEqual" allowBlank="1" showInputMessage="1" showErrorMessage="1" errorTitle="LOCKED" error="Change under Overview of Key Dates. " promptTitle="TASK START" prompt="DEFAULT          If this rulemaking involves a Notice - date the Director added rulemaking to DEQ Rulemaking Plan_x000a__x000a_OVERWRITE      Yes, change under Overview of Key Datest " sqref="G489">
      <formula1>S.DIRECTOR.Approves.ForDEQRulemakingPlan</formula1>
    </dataValidation>
    <dataValidation allowBlank="1" showInputMessage="1" showErrorMessage="1" errorTitle="LOCKED" error="Set under Overview of Key Dates  by Rules Group Lead" promptTitle="LOCKED" prompt="Set under Overview of Key Dates  by Rules Group Lead" sqref="H489"/>
    <dataValidation type="date" allowBlank="1" showInputMessage="1" showErrorMessage="1" errorTitle="LOCKED" error="Change under notice section of OVerview of Key Dates" promptTitle="LOCKED" prompt="Change under notice section of Overview of Key Dates_x000a__x000a__x000a_" sqref="H472">
      <formula1>S.Fee.BANNER.Begin</formula1>
      <formula2>S.Fee.BANNER.End</formula2>
    </dataValidation>
    <dataValidation type="date" allowBlank="1" showInputMessage="1" showErrorMessage="1" errorTitle="OUT OF BANNER DATE RANGE" error="Yes, to the END date of the last task and the END date on the Fee Approval banner." promptTitle="TASK END" prompt="DEFUALT          The default is the END date on the Fee Approval banner._x000a__x000a_OVERWRITE       Yes, to the END date of the last task and the END date on the Fee Approval banner._x000a__x000a__x000a__x000a_" sqref="H482">
      <formula1>#REF!</formula1>
      <formula2>#REF!</formula2>
    </dataValidation>
    <dataValidation type="date" allowBlank="1" showInputMessage="1" showErrorMessage="1" errorTitle="OUT OF BANNER DATE RANGE" error="Enter a date that is between the END date of the last task and the END date on the Fee Approval banner." promptTitle="TASK START" prompt="DEFUALT          The default equals the END date for the last task._x000a__x000a_OVERWRITE       Yes, to a date between the END date for the last task and the END date on the Fee Approval banner._x000a__x000a__x000a__x000a_" sqref="G481 G464 G467:G470 G479">
      <formula1>#REF!</formula1>
      <formula2>S.Fee.BANNER.End</formula2>
    </dataValidation>
    <dataValidation type="date" allowBlank="1" showInputMessage="1" showErrorMessage="1" errorTitle="OUTSIDE VALID DATE RANGE" error="Enter a date between the Start Task and End Task dates on the Fee Approval banner" promptTitle="TASK START" prompt="DEFUALT          The default is the End Task date on the row above _x000a__x000a_OVERWRITE       Yes, to a date between the Start Task and End Task dates on the Fee Approval banner_x000a__x000a__x000a__x000a_" sqref="G477">
      <formula1>S.Fee.BANNER.Begin</formula1>
      <formula2>S.Fee.BANNER.End</formula2>
    </dataValidation>
    <dataValidation type="date" allowBlank="1" showInputMessage="1" showErrorMessage="1" errorTitle="OUT OF BANNER DATE RANGE" error="Enter a date that is between the START and END dates on the Fee Approval banner." promptTitle="TASK START" prompt="DEFUALT          The START date on the Fee Approval banner._x000a__x000a_OVERWRITE       Yes, to a date between the START and END dates on the Fee Approval banner._x000a__x000a__x000a__x000a_" sqref="G458">
      <formula1>S.Fee.BANNER.Begin</formula1>
      <formula2>S.Fee.BANNER.End</formula2>
    </dataValidation>
    <dataValidation type="date" allowBlank="1" showInputMessage="1" showErrorMessage="1" errorTitle="OUTSIDE VALID DATE RANGE" error="Enter a date between the date to the left and 3 workdays before Oregon Bulletin publication date." promptTitle="END TASK" prompt="DEFAULT   If there is Public Notice - the submittal date to Secretary of State. If no Public Notice, 30 workdays days after the date to left_x000a__x000a_OVERWRITE   Yes, to a date between the date to the left and 3 workdays before Oregon Bulletin publication date." sqref="H454">
      <formula1>S.Fee.BANNER.Begin</formula1>
      <formula2>WORKDAY(S.Notice.InOregonBulletin-2,-1,S.DDL_DEQClosed)</formula2>
    </dataValidation>
    <dataValidation type="date" allowBlank="1" showInputMessage="1" showErrorMessage="1" errorTitle="LOCKED" promptTitle="LOCKED" prompt="Entered under Overview of Key Dates" sqref="G454">
      <formula1>S.Planning.BANNER.Begin</formula1>
      <formula2>S.Fee.SubmitToDAS</formula2>
    </dataValidation>
    <dataValidation allowBlank="1" showErrorMessage="1" errorTitle="LOCKED" error="Change the date to the right of &quot;Meeting #&quot; title" promptTitle="TASK END" prompt="DEFAULT              The date to the left_x000a__x000a_OVERWRITE          Yes, to a date that is between the date to the left and the End Task date on the Advisory committee banner._x000a__x000a_" sqref="H377 H423 H354 H400 H446"/>
    <dataValidation allowBlank="1" showInputMessage="1" showErrorMessage="1" promptTitle="ENTER TIME" prompt="Enter the time of the advisory committee meeting as hh:mm followed by a.m. or p.m._x000a__x000a__x000a_" sqref="H426 H380 H357 H403 H332"/>
    <dataValidation type="date" allowBlank="1" showInputMessage="1" showErrorMessage="1" errorTitle="OUT OF VALID DATE RANGE" error="Enter a date between the date the team sent the committee invitation and the  End Task date on the Advisory Committee banner.   _x000a_" promptTitle="ENTER START TASK DATE" prompt="DEFAULT          The date the team sent the committee invitation _x000a__x000a_OVERWRITE       Yes, to a date between the default and End Task date on the Advisory Committee banner.   _x000a_" sqref="G358 G381 G427 G404">
      <formula1>S.AC.SendInvitation</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426">
      <formula1>S.AC.DateMeeting4</formula1>
      <formula2>S.AC.BANNER.End</formula2>
    </dataValidation>
    <dataValidation type="date" allowBlank="1" showInputMessage="1" showErrorMessage="1" errorTitle="OUTSIDE VALID DATE RANGE" error="Enter a date between the date of this meeting and End Task date on the Advisory Committee banner." promptTitle="ENTER START TASK DATE" prompt="DEFAULT           The date of this meeting_x000a__x000a_OVERWRITE       Yes, to a date between the default and End Task date on the Advisory Committee banner.   _x000a_" sqref="G378:G379 G424:G425 G401:G402 G447:G448">
      <formula1>S.AC.DateMeeting1</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403">
      <formula1>S.AC.DateMeeting3</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380">
      <formula1>S.AC.DateMeeting2</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357">
      <formula1>S.AC.DateMeeting1</formula1>
      <formula2>S.AC.BANNER.End</formula2>
    </dataValidation>
    <dataValidation type="date" allowBlank="1" showInputMessage="1" showErrorMessage="1" errorTitle="OUTSIDE VALID DATE RANGE" error="Enter a date between themeeting date and the  End Task date on the Advisory Committee banner.   _x000a_" promptTitle="ENTER START TASK DATE" prompt="DEFAULT          The day of the meeting _x000a__x000a_OVERWRITE       Yes, to a date between the default and End Task date on the Advisory Committee banner.   _x000a_" sqref="G355:G356">
      <formula1>S.AC.DateMeeting1</formula1>
      <formula2>S.AC.BANNER.End</formula2>
    </dataValidation>
    <dataValidation type="date" allowBlank="1" showInputMessage="1" showErrorMessage="1" errorTitle="OUTSIDE VALID DATE RANGE" error="Enter a date between the date the team sent the invitation and End Task date on the Advisory Committee banner.   _x000a_" promptTitle="ENTER START TASK DATE" prompt="DEFAULT          The date in the cell above_x000a__x000a_OVERWRITE       Yes, to a date between the date the team sent the invitation and End Task date on the Advisory Committee banner.   _x000a_" sqref="G441:G445 G439 G429:G436 G418:G422 G416 G406:G413 G395:G399 G393 G383:G390 G372:G376 G370 G360:G367 G337:G338 G342:G345 G334 G350:G351 G348">
      <formula1>S.AC.SendInvitation</formula1>
      <formula2>S.AC.BANNER.End</formula2>
    </dataValidation>
    <dataValidation type="date" allowBlank="1" showInputMessage="1" showErrorMessage="1" errorTitle="OUTSIDE VALID DATE RANGE" error="Enter a date between the START and END date on the Advisory Committee banner." promptTitle="TASK START" prompt="DEFAULT           Equals Start Task date on the Advisory Committee banner _x000a__x000a_OVERWRITE       Yes, to a date between the START and END dates on the advisory committee banner.   _x000a_" sqref="G449">
      <formula1>S.AC.BANNER.Begin</formula1>
      <formula2>S.AC.BANNER.End</formula2>
    </dataValidation>
    <dataValidation type="date" allowBlank="1" showInputMessage="1" showErrorMessage="1" errorTitle="OUT OF RANGE" error="_x000a_The date is not between the START and END date on the Advisory Committee banner." promptTitle="TASK START" prompt="DEFAULT           Equals date in the cell above _x000a__x000a_OVERWRITE       Yes, to a date between the START and END dates on the advisory committee banner.   _x000a_" sqref="G327 G310">
      <formula1>S.AC.BANNER.Begin</formula1>
      <formula2>S.AC.BANNER.End</formula2>
    </dataValidation>
    <dataValidation type="date" allowBlank="1" showInputMessage="1" showErrorMessage="1" errorTitle="OUTSIDE VALID DATE RANGE" error="Enter a date between the Start Task and End Task datees on the Advisory Committee banner." promptTitle="TASK START" prompt="DEFAULT         The Start Task date on the Advisory Committee banner _x000a__x000a_OVERWRITE       Yes, to a date between the default and the End task date on the Advisory Committee banner.   _x000a_" sqref="G330 G328">
      <formula1>S.AC.BANNER.Begin</formula1>
      <formula2>S.AC.BANNER.End</formula2>
    </dataValidation>
    <dataValidation type="date" allowBlank="1" showInputMessage="1" showErrorMessage="1" errorTitle="OUTSIDE VALID DATE RANGE" error="Yes, to a date between the date DEQ sent the committtee inviation and  the End Task date on the Advisory Committee banner" promptTitle="ENTER MEETING DATE" prompt="Enter the date of the advisory committee meeting as mm/dd/yy._x000a__x000a_DEFAULT   14 workdays after sending the invitation. _x000a__x000a_OVERWRITE   Yes, to a date between the date DEQ sent the committtee inviation and  the End Task date on the Advisory Committee banner_x000a__x000a_" sqref="G332">
      <formula1>S.AC.SendInvitation</formula1>
      <formula2>S.AC.BANNER.End</formula2>
    </dataValidation>
    <dataValidation type="date" allowBlank="1" showInputMessage="1" showErrorMessage="1" errorTitle="OUTSIDE VALID DATE RANGE" error="Enter a date between the End Task date on the row above and the End Task date on the advisory committee banner. " promptTitle="TASK START" prompt="DEFAULT           The End Task date in the row above _x000a__x000a_OVERWRITE       Yes, to a date between the default and the End Task date on the advisory committee banner.   _x000a_" sqref="G325 G322">
      <formula1>#REF!</formula1>
      <formula2>S.AC.BANNER.End</formula2>
    </dataValidation>
    <dataValidation type="date" allowBlank="1" showInputMessage="1" showErrorMessage="1" errorTitle="OUTSIDE VALID DATE RANGE" error="Enter a date between th Start and End Task dates on the Advisory Committee banner._x000a_" promptTitle="ENTER START TASK DATE" prompt="DEFAULT           The Start Task date on the Advisory Committee banner._x000a__x000a_OVERWRITE       Yes, to a date between the Start Task and End Task dates on the Advisory Committee banner.   _x000a_" sqref="G321 G292 G308">
      <formula1>S.AC.BANNER.Begin</formula1>
      <formula2>S.AC.BANNER.End</formula2>
    </dataValidation>
    <dataValidation type="date" allowBlank="1" showInputMessage="1" showErrorMessage="1" errorTitle="OUTSIDE VALID DATE RANGE" error="Enter a date between the two dates on Notice BANNER" promptTitle="TASK START" prompt="DEFUALT           Start Task date on Notice BANNER_x000a__x000a_OVERWRITE      Yes, to a date between the  two dates on Notice BANNER_x000a__x000a__x000a_" sqref="G493">
      <formula1>S.Notice.BANNER.Begin</formula1>
      <formula2>S.Notice.BANNER.End</formula2>
    </dataValidation>
    <dataValidation allowBlank="1" showErrorMessage="1" promptTitle="OPTIONAL TASK COMPLETED" prompt="The team may place an &quot;X&quot; in this location to indicate the task has been completed." sqref="D428:E428 D359:E359 D405:E405 D382:E382"/>
    <dataValidation allowBlank="1" showInputMessage="1" showErrorMessage="1" promptTitle="ENTER LOCATION" prompt="Enter location of advisory committee meeting." sqref="F426 F403 F357 F380"/>
    <dataValidation type="date" allowBlank="1" showInputMessage="1" showErrorMessage="1" errorTitle="OUTSIDE VALID DATE RANGE" error="Enter a date between th Start and End Task dates on the Advisory Committee banner._x000a_" promptTitle="ENTER START TASK DATE" prompt="DEFAULT           The date entered in the cell above_x000a__x000a_OVERWRITE       Yes, to a date between the Start Task and End Task dates on the Advisory Committee banner.   _x000a_" sqref="G317:G319">
      <formula1>S.AC.BANNER.Begin</formula1>
      <formula2>S.AC.BANNER.End</formula2>
    </dataValidation>
    <dataValidation allowBlank="1" showInputMessage="1" showErrorMessage="1" promptTitle="ADVISORY COMMITTEE CHARTER" prompt="The Considerations workbook helps the team  identify what is in- and out- of the advisory committee's scope." sqref="B319"/>
    <dataValidation allowBlank="1" showInputMessage="1" showErrorMessage="1" promptTitle="OPTIONAL - COMMITTEE WEBSITE" prompt="The Design Team may decide to develop an advisory committee website." sqref="B318"/>
    <dataValidation type="date" allowBlank="1" showInputMessage="1" showErrorMessage="1" errorTitle="LOCKED" error="Change advisory committee Start Task date under Overview of Key Dates      " promptTitle="LOCKED" prompt="Change advisory committee Start Task date under Overview of Key Dates     _x000a__x000a_" sqref="G289">
      <formula1>S.AC.BANNER.Begin</formula1>
      <formula2>S.AC.BANNER.Begin</formula2>
    </dataValidation>
    <dataValidation type="date" allowBlank="1" showInputMessage="1" showErrorMessage="1" errorTitle="LOCKED" error="Change advisory committee End Task under Overview of Key Dates" promptTitle="LOCKED" prompt="Change advisory committee End Task under Overview of Key Dates_x000a__x000a_" sqref="H289">
      <formula1>S.AC.BANNER.End</formula1>
      <formula2>S.AC.BANNER.End</formula2>
    </dataValidation>
    <dataValidation type="date" operator="lessThan" allowBlank="1" showInputMessage="1" showErrorMessage="1" errorTitle="OUTSIDE VALID DATE RANGE" error="Enter a date before the 1st hearing date_x000a_" promptTitle="TASK END" prompt="DEFUALT        The date the comment period opens_x000a__x000a_OVERWRITE      Yes, to a date earlier than the 1st hearing. _x000a__x000a_WARNING! It is up to you to maintain all deadlines for advertisements!_x000a__x000a__x000a_" sqref="H237:H245">
      <formula1>S.Hearing.1stDate</formula1>
    </dataValidation>
    <dataValidation type="list" allowBlank="1" showInputMessage="1" showErrorMessage="1" error="." promptTitle="DROP DOWN - HEARING DATES ABOVE" prompt="This is a drop down list of dates for hearings enterd above. Select hearing date when commissioner will faciltitate_x000a__x000a__x000a__x000a__x000a_" sqref="H257:H261">
      <formula1>S.EQC.FacHearingDates</formula1>
    </dataValidation>
    <dataValidation type="date" allowBlank="1" showInputMessage="1" showErrorMessage="1" errorTitle="OUT OF RANGE" error="Enter a date between the date in green hiighlight above and the End Task dates on the Planning banner" promptTitle="ENTER END DATE" prompt="DEFAULT  The date in green highlight above_x000a__x000a_OVERWRITE   Yes, to a date between default and the End Task date on the Planning banner" sqref="H279 H281:H282 H284 H271 H181:H182 H174:H175">
      <formula1>S.Planning.AddConceptToPlanDate</formula1>
      <formula2>S.Planning.BANNER.End</formula2>
    </dataValidation>
    <dataValidation type="date" allowBlank="1" showInputMessage="1" showErrorMessage="1" errorTitle="OUT OF RANGE" error="Enter a date between the Start Active Rulemaking date enterd in cell G7  and End Task date on the Planning banner" promptTitle="ENTER START DATE" prompt="DEFAULT  The Start Active Rulemaking date entered in cell G7 _x000a__x000a_OVERWRITE   Yes, to a date between the default and the End Task date on the Planning banner" sqref="G264">
      <formula1>S.DIRECTOR.Approves.ForDEQRulemakingPlan</formula1>
      <formula2>S.Planning.BANNER.End</formula2>
    </dataValidation>
    <dataValidation type="date" allowBlank="1" showInputMessage="1" showErrorMessage="1" errorTitle="OUTSIDE VALID DATE RANGE" error="Enter a date between the START TASK date on the 4-Public Notice banner and the date of the LAST hearing." promptTitle="START LINE TASK" prompt="DEFUALT           Start Task date on 4-Public Notice banner_x000a__x000a_OVERWRITE      Yes, to a date between the default and the date of the LAST hearing (If only 1 hearing, defaults to FIRST hearing date.)_x000a__x000a__x000a_" sqref="G229">
      <formula1>S.Notice.BANNER.Begin</formula1>
      <formula2>S.Notice.LastHearingDate</formula2>
    </dataValidation>
    <dataValidation allowBlank="1" showInputMessage="1" showErrorMessage="1" promptTitle="LOCKED CELL" prompt="Change first hearing date under Overview of Key Dates banner." sqref="G219 G227:G228"/>
    <dataValidation type="date" allowBlank="1" showInputMessage="1" showErrorMessage="1" errorTitle="OUTIDE VALID DATE RANGE" error="Enter a date between the date in the cell above and the Close of Comment." promptTitle="ENTER DATE AS MM/DD/YY" prompt="DEFAULT  Date of hearing in cell above_x000a__x000a_OVERWRITE   Yes, to a date between the default and the Close of Comment date._x000a_" sqref="G220:G226">
      <formula1>S.Hearing.1stDate</formula1>
      <formula2>S.Notice.CloseComment</formula2>
    </dataValidation>
    <dataValidation allowBlank="1" showInputMessage="1" showErrorMessage="1" promptTitle="ENTER TIME" prompt="Enter the time of this hearing as hh_x000a_ followed by a.m. or p.m._x000a__x000a_EXAMPLE: 6 p.m._x000a__x000a__x000a_" sqref="H219:H226"/>
    <dataValidation type="date" allowBlank="1" errorTitle="OUT OF DATE RANGE" error="Start Rulemaking date and the START date on the Overview of Key Dates banner and Submit notice to SOS (G13)." promptTitle="BEST PRACTICE" prompt="DEFAULT   About 30 days before date in G13, Submit notice to SOS, excluding holidays or furloughs that fall on a weekday_x000a__x000a_OVERWRITE   Yes, to a date between default and START date on the Overview of Key Dates banner in cell  G8." sqref="G262 G252 G198 G172 G215 G188 G21">
      <formula1>S.StartRulemaking</formula1>
      <formula2>S.Notice.SubmitToEPA</formula2>
    </dataValidation>
    <dataValidation allowBlank="1" showInputMessage="1" showErrorMessage="1" promptTitle=" EQC QUORUM" prompt="192.630 (2) A quorum of a governing body may not meet in private for the purpose of deciding on or deliberating toward a decision on any matter except as otherwise provided by ORS 192.610 to 192.690." sqref="B300 B255"/>
    <dataValidation allowBlank="1" showInputMessage="1" showErrorMessage="1" promptTitle="ADD PUBLICATION" prompt="After &quot;NOTICE.AD##.&quot; enter the name of the publication._x000a__x000a_See Notice for partial list of publications" sqref="B237:B245"/>
    <dataValidation type="list" allowBlank="1" showInputMessage="1" showErrorMessage="1" sqref="D237:G244">
      <formula1>S.Newspapers</formula1>
    </dataValidation>
    <dataValidation allowBlank="1" showInputMessage="1" showErrorMessage="1" promptTitle="ENTER HEARING NUMBER" prompt="Enter hearing number from Hearing Table above." sqref="C237:C244"/>
    <dataValidation type="whole" allowBlank="1" showInputMessage="1" showErrorMessage="1" promptTitle="ENTER MEETING NUMBER" prompt="Enter themeeting number from the Hearing Table above for the date when the commissioner on the left will facilitate the hearing. _x000a__x000a__x000a_" sqref="E257">
      <formula1>1</formula1>
      <formula2>15</formula2>
    </dataValidation>
    <dataValidation type="date" allowBlank="1" showInputMessage="1" showErrorMessage="1" errorTitle="OUTSIDE VALID DATE RANGE" error="Enter a date between the date in the cell above and the END TASK dates on the 4-Public Notice banner " promptTitle="START LINE TASK" prompt="DEFUALT           The date in the cell above_x000a__x000a_OVERWRITE      Yes, to a date between the default and END TASK dates on the 4-Public Notice banner_x000a__x000a__x000a_" sqref="G207">
      <formula1>#REF!</formula1>
      <formula2>S.Notice.BANNER.End</formula2>
    </dataValidation>
    <dataValidation type="date" allowBlank="1" showInputMessage="1" showErrorMessage="1" errorTitle="OUTSIDE VALID DATE RANGE" error="Enter a date between the date in the cell above and the END TASK dates on the 4-Public Notice banner " promptTitle="START LINE TASK" prompt="DEFUALT           The date in the cell above_x000a__x000a_OVERWRITE      Yes, to a date between the default and END TASK dates on the 4-Public Notice banner_x000a__x000a__x000a_" sqref="G206 G201 G203:G204">
      <formula1>#REF!</formula1>
      <formula2>S.Notice.BANNER.End</formula2>
    </dataValidation>
    <dataValidation type="date" allowBlank="1" showInputMessage="1" showErrorMessage="1" errorTitle="OUT OF RANGE" error="Enter a date between the date in the green highlighted cell above and End Task date on the Planning banner" promptTitle="ENTER START DATE" prompt="DEFAULT  The in the green highlighted cell above _x000a__x000a_OVERWRITE   Yes, to a date between the default and the End Task date on the Planning banner" sqref="G183 G190">
      <formula1>S.Planning.AddConceptToPlanDate</formula1>
      <formula2>S.Planning.BANNER.End</formula2>
    </dataValidation>
    <dataValidation type="date" allowBlank="1" showInputMessage="1" showErrorMessage="1" errorTitle="OUTSIDE VALID DATE RANGE" error="Enter a date between the day the  DA started reviewing the workbooks and the End Task date on the Planning banner" promptTitle="ENTER ACTION DATE" prompt="DEFAULT  5 workdays after DA started reviewing the workbooks_x000a__x000a_OVERWRITE   Yes, to a date between the default and the End Task date on the Planning banner" sqref="H163">
      <formula1>#REF!</formula1>
      <formula2>S.Planning.BANNER.End</formula2>
    </dataValidation>
    <dataValidation type="list" allowBlank="1" showInputMessage="1" showErrorMessage="1" sqref="C170">
      <formula1>"A,P,R,-blank-"</formula1>
    </dataValidation>
    <dataValidation type="date" allowBlank="1" showInputMessage="1" showErrorMessage="1" errorTitle="OUTSIDE VALID DATE RANGE" error="Enter a date between the Start Task and End Task dates on the Planning banner" promptTitle="ENTER START DATE" prompt="DEFAULT  The team training date in column H of the active date row above_x000a__x000a_OVERWRITE   Yes, to a date between the Start Task and  End Task dates on the Planning banner" sqref="G146">
      <formula1>S.Planning.BANNER.Begin</formula1>
      <formula2>S.Planning.BANNER.End</formula2>
    </dataValidation>
    <dataValidation allowBlank="1" showInputMessage="1" showErrorMessage="1" errorTitle="DATE RANGE ERROR" error="The date entered must be between the START and END date on the Planning section heade." promptTitle="LOCKED" prompt="This is the Task Start date entered on the Overview of Key Dates banner." sqref="H117:H118"/>
    <dataValidation type="date" allowBlank="1" showInputMessage="1" showErrorMessage="1" errorTitle="DATE RANGE ERROR" error="The date entered must be between the START and END date on the Planning section heade." sqref="G117">
      <formula1>#REF!</formula1>
      <formula2>#REF!</formula2>
    </dataValidation>
    <dataValidation allowBlank="1" showInputMessage="1" showErrorMessage="1" errorTitle="LOCKED" error="Set under Notice section" promptTitle="Locked" prompt="DEFAULT  7 workdays after start of preview period_x000a__x000a_OVERSWRITE  No, set under Notice section" sqref="H94 H87"/>
    <dataValidation type="date" allowBlank="1" showInputMessage="1" showErrorMessage="1" errorTitle="OUTSIDE VALID DATE RANGE" error="Enter a date between the date to the left and the Start Task date on the EQC Preparation banner" promptTitle="ENTER END TASK DATE" prompt="DEFAULT       The Start Task date in the EQC Preparation bannern_x000a__x000a_OVERWRITE    Yes, to  a date between the cell to the left and the Start Task date on the EQC Preparation banner_x000a__x000a_" sqref="H54">
      <formula1>S.Planning.BANNER.Begin</formula1>
      <formula2>S.EQC.BANNER.Begin</formula2>
    </dataValidation>
    <dataValidation type="date" operator="lessThanOrEqual" allowBlank="1" showInputMessage="1" showErrorMessage="1" errorTitle="OUTSIDE VALID DATE RANGE" error="Enter a date on or earlier than the Start Active Rulemaking date entered in cell G7_x000a_" promptTitle="ENTER THE START PLANNING DATE" prompt="DEFAULT  The Start Active Rulemaking date entered in cell G7_x000a__x000a_OVERWRITE  Yes, to an earlier date" sqref="G54">
      <formula1>S.DIRECTOR.Approves.ForDEQRulemakingPlan</formula1>
    </dataValidation>
    <dataValidation type="date" allowBlank="1" showInputMessage="1" showErrorMessage="1" errorTitle="OUTSIDE VALID DATE RANGE" error="Enter date between the EQC meeting and the EndTask date on the Overview of Key Dates banner" promptTitle="ENTER DATE" prompt="DEFAULT   SOS filing date_x000a__x000a_OVERWRITE   Yes, to a date between the EQC meeting and the End Task date on the Overview of Key Dates banner." sqref="H49">
      <formula1>S.EQC.Meeting</formula1>
      <formula2>S.Overview.BANNER.End</formula2>
    </dataValidation>
    <dataValidation type="date" allowBlank="1" showInputMessage="1" showErrorMessage="1" errorTitle="OUT OF DATE RANGE" error="Enter date between the EQC meeting and within 10 days of the EQC meeting." promptTitle="ENTER DATE" prompt="DEFAULT   5 days after EQC meeting_x000a__x000a_OVERWRITE   Yes, to a date between the EQC meeting and 10 days after the EQC meeting. " sqref="H48">
      <formula1>S.EQC.Meeting</formula1>
      <formula2>WORKDAY(S.EQC.Meeting+10,0,S.DDL_EQCMeeting)</formula2>
    </dataValidation>
    <dataValidation type="list" allowBlank="1" showInputMessage="1" showErrorMessage="1" errorTitle="SELECT DATE FROM LIST" error="Select a date from the drop down list of EQC dates." promptTitle="DROP DOWN LIST" prompt="DEFAULT   60 days after close of public comment_x000a__x000a_OVERWRITE  Yes, by selecting EQC date from drop down list. Dates in current year are exact. Dates in future years are approximate._x000a__x000a_" sqref="H42">
      <formula1>S.DDL_EQCMeeting</formula1>
    </dataValidation>
    <dataValidation type="date" operator="greaterThan" allowBlank="1" showInputMessage="1" showErrorMessage="1" errorTitle="OUT OF DATE RANGE" error="Enter date between the EQC meeting and the EndTask date on the Overview of Key Dates banner" promptTitle="ENTER DATE" prompt="DEFAULT   60 days after EQC adoption_x000a__x000a_OVERWRITE   Yes, to a date greater than the EQC meeting date " sqref="H50">
      <formula1>S.EQC.Meeting</formula1>
    </dataValidation>
    <dataValidation type="date" allowBlank="1" showInputMessage="1" showErrorMessage="1" errorTitle="OUT OF DATE RANGE" error="Enter date between the EQC meeting and the EndTask date on the Overview of Key Dates banner" promptTitle="ENTER DATE" prompt="DEFAULT   2 workdays after EQC meeting_x000a__x000a_OVERWRITE   Yes, to a date between the EQC meeting and the End Task date on the Overview of Key Dates banner. APA and Model rules don't have a deadline for filing rules after adoption." sqref="H47">
      <formula1>S.EQC.Meeting</formula1>
      <formula2>S.Overview.BANNER.End</formula2>
    </dataValidation>
    <dataValidation type="list" allowBlank="1" showInputMessage="1" showErrorMessage="1" errorTitle="SELECT DATE FROM LIST" error="Selct a date from the dropdown list of EQC dates." promptTitle="DROPDOWN LIST" prompt="_x000a_DEFAULT   The EQC meeting date before date in H11. _x000a__x000a_OVERWRITE  Yes, by selecting EQC date from dropdown list that is earlier than default. Dates in current year are exact. Dates in future years are approximate._x000a__x000a_" sqref="G38:H39">
      <formula1>S.DDL_EQCMeeting</formula1>
    </dataValidation>
    <dataValidation type="date" allowBlank="1" showInputMessage="1" showErrorMessage="1" errorTitle="DATE OUT OF RANGE" error="Enter a date between the Last Hearing date and Staff report due to EQC assistant date below._x000a__x000a_The Last Hearing is equal to the First Hearing unless set to a later date under 4-Notice section below." promptTitle="ENTER DATE" prompt="DEFAULT   3 workdays after First Hearing above. _x000a__x000a_OVERWRITE   Yes, to a date between the Last Hearing and Staff report due tp EQC assistant date. Additional hearing dates are set under 4-Public Notice section._x000a_ " sqref="H32:H33 H35 H45 H28">
      <formula1>S.Notice.LastHearingDate</formula1>
      <formula2>S.EQC.SubmitStaffRpt</formula2>
    </dataValidation>
    <dataValidation type="date" allowBlank="1" showInputMessage="1" showErrorMessage="1" errorTitle="OUTSIDE VALID DATE RANGE" error="If SIP involved, enter the first workday that is at least 30 days after Open public comment. If not, enter the first workday on or after 15th of  month following Oregon Bulletin publication" promptTitle="ENTER DATE" prompt="DEFAULT   If SIP involved, first workday that is at least 30 days after Open public comment. If not, first workday on or after 15th of  month following Oregon Bulletin publication_x000a__x000a_OVERWRITE  Yes to a date between the default and Close of public comment." sqref="H31">
      <formula1>IF(S.SIP.Involved="N",WORKDAY(S.Notice.InOregonBulletin+13,1,S.DDL_DEQClosed),WORKDAY(S.Notice.OpenComment+29,1,S.DDL_DEQClosed))</formula1>
      <formula2>S.Notice.CloseComment</formula2>
    </dataValidation>
    <dataValidation allowBlank="1" showInputMessage="1" showErrorMessage="1" errorTitle="OUTSIDE VALID DATE RANGE" error="Enter a date between the Start Task date on the on the Overview of Key dates banner and 14 DAYS days before the 1st hearing date" promptTitle="ENTER DATE" prompt="DEFAULT   Submit notice to SOS_x000a__x000a_OVERWRITE   Yes, to date at least 14 days before 1st hearing, not counting hearing date. This is usually the earlier date between the Oregon Bulletin publication or notiication to agency rulemaking list " sqref="H30"/>
    <dataValidation type="date" operator="lessThanOrEqual" allowBlank="1" showInputMessage="1" showErrorMessage="1" error="Enter a date earlier than or equal to the staff report due date for the EQC meeting date below." promptTitle="ENTE" prompt="DEFAULT  Lookup from table of EQC meeting dates and associated staff report submittal dates_x000a__x000a_OVERWRITE   Yes, to an earlier date" sqref="H41">
      <formula1>VLOOKUP(S.EQC.Meeting,VL_EQCActivities,2,FALSE)</formula1>
    </dataValidation>
    <dataValidation type="date" operator="greaterThanOrEqual" allowBlank="1" showInputMessage="1" showErrorMessage="1" errorTitle="NOT A VALID DATE" error="Enter a date later than the start active rulemaking date in cell G7" promptTitle="ENTER 1st OPTION" prompt="DEFAULT   The start active rulemaking in cell G7_x000a__x000a_OVERWRITE   Yes, to a later date" sqref="G37:H37">
      <formula1>S.DIRECTOR.Approves.ForDEQRulemakingPlan</formula1>
    </dataValidation>
    <dataValidation type="list" allowBlank="1" showInputMessage="1" promptTitle="SELECT FROM DROP DOWN LIST" prompt="DEFAULT    If complexity =1, about 60 days before EQC meeting, otherwise 90 days. _x000a__x000a_OVERWRITE  Yes, select the Oregon Bulletin publication date. Bulletin always publishes on the 1st of the month regardless of holidays/ weekends/furloughs_x000a__x000a_" sqref="H27">
      <formula1>S.DDL_Bulletin</formula1>
    </dataValidation>
    <dataValidation type="date" allowBlank="1" showInputMessage="1" showErrorMessage="1" errorTitle="LOCKED" error="RULES GROUP LEAD may change to a date between Start Task date on the Overview of Key Dates banner AND 15th of the month, earlier if the 15th is an office closure date, before the Oregon Bulletin publication month" promptTitle="LOCKED" prompt="DEFAULT  The 15th of the month, earlier if the 15th is an office closure date, before the Oregon Bulletin publication month_x000a__x000a_RULES GROUP LEAD - may change to an earlier date" sqref="H26">
      <formula1>S.DIRECTOR.Approves.ForDEQRulemakingPlan</formula1>
      <formula2>VLOOKUP(S.Notice.InOregonBulletin,VL_Bulletin,2,FALSE)</formula2>
    </dataValidation>
    <dataValidation operator="lessThanOrEqual" allowBlank="1" showInputMessage="1" showErrorMessage="1" errorTitle="OUTSIDE VAKID DATE RANGE" error="Enter a date earlier than the earlist date betweeen submittal to SOS and Open public comment period_x000a_" promptTitle="ENTER START DATE" prompt="DEFAULT The earliest date betweeen submittal to SOS and Open public comment period_x000a__x000a_OVERWRITE   Yes, to an earlier date" sqref="G29"/>
    <dataValidation type="whole" allowBlank="1" showInputMessage="1" showErrorMessage="1" errorTitle="NUMBER OUT OF RANGE" error="Enter whole number between 0 and 14" promptTitle="ENTER WHOLE NUMBER" prompt="Enter whole number between 0 and 14" sqref="I25">
      <formula1>0</formula1>
      <formula2>14</formula2>
    </dataValidation>
    <dataValidation type="date" operator="lessThanOrEqual" allowBlank="1" showInputMessage="1" showErrorMessage="1" errorTitle="OUTSIDE VALID DATE RANGE" error="Enter a date that is at least 45 days before Open public comment date_x000a_" promptTitle="ENTER START DATE" prompt="DEFAULT  45 days before Open public comment date_x000a__x000a_OVERWRITE  Yes, to a date earlier than the default_x000a_" sqref="H20">
      <formula1>S.Notice.OpenComment</formula1>
    </dataValidation>
    <dataValidation type="date" allowBlank="1" showInputMessage="1" showErrorMessage="1" errorTitle="OUT OF DATE RANGE" error="Enter a date betweem the START date on the Overview of Key Dates banner and _x000a__x000a_IF DAS approval required - about 30 days before Open public comment_x000a__x000a_IF DAS email notification - Close public commentl" promptTitle="BEST PRACTICE" prompt="DEFAULT   _x000a_DAS approval required - about 30 days before Open public comment_x000a_DAS email notification - date of submittal to SOS _x000a__x000a_OVERWRITE   Yes, to a date between Start Task date on Overview of Key Dates banner and the default" sqref="H16">
      <formula1>S.DIRECTOR.Approves.ForDEQRulemakingPlan</formula1>
      <formula2>S.Notice.InOregonBulletin</formula2>
    </dataValidation>
    <dataValidation allowBlank="1" showInputMessage="1" showErrorMessage="1" errorTitle=" " error=" " promptTitle="ENTER SCHEDULE START DATE" prompt="Enter the starting date for this schedule" sqref="G3"/>
    <dataValidation type="date" operator="lessThanOrEqual" allowBlank="1" showInputMessage="1" showErrorMessage="1" errorTitle="OUTSIDE VALID DATE RANGE" error="Enter a date that is at least 6 months before Open public comment date_x000a_" promptTitle="ENTER START DATE" prompt="DEFAULT  6 months before Open public comment date_x000a__x000a_OVERWRITE  Yes, to a date earlier than the default_x000a_" sqref="H19">
      <formula1>WORKDAY(DATE(YEAR(S.Notice.OpenComment),MONTH(S.Notice.OpenComment)-6,DAY(S.Notice.OpenComment+1)),-1,S.DDL_DEQClosed)</formula1>
    </dataValidation>
    <dataValidation allowBlank="1" errorTitle="OUT OF DATE RANGE" error="Yes, to a date between Last hearing, G15, and Submit staff rpt G17." promptTitle="ENTER DATE " prompt="DEFAULT   3 workdays days after last hearing date in G15_x000a__x000a_OVERWRITE   Yes, to a date between default and Submit staff rpt in cell G17." sqref="H13 H17"/>
    <dataValidation type="date" allowBlank="1" errorTitle="OUT OF DATE RANGE" error="Start Rulemaking date and the START date on the Overview of Key Dates banner and Submit notice to SOS (G13)." promptTitle="BEST PRACTICE" prompt="DEFAULT   About 30 days before date in G13, Submit notice to SOS, excluding holidays or furloughs that fall on a weekday_x000a__x000a_OVERWRITE   Yes, to a date between default and START date on the Overview of Key Dates banner in cell  G8." sqref="G13 G17">
      <formula1>S.StartRulemaking</formula1>
      <formula2>S.EQC.Meeting</formula2>
    </dataValidation>
    <dataValidation allowBlank="1" showInputMessage="1" showErrorMessage="1" errorTitle="LOCKED" error="Change close of public comment" promptTitle="LOCKED" prompt="DEFAULT   Close of public comment_x000a__x000a_OVERWRITE    No, change Close of Public Comment_x000a_ _x000a__x000a_" sqref="H22"/>
    <dataValidation allowBlank="1" showInputMessage="1" showErrorMessage="1" errorTitle="LOCKED" error="System generated to 60 days plus the number of Days added to the schedule under E12 through E44" promptTitle="LOCKED" prompt="System generated to 60 days plus the number of Days added to the schedule under E12 through E44" sqref="H3"/>
    <dataValidation allowBlank="1" showInputMessage="1" showErrorMessage="1" errorTitle=" " error=" " promptTitle="ENTER DATE " prompt="Enter the date the Director added this rulemaking to the DEQ Rulemaking Plan._x000a_" sqref="G6"/>
    <dataValidation allowBlank="1" showInputMessage="1" showErrorMessage="1" errorTitle="LOCKED" error="Ask Rules Lead to adjust" promptTitle="LOCKED" prompt="DEFAULT   5 days after EQC meeting_x000a__x000a_OVER WRITE   No. DEQ must notify DAS within 10 calendar days of EQC fee adoption, amendment or repeal. Ask Rules Group for adjustments._x000a__x000a_ _x000a__x000a_" sqref="H14"/>
    <dataValidation type="list" allowBlank="1" showInputMessage="1" showErrorMessage="1" sqref="C10">
      <formula1>"1,2,3"</formula1>
    </dataValidation>
    <dataValidation type="list" allowBlank="1" showInputMessage="1" showErrorMessage="1" sqref="C8">
      <formula1>"P,T"</formula1>
    </dataValidation>
    <dataValidation allowBlank="1" showInputMessage="1" showErrorMessage="1" promptTitle="DAYS ADDED TO SCHEDULE" prompt="CALCULATION   For this section only, this colum represents the number of days addded to the schedule based on the selection made to the left _x000a_" sqref="F2"/>
    <dataValidation allowBlank="1" showInputMessage="1" showErrorMessage="1" errorTitle="LOCKED" error="Set by Rules Group Lead" promptTitle="Locked" prompt="DEFAULT  About 14 workdays before submitting to Assistant Division Administrator_x000a_" sqref="H24"/>
    <dataValidation allowBlank="1" showInputMessage="1" showErrorMessage="1" errorTitle="LOCKED" error="Reles Group Lead will set in schedule" promptTitle="Locked" prompt="DEFAULT  about 14 work days before submitting to SOS_x000a__x000a_" sqref="H25"/>
    <dataValidation type="date" allowBlank="1" showInputMessage="1" showErrorMessage="1" errorTitle="OUTSIDE VALID DATE RANGE" error="Enter a date between the Start and End dates on the RESOURCE input line above shown in light blue_x000a_" promptTitle="TASK START" prompt="DEFUALT          The Start date for RESOURCE input shown in light blue above_x000a__x000a_OVERWRITE      Yes, to a date between the Start and End dates on the RESOURCE input line above shown in light blue_x000a__x000a__x000a__x000a_" sqref="G509:G512 G515:G520">
      <formula1>$G$507</formula1>
      <formula2>$H$507</formula2>
    </dataValidation>
    <dataValidation type="date" allowBlank="1" showInputMessage="1" showErrorMessage="1" errorTitle="OUTSIDE VALID DATE RANGE" error="Enter a date between the two dates on Notice BANNER" promptTitle="TASK START" prompt="DEFUALT           Start Task date on Notice BANNER_x000a__x000a_OVERWRITE      Yes, to a date between the two dates on Notice BANNER_x000a__x000a__x000a_" sqref="G507">
      <formula1>S.Notice.BANNER.Begin</formula1>
      <formula2>S.Notice.BANNER.End</formula2>
    </dataValidation>
    <dataValidation allowBlank="1" showInputMessage="1" showErrorMessage="1" errorTitle="LOCKED" error="Rules Group Lead may make adjustments based on best practices" promptTitle="LOCKED" prompt="DEFAULT   About 10 days before date to the right_x000a__x000a_OVERWRITE  Yes, Rules Group Lead may make adjustments based on best practices" sqref="G23"/>
    <dataValidation allowBlank="1" showInputMessage="1" showErrorMessage="1" errorTitle="LOCKED" error="Rules Group Lead may make adjustments based on best practices" promptTitle="LOCKED" prompt="DEFAULT   About 14 days before date to the right_x000a__x000a_OVERWRITE  Yes, Rules Group Lead may make adjustments based on best practices" sqref="G24"/>
    <dataValidation allowBlank="1" showInputMessage="1" showErrorMessage="1" errorTitle="LOCKED" error="Rules Group Lead may make adjustments based on best practices" promptTitle="LOCKED" prompt="DEFAULT   About 7 days before date to the right_x000a__x000a_OVERWRITE  Yes, Rules Group Lead may make adjustments based on best practices" sqref="G25"/>
  </dataValidations>
  <hyperlinks>
    <hyperlink ref="C355" r:id="rId1" display="i"/>
    <hyperlink ref="C203" r:id="rId2" display="i"/>
    <hyperlink ref="C654" r:id="rId3" display="Q"/>
    <hyperlink ref="C299" r:id="rId4" display="i"/>
    <hyperlink ref="C339" r:id="rId5" display="i"/>
    <hyperlink ref="AL300" r:id="rId6"/>
    <hyperlink ref="C348" r:id="rId7" display="i"/>
    <hyperlink ref="C271" r:id="rId8" display="i"/>
    <hyperlink ref="C826" r:id="rId9" display="i"/>
    <hyperlink ref="C828" r:id="rId10" display="i"/>
    <hyperlink ref="C618" r:id="rId11"/>
    <hyperlink ref="C669" r:id="rId12" display="Q"/>
    <hyperlink ref="C328" r:id="rId13" display="i"/>
    <hyperlink ref="C352" r:id="rId14" display="i"/>
    <hyperlink ref="C627" r:id="rId15"/>
    <hyperlink ref="C250" location="HearingAndAdDates!A1" display="i"/>
    <hyperlink ref="C628" r:id="rId16"/>
    <hyperlink ref="C201" r:id="rId17" display="i"/>
    <hyperlink ref="C658" r:id="rId18" display="Q"/>
    <hyperlink ref="C723" r:id="rId19" display="i"/>
    <hyperlink ref="C247" r:id="rId20" display="i"/>
    <hyperlink ref="C700" r:id="rId21"/>
    <hyperlink ref="C255" r:id="rId22" display="i"/>
    <hyperlink ref="C171" r:id="rId23" display="i"/>
    <hyperlink ref="C335" r:id="rId24" display="i"/>
    <hyperlink ref="C383" r:id="rId25" display="i"/>
    <hyperlink ref="C406" r:id="rId26" display="i"/>
    <hyperlink ref="C429" r:id="rId27" display="i"/>
    <hyperlink ref="C385" r:id="rId28" display="i"/>
    <hyperlink ref="C408" r:id="rId29" display="i"/>
    <hyperlink ref="C431" r:id="rId30" display="i"/>
    <hyperlink ref="C393" r:id="rId31" display="i"/>
    <hyperlink ref="C416" r:id="rId32" display="i"/>
    <hyperlink ref="C439" r:id="rId33" display="i"/>
    <hyperlink ref="C397" r:id="rId34" display="i"/>
    <hyperlink ref="C420" r:id="rId35" display="i"/>
    <hyperlink ref="C443" r:id="rId36" display="i"/>
    <hyperlink ref="C401" r:id="rId37" display="i"/>
    <hyperlink ref="C424" r:id="rId38" display="i"/>
    <hyperlink ref="C447" r:id="rId39" display="i"/>
    <hyperlink ref="C533" r:id="rId40" display="i"/>
    <hyperlink ref="C736" r:id="rId41" display="i"/>
    <hyperlink ref="B258" r:id="rId42" display="mailto:JoKRanch@hotmail.com"/>
    <hyperlink ref="B259" r:id="rId43"/>
    <hyperlink ref="B260" r:id="rId44"/>
    <hyperlink ref="B261" r:id="rId45"/>
    <hyperlink ref="C295" r:id="rId46" display="i"/>
    <hyperlink ref="B312" r:id="rId47"/>
    <hyperlink ref="B313" r:id="rId48"/>
    <hyperlink ref="B314" r:id="rId49"/>
    <hyperlink ref="B315" r:id="rId50"/>
    <hyperlink ref="AK112" r:id="rId51" display="mailto:Comment-CodeName@deq.state,or,us"/>
    <hyperlink ref="AK114" r:id="rId52" display="mailto:Comment-AQPermit@deq.state.or.us"/>
    <hyperlink ref="C320" r:id="rId53" display="i"/>
    <hyperlink ref="B311" r:id="rId54" display="mailto:MEden@neea.org"/>
    <hyperlink ref="C378" r:id="rId55" display="i"/>
    <hyperlink ref="C374" r:id="rId56" display="i"/>
    <hyperlink ref="C370" r:id="rId57" display="i"/>
    <hyperlink ref="C362" r:id="rId58" display="i"/>
    <hyperlink ref="C360" r:id="rId59" display="i"/>
    <hyperlink ref="C269" r:id="rId60" display="i"/>
    <hyperlink ref="C268" r:id="rId61" display="i"/>
    <hyperlink ref="B257" r:id="rId62" display="mailto:MEden@neea.org"/>
    <hyperlink ref="C230" location="S.HearingsOfficers" display="i"/>
    <hyperlink ref="C781" r:id="rId63"/>
    <hyperlink ref="C782" r:id="rId64"/>
    <hyperlink ref="C783" r:id="rId65"/>
    <hyperlink ref="C784" r:id="rId66"/>
    <hyperlink ref="C780" r:id="rId67" display="mailto:MEden@neea.org"/>
    <hyperlink ref="C127" r:id="rId68"/>
    <hyperlink ref="AK107" r:id="rId69"/>
  </hyperlinks>
  <pageMargins left="0.53" right="0.25" top="1" bottom="0.36" header="0.3" footer="0.3"/>
  <pageSetup orientation="portrait" horizontalDpi="4294967293" r:id="rId70"/>
  <headerFooter>
    <oddHeader xml:space="preserve">&amp;L&amp;"Times New Roman,Bold"&amp;22&amp;K04-036Schedule of Tasks&amp;C&amp;"Times New Roman,Regular"&amp;14&amp;K04-044
Clean Fuels Program - Phase II&amp;R&amp;"Times New Roman,Regular"&amp;12&amp;K04-041
&amp;D
&amp;P of &amp;N
</oddHeader>
  </headerFooter>
  <rowBreaks count="8" manualBreakCount="8">
    <brk id="51" min="1" max="7" man="1"/>
    <brk id="286" min="1" max="7" man="1"/>
    <brk id="356" min="1" max="7" man="1"/>
    <brk id="402" min="1" max="7" man="1"/>
    <brk id="451" min="1" max="7" man="1"/>
    <brk id="486" min="1" max="7" man="1"/>
    <brk id="648" min="1" max="7" man="1"/>
    <brk id="800" min="1" max="7" man="1"/>
  </rowBreaks>
  <ignoredErrors>
    <ignoredError sqref="G654:H654 H475:H476 G479:G481 G663:H667 G712:H712 G722:H725 G794:H799 G857:H864 G708:G711 H837:H841 H848:H852 H808 H833 H835 H844 G142:H145 H855 G118:H119 G54 G129 G124:H124 G169:H170 G321:H322 G311:H315 H120 G161:H162 G189:H189 G203:H210 G278 G317:H319 G324:H328 D353 H466 G55:H56 G173:H173 G177:H177 G40:H41 G116:H116 G131:H134 G21:H21 G201:H201 G199:H199 G190:H190 D535:D537 G191:H193 D533 G13:H13 G31:H31 G36:H36 G17:H17 G47:H53 G196:H197 G29:G30 G355:H356 F382:H448 F467:H470 F458:H459 D382:D449 D355:D356 H354 G736:H739 G747:H747 G785:H787 G753:H753 G762:H779 H815:H828 H18:H20 G15:H15 G449:H449 G32 G46:H46 G22:G23 H29:H30 G34:H34 H23 H174:H175 H181:H182 G183:H183 G219:H226 G229:H233 H237:H238 G263:H263 F250:H262 F264:H264 F263 H249 H283 H278 H271:H277 H279:H282 H284 G579:H589 C596:H606" unlockedFormula="1"/>
  </ignoredErrors>
  <drawing r:id="rId71"/>
  <legacyDrawing r:id="rId72"/>
</worksheet>
</file>

<file path=xl/worksheets/sheet2.xml><?xml version="1.0" encoding="utf-8"?>
<worksheet xmlns="http://schemas.openxmlformats.org/spreadsheetml/2006/main" xmlns:r="http://schemas.openxmlformats.org/officeDocument/2006/relationships">
  <sheetPr codeName="Sheet3"/>
  <dimension ref="A1:G29"/>
  <sheetViews>
    <sheetView workbookViewId="0">
      <selection activeCell="E4" sqref="E4"/>
    </sheetView>
  </sheetViews>
  <sheetFormatPr defaultRowHeight="14.25"/>
  <cols>
    <col min="1" max="1" width="5.5" customWidth="1"/>
    <col min="2" max="2" width="13.875" style="28" customWidth="1"/>
    <col min="3" max="3" width="50.75" customWidth="1"/>
    <col min="4" max="4" width="19" customWidth="1"/>
    <col min="5" max="5" width="59.125" style="23" customWidth="1"/>
    <col min="6" max="6" width="26.375" customWidth="1"/>
    <col min="7" max="7" width="12.75" customWidth="1"/>
  </cols>
  <sheetData>
    <row r="1" spans="1:7" ht="21.75" customHeight="1">
      <c r="A1" s="75"/>
      <c r="B1" s="144"/>
      <c r="C1" s="75"/>
      <c r="D1" s="33" t="s">
        <v>39</v>
      </c>
      <c r="E1" s="33" t="s">
        <v>42</v>
      </c>
      <c r="F1" s="33" t="s">
        <v>32</v>
      </c>
      <c r="G1" s="132" t="s">
        <v>62</v>
      </c>
    </row>
    <row r="2" spans="1:7" s="23" customFormat="1" ht="25.5" customHeight="1">
      <c r="A2" s="75"/>
      <c r="B2" s="1043" t="s">
        <v>40</v>
      </c>
      <c r="C2" s="1043"/>
      <c r="D2" s="75"/>
      <c r="E2" s="75"/>
      <c r="F2" s="75"/>
      <c r="G2" s="75"/>
    </row>
    <row r="3" spans="1:7" s="23" customFormat="1">
      <c r="A3" s="75"/>
      <c r="B3" s="144" t="s">
        <v>21</v>
      </c>
      <c r="C3" s="75" t="s">
        <v>44</v>
      </c>
      <c r="D3" s="146" t="s">
        <v>29</v>
      </c>
      <c r="E3" s="147" t="s">
        <v>82</v>
      </c>
      <c r="F3" s="147" t="s">
        <v>80</v>
      </c>
      <c r="G3" s="75"/>
    </row>
    <row r="4" spans="1:7" s="23" customFormat="1">
      <c r="A4" s="75"/>
      <c r="B4" s="144" t="s">
        <v>16</v>
      </c>
      <c r="C4" s="75" t="s">
        <v>73</v>
      </c>
      <c r="D4" s="148" t="s">
        <v>33</v>
      </c>
      <c r="E4" s="147" t="s">
        <v>81</v>
      </c>
      <c r="F4" s="168" t="s">
        <v>43</v>
      </c>
      <c r="G4" s="75"/>
    </row>
    <row r="5" spans="1:7" s="23" customFormat="1">
      <c r="A5" s="75"/>
      <c r="B5" s="144" t="s">
        <v>20</v>
      </c>
      <c r="C5" s="75"/>
      <c r="D5" s="143" t="s">
        <v>72</v>
      </c>
      <c r="E5" s="147" t="s">
        <v>83</v>
      </c>
      <c r="F5" s="168" t="s">
        <v>43</v>
      </c>
      <c r="G5" s="75"/>
    </row>
    <row r="6" spans="1:7" s="23" customFormat="1">
      <c r="A6" s="75"/>
      <c r="B6" s="144" t="s">
        <v>70</v>
      </c>
      <c r="C6" s="75" t="s">
        <v>71</v>
      </c>
      <c r="D6" s="143" t="s">
        <v>72</v>
      </c>
      <c r="E6" s="150" t="s">
        <v>84</v>
      </c>
      <c r="F6" s="168" t="s">
        <v>43</v>
      </c>
      <c r="G6" s="75"/>
    </row>
    <row r="7" spans="1:7" s="23" customFormat="1">
      <c r="A7" s="75"/>
      <c r="B7" s="144"/>
      <c r="C7" s="75"/>
      <c r="D7" s="142"/>
      <c r="E7" s="150"/>
      <c r="F7" s="149"/>
      <c r="G7" s="75"/>
    </row>
    <row r="8" spans="1:7" s="23" customFormat="1">
      <c r="A8" s="75"/>
      <c r="B8" s="144"/>
      <c r="C8" s="75"/>
      <c r="D8" s="142"/>
      <c r="E8" s="150"/>
      <c r="F8" s="149"/>
      <c r="G8" s="75"/>
    </row>
    <row r="9" spans="1:7" ht="18">
      <c r="A9" s="75"/>
      <c r="B9" s="1043" t="s">
        <v>41</v>
      </c>
      <c r="C9" s="1043"/>
      <c r="D9" s="154" t="s">
        <v>45</v>
      </c>
      <c r="E9" s="155" t="s">
        <v>46</v>
      </c>
      <c r="F9" s="75"/>
      <c r="G9" s="75"/>
    </row>
    <row r="10" spans="1:7">
      <c r="A10" s="75"/>
      <c r="B10" s="144"/>
      <c r="C10" s="145"/>
      <c r="D10" s="156" t="s">
        <v>37</v>
      </c>
      <c r="E10" s="147" t="s">
        <v>76</v>
      </c>
      <c r="F10" s="75" t="s">
        <v>77</v>
      </c>
      <c r="G10" s="75"/>
    </row>
    <row r="11" spans="1:7">
      <c r="A11" s="75"/>
      <c r="B11" s="144"/>
      <c r="C11" s="145"/>
      <c r="D11" s="156" t="s">
        <v>37</v>
      </c>
      <c r="E11" s="147" t="s">
        <v>79</v>
      </c>
      <c r="F11" s="75" t="s">
        <v>78</v>
      </c>
      <c r="G11" s="75"/>
    </row>
    <row r="12" spans="1:7" s="23" customFormat="1">
      <c r="A12" s="75"/>
      <c r="B12" s="144"/>
      <c r="C12" s="75"/>
      <c r="D12" s="153" t="s">
        <v>31</v>
      </c>
      <c r="E12" s="147" t="s">
        <v>38</v>
      </c>
      <c r="F12" s="75" t="s">
        <v>74</v>
      </c>
      <c r="G12" s="75"/>
    </row>
    <row r="13" spans="1:7" s="23" customFormat="1">
      <c r="A13" s="75"/>
      <c r="B13" s="144"/>
      <c r="C13" s="75"/>
      <c r="D13" s="152" t="s">
        <v>43</v>
      </c>
      <c r="E13" s="147" t="s">
        <v>36</v>
      </c>
      <c r="F13" s="75" t="s">
        <v>75</v>
      </c>
      <c r="G13" s="75"/>
    </row>
    <row r="14" spans="1:7" ht="18">
      <c r="A14" s="75"/>
      <c r="B14" s="1043" t="s">
        <v>52</v>
      </c>
      <c r="C14" s="1043"/>
      <c r="D14" s="75"/>
      <c r="E14" s="75"/>
      <c r="F14" s="75"/>
      <c r="G14" s="75"/>
    </row>
    <row r="15" spans="1:7">
      <c r="A15" s="75"/>
      <c r="B15" s="144"/>
      <c r="C15" s="75" t="s">
        <v>63</v>
      </c>
      <c r="D15" s="151" t="s">
        <v>27</v>
      </c>
      <c r="E15" s="147" t="s">
        <v>51</v>
      </c>
      <c r="F15" s="75" t="s">
        <v>54</v>
      </c>
      <c r="G15" s="75"/>
    </row>
    <row r="16" spans="1:7">
      <c r="A16" s="75"/>
      <c r="B16" s="144"/>
      <c r="C16" s="75"/>
      <c r="D16" s="25" t="s">
        <v>26</v>
      </c>
      <c r="E16" s="150" t="s">
        <v>53</v>
      </c>
      <c r="F16" s="75" t="s">
        <v>54</v>
      </c>
      <c r="G16" s="75"/>
    </row>
    <row r="17" spans="1:7">
      <c r="A17" s="75"/>
      <c r="B17" s="144"/>
      <c r="C17" s="75"/>
      <c r="D17" s="24" t="s">
        <v>25</v>
      </c>
      <c r="E17" s="150" t="s">
        <v>55</v>
      </c>
      <c r="F17" s="75" t="s">
        <v>54</v>
      </c>
      <c r="G17" s="75"/>
    </row>
    <row r="18" spans="1:7">
      <c r="A18" s="75"/>
      <c r="B18" s="144"/>
      <c r="C18" s="75"/>
      <c r="D18" s="75"/>
      <c r="E18" s="75"/>
      <c r="F18" s="75"/>
      <c r="G18" s="75"/>
    </row>
    <row r="19" spans="1:7">
      <c r="A19" s="75"/>
      <c r="B19" s="144"/>
      <c r="C19" s="75"/>
      <c r="D19" s="75"/>
      <c r="E19" s="75"/>
      <c r="F19" s="75"/>
      <c r="G19" s="75"/>
    </row>
    <row r="20" spans="1:7">
      <c r="A20" s="75"/>
      <c r="B20" s="144"/>
      <c r="C20" s="75"/>
      <c r="D20" s="75"/>
      <c r="E20" s="75"/>
      <c r="F20" s="75"/>
      <c r="G20" s="75"/>
    </row>
    <row r="21" spans="1:7">
      <c r="A21" s="75"/>
      <c r="B21" s="144"/>
      <c r="C21" s="75"/>
      <c r="D21" s="75"/>
      <c r="E21" s="75" t="s">
        <v>64</v>
      </c>
      <c r="F21" s="75" t="s">
        <v>0</v>
      </c>
      <c r="G21" s="75"/>
    </row>
    <row r="22" spans="1:7">
      <c r="A22" s="75"/>
      <c r="B22" s="144"/>
      <c r="C22" s="75"/>
      <c r="D22" s="75"/>
      <c r="E22" s="75" t="s">
        <v>65</v>
      </c>
      <c r="F22" s="75" t="s">
        <v>0</v>
      </c>
      <c r="G22" s="75"/>
    </row>
    <row r="23" spans="1:7">
      <c r="A23" s="75"/>
      <c r="B23" s="144"/>
      <c r="C23" s="75"/>
      <c r="D23" s="75"/>
      <c r="E23" s="75"/>
      <c r="F23" s="75"/>
      <c r="G23" s="75"/>
    </row>
    <row r="24" spans="1:7">
      <c r="A24" s="75"/>
      <c r="B24" s="144"/>
      <c r="C24" s="75"/>
      <c r="D24" s="75"/>
      <c r="E24" s="75"/>
      <c r="F24" s="75"/>
      <c r="G24" s="75"/>
    </row>
    <row r="25" spans="1:7">
      <c r="A25" s="75"/>
      <c r="B25" s="144"/>
      <c r="C25" s="75"/>
      <c r="D25" s="75"/>
      <c r="E25" s="75"/>
      <c r="F25" s="75"/>
      <c r="G25" s="75"/>
    </row>
    <row r="26" spans="1:7">
      <c r="A26" s="75"/>
      <c r="B26" s="144"/>
      <c r="C26" s="75"/>
      <c r="D26" s="75"/>
      <c r="E26" s="75"/>
      <c r="F26" s="75"/>
      <c r="G26" s="75"/>
    </row>
    <row r="27" spans="1:7">
      <c r="A27" s="75"/>
      <c r="B27" s="144"/>
      <c r="C27" s="75"/>
      <c r="D27" s="75"/>
      <c r="E27" s="75"/>
      <c r="F27" s="75"/>
      <c r="G27" s="75"/>
    </row>
    <row r="28" spans="1:7">
      <c r="A28" s="75"/>
      <c r="B28" s="144"/>
      <c r="C28" s="75"/>
      <c r="D28" s="75"/>
      <c r="E28" s="75"/>
      <c r="F28" s="75"/>
      <c r="G28" s="75"/>
    </row>
    <row r="29" spans="1:7">
      <c r="D29" s="75"/>
      <c r="E29" s="75"/>
      <c r="F29" s="75"/>
      <c r="G29" s="75"/>
    </row>
  </sheetData>
  <mergeCells count="3">
    <mergeCell ref="B2:C2"/>
    <mergeCell ref="B9:C9"/>
    <mergeCell ref="B14:C14"/>
  </mergeCells>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Sheet5"/>
  <dimension ref="A1:S21"/>
  <sheetViews>
    <sheetView zoomScale="90" zoomScaleNormal="90" workbookViewId="0">
      <selection activeCell="E4" sqref="E4"/>
    </sheetView>
  </sheetViews>
  <sheetFormatPr defaultRowHeight="14.25"/>
  <cols>
    <col min="1" max="1" width="4.375" style="23" customWidth="1"/>
    <col min="2" max="2" width="15.625" customWidth="1"/>
    <col min="3" max="3" width="17.625" customWidth="1"/>
    <col min="4" max="4" width="3.625" customWidth="1"/>
    <col min="5" max="5" width="17.625" customWidth="1"/>
    <col min="6" max="6" width="2.625" customWidth="1"/>
    <col min="7" max="7" width="17.625" customWidth="1"/>
    <col min="8" max="8" width="2.625" customWidth="1"/>
    <col min="9" max="9" width="17.625" customWidth="1"/>
    <col min="10" max="10" width="2.625" customWidth="1"/>
    <col min="11" max="11" width="17.625" customWidth="1"/>
    <col min="12" max="12" width="2.625" customWidth="1"/>
    <col min="13" max="13" width="17.625" customWidth="1"/>
    <col min="14" max="14" width="2.625" customWidth="1"/>
    <col min="15" max="15" width="17.625" customWidth="1"/>
    <col min="16" max="16" width="1.625" customWidth="1"/>
    <col min="19" max="19" width="38.875" customWidth="1"/>
  </cols>
  <sheetData>
    <row r="1" spans="1:19" s="23" customFormat="1">
      <c r="B1" s="75"/>
      <c r="C1" s="75"/>
      <c r="D1" s="75"/>
      <c r="E1" s="75"/>
      <c r="F1" s="75"/>
      <c r="G1" s="75"/>
      <c r="H1" s="75"/>
      <c r="I1" s="75"/>
      <c r="J1" s="75"/>
      <c r="K1" s="75"/>
      <c r="L1" s="75"/>
      <c r="M1" s="75"/>
      <c r="N1" s="75"/>
      <c r="O1" s="75"/>
    </row>
    <row r="2" spans="1:19" ht="26.25" thickBot="1">
      <c r="A2" s="75"/>
      <c r="B2" s="1044" t="s">
        <v>140</v>
      </c>
      <c r="C2" s="1044"/>
      <c r="D2" s="1044"/>
      <c r="E2" s="1044"/>
      <c r="F2" s="1044"/>
      <c r="G2" s="1044"/>
      <c r="H2" s="1044"/>
      <c r="I2" s="1044"/>
      <c r="J2" s="1044"/>
      <c r="K2" s="1044"/>
      <c r="L2" s="1044"/>
      <c r="M2" s="1044"/>
      <c r="N2" s="1044"/>
      <c r="O2" s="1044"/>
      <c r="P2" s="400"/>
      <c r="Q2" s="75"/>
      <c r="R2" s="75"/>
      <c r="S2" s="75"/>
    </row>
    <row r="3" spans="1:19" ht="20.25">
      <c r="A3" s="75"/>
      <c r="B3" s="176"/>
      <c r="C3" s="239" t="s">
        <v>57</v>
      </c>
      <c r="D3" s="240"/>
      <c r="E3" s="241" t="s">
        <v>93</v>
      </c>
      <c r="F3" s="240"/>
      <c r="G3" s="242" t="s">
        <v>94</v>
      </c>
      <c r="H3" s="240"/>
      <c r="I3" s="243" t="s">
        <v>89</v>
      </c>
      <c r="J3" s="244"/>
      <c r="K3" s="243" t="s">
        <v>97</v>
      </c>
      <c r="L3" s="244"/>
      <c r="M3" s="243" t="s">
        <v>99</v>
      </c>
      <c r="N3" s="244"/>
      <c r="O3" s="399" t="s">
        <v>98</v>
      </c>
      <c r="P3" s="145"/>
      <c r="Q3" s="75"/>
      <c r="R3" s="75"/>
      <c r="S3" s="75"/>
    </row>
    <row r="4" spans="1:19" ht="90.75" customHeight="1">
      <c r="A4" s="75"/>
      <c r="B4" s="407" t="s">
        <v>167</v>
      </c>
      <c r="C4" s="1045" t="s">
        <v>141</v>
      </c>
      <c r="D4" s="1045"/>
      <c r="E4" s="179" t="s">
        <v>142</v>
      </c>
      <c r="F4" s="178"/>
      <c r="G4" s="179" t="s">
        <v>143</v>
      </c>
      <c r="H4" s="75"/>
      <c r="I4" s="179" t="s">
        <v>92</v>
      </c>
      <c r="J4" s="75"/>
      <c r="K4" s="179" t="s">
        <v>144</v>
      </c>
      <c r="L4" s="75"/>
      <c r="M4" s="179" t="s">
        <v>100</v>
      </c>
      <c r="N4" s="75"/>
      <c r="O4" s="179" t="s">
        <v>145</v>
      </c>
      <c r="P4" s="75"/>
      <c r="Q4" s="75"/>
      <c r="R4" s="75"/>
      <c r="S4" s="75"/>
    </row>
    <row r="5" spans="1:19" ht="17.25" customHeight="1" thickBot="1">
      <c r="A5" s="75"/>
      <c r="B5" s="238"/>
      <c r="C5" s="392" t="s">
        <v>86</v>
      </c>
      <c r="D5" s="227"/>
      <c r="E5" s="228"/>
      <c r="F5" s="178"/>
      <c r="G5" s="229" t="s">
        <v>87</v>
      </c>
      <c r="H5" s="75"/>
      <c r="I5" s="229" t="s">
        <v>88</v>
      </c>
      <c r="J5" s="75"/>
      <c r="K5" s="75"/>
      <c r="L5" s="75"/>
      <c r="M5" s="75"/>
      <c r="N5" s="75"/>
      <c r="O5" s="75"/>
      <c r="P5" s="75"/>
      <c r="Q5" s="75"/>
      <c r="R5" s="75"/>
      <c r="S5" s="75"/>
    </row>
    <row r="6" spans="1:19" ht="29.25" customHeight="1">
      <c r="A6" s="75"/>
      <c r="B6" s="238"/>
      <c r="C6" s="75"/>
      <c r="D6" s="75"/>
      <c r="E6" s="75"/>
      <c r="F6" s="75"/>
      <c r="G6" s="230" t="s">
        <v>0</v>
      </c>
      <c r="H6" s="75"/>
      <c r="I6" s="225" t="s">
        <v>96</v>
      </c>
      <c r="J6" s="75"/>
      <c r="K6" s="75"/>
      <c r="L6" s="75"/>
      <c r="M6" s="225" t="s">
        <v>96</v>
      </c>
      <c r="N6" s="75"/>
      <c r="O6" s="75"/>
      <c r="P6" s="75"/>
      <c r="Q6" s="75"/>
      <c r="R6" s="75"/>
      <c r="S6" s="75"/>
    </row>
    <row r="7" spans="1:19" ht="60" customHeight="1">
      <c r="A7" s="75"/>
      <c r="B7" s="237" t="s">
        <v>91</v>
      </c>
      <c r="C7" s="181" t="s">
        <v>0</v>
      </c>
      <c r="D7" s="231"/>
      <c r="E7" s="232"/>
      <c r="F7" s="231"/>
      <c r="G7" s="180" t="s">
        <v>90</v>
      </c>
      <c r="H7" s="231"/>
      <c r="I7" s="223" t="s">
        <v>146</v>
      </c>
      <c r="J7" s="231"/>
      <c r="K7" s="75"/>
      <c r="L7" s="235"/>
      <c r="M7" s="223" t="s">
        <v>147</v>
      </c>
      <c r="N7" s="235"/>
      <c r="O7" s="75"/>
      <c r="P7" s="75"/>
      <c r="Q7" s="75"/>
      <c r="R7" s="75"/>
      <c r="S7" s="75"/>
    </row>
    <row r="8" spans="1:19" ht="11.25" customHeight="1">
      <c r="A8" s="75"/>
      <c r="B8" s="406"/>
      <c r="C8" s="403" t="s">
        <v>0</v>
      </c>
      <c r="D8" s="395"/>
      <c r="E8" s="395"/>
      <c r="F8" s="395"/>
      <c r="G8" s="395"/>
      <c r="H8" s="395"/>
      <c r="I8" s="408"/>
      <c r="J8" s="395"/>
      <c r="K8" s="395"/>
      <c r="L8" s="396"/>
      <c r="M8" s="410"/>
      <c r="N8" s="396"/>
      <c r="O8" s="396"/>
      <c r="P8" s="397"/>
      <c r="Q8" s="75"/>
      <c r="R8" s="75"/>
      <c r="S8" s="75"/>
    </row>
    <row r="9" spans="1:19" ht="60" customHeight="1">
      <c r="A9" s="75"/>
      <c r="B9" s="393" t="s">
        <v>85</v>
      </c>
      <c r="C9" s="180" t="s">
        <v>148</v>
      </c>
      <c r="D9" s="394" t="s">
        <v>0</v>
      </c>
      <c r="E9" s="180" t="s">
        <v>149</v>
      </c>
      <c r="F9" s="394"/>
      <c r="G9" s="180" t="s">
        <v>90</v>
      </c>
      <c r="H9" s="394"/>
      <c r="I9" s="223" t="s">
        <v>95</v>
      </c>
      <c r="J9" s="395"/>
      <c r="K9" s="177" t="s">
        <v>166</v>
      </c>
      <c r="L9" s="396"/>
      <c r="M9" s="223" t="s">
        <v>150</v>
      </c>
      <c r="N9" s="396"/>
      <c r="O9" s="396"/>
      <c r="P9" s="397"/>
      <c r="Q9" s="75"/>
      <c r="R9" s="75"/>
      <c r="S9" s="75"/>
    </row>
    <row r="10" spans="1:19" ht="12" customHeight="1">
      <c r="A10" s="75"/>
      <c r="B10" s="398"/>
      <c r="C10" s="397"/>
      <c r="D10" s="397"/>
      <c r="E10" s="397"/>
      <c r="F10" s="397"/>
      <c r="G10" s="397"/>
      <c r="H10" s="397"/>
      <c r="I10" s="409"/>
      <c r="J10" s="397"/>
      <c r="K10" s="397"/>
      <c r="L10" s="397"/>
      <c r="M10" s="411"/>
      <c r="N10" s="397"/>
      <c r="O10" s="397"/>
      <c r="P10" s="397"/>
      <c r="Q10" s="75"/>
      <c r="R10" s="75"/>
      <c r="S10" s="75"/>
    </row>
    <row r="11" spans="1:19" ht="60" customHeight="1">
      <c r="A11" s="75"/>
      <c r="B11" s="236" t="s">
        <v>151</v>
      </c>
      <c r="C11" s="234"/>
      <c r="D11" s="231"/>
      <c r="E11" s="226" t="s">
        <v>152</v>
      </c>
      <c r="F11" s="231"/>
      <c r="G11" s="177" t="s">
        <v>153</v>
      </c>
      <c r="H11" s="231"/>
      <c r="I11" s="224" t="s">
        <v>154</v>
      </c>
      <c r="J11" s="231"/>
      <c r="K11" s="75"/>
      <c r="L11" s="235"/>
      <c r="M11" s="223" t="s">
        <v>155</v>
      </c>
      <c r="N11" s="235"/>
      <c r="O11" s="235"/>
      <c r="P11" s="75"/>
      <c r="Q11" s="75"/>
      <c r="R11" s="75"/>
      <c r="S11" s="75"/>
    </row>
    <row r="12" spans="1:19" ht="12" customHeight="1" thickBot="1">
      <c r="A12" s="75"/>
      <c r="B12" s="404"/>
      <c r="C12" s="405"/>
      <c r="D12" s="395"/>
      <c r="E12" s="402" t="s">
        <v>0</v>
      </c>
      <c r="F12" s="395"/>
      <c r="G12" s="395"/>
      <c r="H12" s="395"/>
      <c r="I12" s="412"/>
      <c r="J12" s="395"/>
      <c r="K12" s="395"/>
      <c r="L12" s="396"/>
      <c r="M12" s="413"/>
      <c r="N12" s="396"/>
      <c r="O12" s="396"/>
      <c r="P12" s="397"/>
      <c r="Q12" s="75"/>
      <c r="R12" s="75"/>
      <c r="S12" s="75"/>
    </row>
    <row r="13" spans="1:19" ht="60" customHeight="1">
      <c r="A13" s="75"/>
      <c r="B13" s="393" t="s">
        <v>156</v>
      </c>
      <c r="C13" s="177" t="s">
        <v>157</v>
      </c>
      <c r="D13" s="394" t="s">
        <v>0</v>
      </c>
      <c r="E13" s="177" t="s">
        <v>158</v>
      </c>
      <c r="F13" s="395"/>
      <c r="G13" s="395"/>
      <c r="H13" s="395"/>
      <c r="I13" s="395"/>
      <c r="J13" s="395"/>
      <c r="K13" s="177" t="s">
        <v>159</v>
      </c>
      <c r="L13" s="396"/>
      <c r="M13" s="397"/>
      <c r="N13" s="396"/>
      <c r="O13" s="177" t="s">
        <v>160</v>
      </c>
      <c r="P13" s="397"/>
      <c r="Q13" s="75"/>
      <c r="R13" s="75"/>
      <c r="S13" s="75"/>
    </row>
    <row r="14" spans="1:19" ht="11.25" customHeight="1">
      <c r="A14" s="75"/>
      <c r="B14" s="398"/>
      <c r="C14" s="401"/>
      <c r="D14" s="395"/>
      <c r="E14" s="402" t="s">
        <v>0</v>
      </c>
      <c r="F14" s="395"/>
      <c r="G14" s="395"/>
      <c r="H14" s="395"/>
      <c r="I14" s="403"/>
      <c r="J14" s="395"/>
      <c r="K14" s="395"/>
      <c r="L14" s="396"/>
      <c r="M14" s="396"/>
      <c r="N14" s="396"/>
      <c r="O14" s="396"/>
      <c r="P14" s="397"/>
      <c r="Q14" s="75"/>
      <c r="R14" s="75"/>
      <c r="S14" s="75"/>
    </row>
    <row r="15" spans="1:19" ht="60" customHeight="1">
      <c r="A15" s="75"/>
      <c r="B15" s="236" t="s">
        <v>161</v>
      </c>
      <c r="C15" s="177" t="s">
        <v>162</v>
      </c>
      <c r="D15" s="233" t="s">
        <v>0</v>
      </c>
      <c r="E15" s="75"/>
      <c r="F15" s="231"/>
      <c r="G15" s="231"/>
      <c r="H15" s="231"/>
      <c r="I15" s="231"/>
      <c r="J15" s="231"/>
      <c r="K15" s="75"/>
      <c r="L15" s="235"/>
      <c r="M15" s="75"/>
      <c r="N15" s="235"/>
      <c r="O15" s="177" t="s">
        <v>163</v>
      </c>
      <c r="P15" s="75"/>
      <c r="Q15" s="75"/>
      <c r="R15" s="75"/>
      <c r="S15" s="75"/>
    </row>
    <row r="16" spans="1:19" ht="12" customHeight="1">
      <c r="A16" s="75"/>
      <c r="B16" s="398"/>
      <c r="C16" s="401"/>
      <c r="D16" s="395"/>
      <c r="E16" s="402" t="s">
        <v>0</v>
      </c>
      <c r="F16" s="395"/>
      <c r="G16" s="395"/>
      <c r="H16" s="395"/>
      <c r="I16" s="403"/>
      <c r="J16" s="395"/>
      <c r="K16" s="395"/>
      <c r="L16" s="396"/>
      <c r="M16" s="396"/>
      <c r="N16" s="396"/>
      <c r="O16" s="396"/>
      <c r="P16" s="397"/>
      <c r="Q16" s="75"/>
      <c r="R16" s="75"/>
      <c r="S16" s="75"/>
    </row>
    <row r="17" spans="1:19" ht="60" customHeight="1">
      <c r="A17" s="75"/>
      <c r="B17" s="393" t="s">
        <v>164</v>
      </c>
      <c r="C17" s="397"/>
      <c r="D17" s="394" t="s">
        <v>0</v>
      </c>
      <c r="E17" s="397"/>
      <c r="F17" s="395"/>
      <c r="G17" s="395"/>
      <c r="H17" s="395"/>
      <c r="I17" s="395"/>
      <c r="J17" s="395"/>
      <c r="K17" s="397"/>
      <c r="L17" s="396"/>
      <c r="M17" s="397"/>
      <c r="N17" s="396"/>
      <c r="O17" s="177" t="s">
        <v>165</v>
      </c>
      <c r="P17" s="397"/>
      <c r="Q17" s="75"/>
      <c r="R17" s="75"/>
      <c r="S17" s="75"/>
    </row>
    <row r="18" spans="1:19" ht="9.75" customHeight="1">
      <c r="A18" s="75"/>
      <c r="B18" s="397"/>
      <c r="C18" s="397"/>
      <c r="D18" s="397"/>
      <c r="E18" s="397"/>
      <c r="F18" s="397"/>
      <c r="G18" s="397"/>
      <c r="H18" s="397"/>
      <c r="I18" s="397"/>
      <c r="J18" s="397"/>
      <c r="K18" s="397"/>
      <c r="L18" s="397"/>
      <c r="M18" s="397"/>
      <c r="N18" s="397"/>
      <c r="O18" s="397"/>
      <c r="P18" s="397"/>
      <c r="Q18" s="75"/>
      <c r="R18" s="75"/>
      <c r="S18" s="75"/>
    </row>
    <row r="19" spans="1:19">
      <c r="A19" s="75"/>
      <c r="B19" s="75"/>
      <c r="C19" s="75"/>
      <c r="D19" s="75"/>
      <c r="E19" s="75"/>
      <c r="F19" s="75"/>
      <c r="G19" s="75"/>
      <c r="H19" s="75"/>
      <c r="I19" s="75"/>
      <c r="J19" s="75"/>
      <c r="K19" s="75"/>
      <c r="L19" s="75"/>
      <c r="M19" s="75"/>
      <c r="N19" s="75"/>
      <c r="O19" s="75"/>
      <c r="P19" s="75"/>
      <c r="Q19" s="75"/>
      <c r="R19" s="75"/>
      <c r="S19" s="75"/>
    </row>
    <row r="20" spans="1:19" ht="84" customHeight="1">
      <c r="A20" s="75"/>
      <c r="B20" s="75"/>
      <c r="C20" s="75"/>
      <c r="D20" s="75"/>
      <c r="E20" s="75"/>
      <c r="F20" s="75"/>
      <c r="G20" s="75"/>
      <c r="H20" s="75"/>
      <c r="I20" s="75"/>
      <c r="J20" s="75"/>
      <c r="K20" s="75"/>
      <c r="L20" s="75"/>
      <c r="M20" s="75"/>
      <c r="N20" s="75"/>
      <c r="O20" s="75"/>
      <c r="P20" s="75"/>
      <c r="Q20" s="75"/>
      <c r="R20" s="75"/>
      <c r="S20" s="75"/>
    </row>
    <row r="21" spans="1:19">
      <c r="B21" s="75"/>
      <c r="C21" s="75"/>
      <c r="D21" s="75"/>
      <c r="E21" s="75"/>
      <c r="F21" s="75"/>
      <c r="G21" s="75"/>
      <c r="H21" s="75"/>
      <c r="I21" s="75"/>
      <c r="J21" s="75"/>
      <c r="K21" s="75"/>
      <c r="L21" s="75"/>
      <c r="M21" s="75"/>
      <c r="N21" s="75"/>
      <c r="O21" s="75"/>
      <c r="P21" s="75"/>
      <c r="Q21" s="75"/>
      <c r="R21" s="75"/>
      <c r="S21" s="75"/>
    </row>
  </sheetData>
  <mergeCells count="2">
    <mergeCell ref="B2:O2"/>
    <mergeCell ref="C4:D4"/>
  </mergeCells>
  <hyperlinks>
    <hyperlink ref="E11" r:id="rId1" display="http://deqsps/programs/rulemaking/default.aspx"/>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dimension ref="A1:BI110"/>
  <sheetViews>
    <sheetView workbookViewId="0">
      <selection activeCell="E42" sqref="E42"/>
    </sheetView>
  </sheetViews>
  <sheetFormatPr defaultRowHeight="14.25"/>
  <cols>
    <col min="1" max="1" width="43.25" style="23" customWidth="1"/>
    <col min="2" max="2" width="12.875" style="23" customWidth="1"/>
    <col min="3" max="3" width="10.875" style="23" customWidth="1"/>
    <col min="4" max="4" width="3.125" style="23" customWidth="1"/>
    <col min="5" max="5" width="3.625" customWidth="1"/>
    <col min="6" max="10" width="3.125" customWidth="1"/>
    <col min="11" max="12" width="3.125" style="587" customWidth="1"/>
    <col min="13" max="17" width="3.125" customWidth="1"/>
    <col min="18" max="19" width="3.125" style="585" customWidth="1"/>
    <col min="20" max="24" width="3.125" customWidth="1"/>
    <col min="25" max="26" width="3.125" style="585" customWidth="1"/>
    <col min="27" max="31" width="3.125" customWidth="1"/>
    <col min="32" max="33" width="3.125" style="585" customWidth="1"/>
    <col min="34" max="38" width="3.125" style="23" customWidth="1"/>
    <col min="39" max="40" width="3.125" style="585" customWidth="1"/>
    <col min="41" max="45" width="3.125" style="23" customWidth="1"/>
    <col min="46" max="47" width="3.125" style="585" customWidth="1"/>
    <col min="48" max="52" width="3.125" style="23" customWidth="1"/>
    <col min="53" max="54" width="3.125" style="585" customWidth="1"/>
    <col min="55" max="59" width="3.125" style="23" customWidth="1"/>
    <col min="60" max="61" width="3.125" style="585" customWidth="1"/>
  </cols>
  <sheetData>
    <row r="1" spans="1:61" s="23" customFormat="1" ht="37.5" customHeight="1">
      <c r="A1" s="1050" t="str">
        <f>S.General.RulemakingTitle</f>
        <v>Grants Pass Limited Maintenance Plans for CO and PM10</v>
      </c>
      <c r="B1" s="1050"/>
      <c r="C1" s="1050"/>
      <c r="D1" s="636"/>
      <c r="E1" s="75"/>
      <c r="F1" s="1047" t="str">
        <f>S.General.CodeName</f>
        <v>GPLMP</v>
      </c>
      <c r="G1" s="1047"/>
      <c r="H1" s="1047"/>
      <c r="I1" s="1047"/>
      <c r="J1" s="1047"/>
      <c r="K1" s="75"/>
      <c r="L1" s="75"/>
      <c r="M1" s="75"/>
      <c r="N1" s="1053" t="s">
        <v>0</v>
      </c>
      <c r="O1" s="1053"/>
      <c r="P1" s="1053"/>
      <c r="Q1" s="1053"/>
      <c r="R1" s="1053"/>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row>
    <row r="2" spans="1:61" s="23" customFormat="1" ht="21" customHeight="1">
      <c r="A2" s="1051" t="s">
        <v>357</v>
      </c>
      <c r="B2" s="1051"/>
      <c r="C2" s="1051"/>
      <c r="D2" s="637"/>
      <c r="E2" s="595"/>
      <c r="F2" s="1046">
        <f ca="1">A3</f>
        <v>41773</v>
      </c>
      <c r="G2" s="1046"/>
      <c r="H2" s="1046"/>
      <c r="I2" s="1046"/>
      <c r="J2" s="1046"/>
      <c r="K2" s="1046"/>
      <c r="L2" s="1046"/>
      <c r="M2" s="1046">
        <f ca="1">M4</f>
        <v>41778</v>
      </c>
      <c r="N2" s="1046"/>
      <c r="O2" s="1046"/>
      <c r="P2" s="1046"/>
      <c r="Q2" s="1046"/>
      <c r="R2" s="1046"/>
      <c r="S2" s="1046"/>
      <c r="T2" s="1046">
        <f ca="1">T4</f>
        <v>41785</v>
      </c>
      <c r="U2" s="1046"/>
      <c r="V2" s="1046"/>
      <c r="W2" s="1046"/>
      <c r="X2" s="1046"/>
      <c r="Y2" s="1046"/>
      <c r="Z2" s="1046"/>
      <c r="AA2" s="1046">
        <f ca="1">AA4</f>
        <v>41792</v>
      </c>
      <c r="AB2" s="1046"/>
      <c r="AC2" s="1046"/>
      <c r="AD2" s="1046"/>
      <c r="AE2" s="1046"/>
      <c r="AF2" s="1046"/>
      <c r="AG2" s="1046"/>
      <c r="AH2" s="1046">
        <f ca="1">AH4</f>
        <v>41799</v>
      </c>
      <c r="AI2" s="1046"/>
      <c r="AJ2" s="1046"/>
      <c r="AK2" s="1046"/>
      <c r="AL2" s="1046"/>
      <c r="AM2" s="1046"/>
      <c r="AN2" s="1046"/>
      <c r="AO2" s="1046">
        <f ca="1">AO4</f>
        <v>41806</v>
      </c>
      <c r="AP2" s="1046"/>
      <c r="AQ2" s="1046"/>
      <c r="AR2" s="1046"/>
      <c r="AS2" s="1046"/>
      <c r="AT2" s="1046"/>
      <c r="AU2" s="1046"/>
      <c r="AV2" s="1046">
        <f ca="1">AV4</f>
        <v>41813</v>
      </c>
      <c r="AW2" s="1046"/>
      <c r="AX2" s="1046"/>
      <c r="AY2" s="1046"/>
      <c r="AZ2" s="1046"/>
      <c r="BA2" s="1046"/>
      <c r="BB2" s="1046"/>
      <c r="BC2" s="1046">
        <f ca="1">BC4</f>
        <v>41820</v>
      </c>
      <c r="BD2" s="1046"/>
      <c r="BE2" s="1046"/>
      <c r="BF2" s="1046"/>
      <c r="BG2" s="1046"/>
      <c r="BH2" s="1046"/>
      <c r="BI2" s="1046"/>
    </row>
    <row r="3" spans="1:61" ht="18.75" thickBot="1">
      <c r="A3" s="1052">
        <f ca="1">TODAY()+E4</f>
        <v>41773</v>
      </c>
      <c r="B3" s="1052"/>
      <c r="C3" s="1052"/>
      <c r="D3" s="638"/>
      <c r="F3" s="584" t="s">
        <v>353</v>
      </c>
      <c r="G3" s="584" t="s">
        <v>21</v>
      </c>
      <c r="H3" s="584" t="s">
        <v>20</v>
      </c>
      <c r="I3" s="584" t="s">
        <v>21</v>
      </c>
      <c r="J3" s="584" t="s">
        <v>354</v>
      </c>
      <c r="K3" s="588" t="s">
        <v>355</v>
      </c>
      <c r="L3" s="588" t="s">
        <v>355</v>
      </c>
      <c r="M3" s="584" t="s">
        <v>353</v>
      </c>
      <c r="N3" s="584" t="s">
        <v>21</v>
      </c>
      <c r="O3" s="584" t="s">
        <v>20</v>
      </c>
      <c r="P3" s="584" t="s">
        <v>21</v>
      </c>
      <c r="Q3" s="584" t="s">
        <v>354</v>
      </c>
      <c r="R3" s="586" t="s">
        <v>355</v>
      </c>
      <c r="S3" s="586" t="s">
        <v>355</v>
      </c>
      <c r="T3" s="584" t="s">
        <v>353</v>
      </c>
      <c r="U3" s="584" t="s">
        <v>21</v>
      </c>
      <c r="V3" s="584" t="s">
        <v>20</v>
      </c>
      <c r="W3" s="584" t="s">
        <v>21</v>
      </c>
      <c r="X3" s="584" t="s">
        <v>354</v>
      </c>
      <c r="Y3" s="586" t="s">
        <v>355</v>
      </c>
      <c r="Z3" s="586" t="s">
        <v>355</v>
      </c>
      <c r="AA3" s="584" t="s">
        <v>353</v>
      </c>
      <c r="AB3" s="584" t="s">
        <v>21</v>
      </c>
      <c r="AC3" s="584" t="s">
        <v>20</v>
      </c>
      <c r="AD3" s="584" t="s">
        <v>21</v>
      </c>
      <c r="AE3" s="584" t="s">
        <v>354</v>
      </c>
      <c r="AF3" s="586" t="s">
        <v>355</v>
      </c>
      <c r="AG3" s="586" t="s">
        <v>355</v>
      </c>
      <c r="AH3" s="584" t="s">
        <v>353</v>
      </c>
      <c r="AI3" s="584" t="s">
        <v>21</v>
      </c>
      <c r="AJ3" s="584" t="s">
        <v>20</v>
      </c>
      <c r="AK3" s="584" t="s">
        <v>21</v>
      </c>
      <c r="AL3" s="584" t="s">
        <v>354</v>
      </c>
      <c r="AM3" s="586" t="s">
        <v>355</v>
      </c>
      <c r="AN3" s="586" t="s">
        <v>355</v>
      </c>
      <c r="AO3" s="584" t="s">
        <v>353</v>
      </c>
      <c r="AP3" s="584" t="s">
        <v>21</v>
      </c>
      <c r="AQ3" s="584" t="s">
        <v>20</v>
      </c>
      <c r="AR3" s="584" t="s">
        <v>21</v>
      </c>
      <c r="AS3" s="584" t="s">
        <v>354</v>
      </c>
      <c r="AT3" s="586" t="s">
        <v>355</v>
      </c>
      <c r="AU3" s="586" t="s">
        <v>355</v>
      </c>
      <c r="AV3" s="584" t="s">
        <v>353</v>
      </c>
      <c r="AW3" s="584" t="s">
        <v>21</v>
      </c>
      <c r="AX3" s="584" t="s">
        <v>20</v>
      </c>
      <c r="AY3" s="584" t="s">
        <v>21</v>
      </c>
      <c r="AZ3" s="584" t="s">
        <v>354</v>
      </c>
      <c r="BA3" s="586" t="s">
        <v>355</v>
      </c>
      <c r="BB3" s="586" t="s">
        <v>355</v>
      </c>
      <c r="BC3" s="584" t="s">
        <v>353</v>
      </c>
      <c r="BD3" s="584" t="s">
        <v>21</v>
      </c>
      <c r="BE3" s="584" t="s">
        <v>20</v>
      </c>
      <c r="BF3" s="584" t="s">
        <v>21</v>
      </c>
      <c r="BG3" s="584" t="s">
        <v>354</v>
      </c>
      <c r="BH3" s="586" t="s">
        <v>355</v>
      </c>
      <c r="BI3" s="586" t="s">
        <v>355</v>
      </c>
    </row>
    <row r="4" spans="1:61" s="23" customFormat="1" ht="16.5" thickBot="1">
      <c r="A4" s="1048" t="s">
        <v>356</v>
      </c>
      <c r="B4" s="1048"/>
      <c r="C4" s="1049"/>
      <c r="D4" s="635"/>
      <c r="E4" s="589">
        <v>0</v>
      </c>
      <c r="F4" s="590" t="str">
        <f ca="1">IF(WEEKDAY($A$3,3)&lt;&gt;0,"-",$A$3)</f>
        <v>-</v>
      </c>
      <c r="G4" s="590" t="str">
        <f ca="1">IF(WEEKDAY($A$3,3)=1,$A$3,IF(WEEKDAY($A$3,3)&lt;1,F4+1,"-"))</f>
        <v>-</v>
      </c>
      <c r="H4" s="590">
        <f ca="1">IF(WEEKDAY($A$3,3)=2,$A$3,IF(WEEKDAY($A$3,3)&lt;2,G4+1,"-"))</f>
        <v>41773</v>
      </c>
      <c r="I4" s="590">
        <f ca="1">IF(WEEKDAY($A$3,3)=3,$A$3,IF(WEEKDAY($A$3,3)&lt;3,H4+1,"-"))</f>
        <v>41774</v>
      </c>
      <c r="J4" s="590">
        <f ca="1">IF(WEEKDAY($A$3,3)=4,$A$3,IF(WEEKDAY($A$3,3)&lt;4,I4+1,"-"))</f>
        <v>41775</v>
      </c>
      <c r="K4" s="591">
        <f ca="1">IF(WEEKDAY($A$3,3)=5,$A$3,IF(WEEKDAY($A$3,3)&lt;5,J4+1,"-"))</f>
        <v>41776</v>
      </c>
      <c r="L4" s="591">
        <f ca="1">IF(WEEKDAY($A$3,3)=6,$A$3,IF(WEEKDAY($A$3,3)&lt;6,K4+1,"-"))</f>
        <v>41777</v>
      </c>
      <c r="M4" s="592">
        <f ca="1">L4+1</f>
        <v>41778</v>
      </c>
      <c r="N4" s="592">
        <f t="shared" ref="N4:AG4" ca="1" si="0">M4+1</f>
        <v>41779</v>
      </c>
      <c r="O4" s="592">
        <f t="shared" ca="1" si="0"/>
        <v>41780</v>
      </c>
      <c r="P4" s="592">
        <f t="shared" ca="1" si="0"/>
        <v>41781</v>
      </c>
      <c r="Q4" s="592">
        <f t="shared" ca="1" si="0"/>
        <v>41782</v>
      </c>
      <c r="R4" s="593">
        <f t="shared" ca="1" si="0"/>
        <v>41783</v>
      </c>
      <c r="S4" s="593">
        <f t="shared" ca="1" si="0"/>
        <v>41784</v>
      </c>
      <c r="T4" s="592">
        <f t="shared" ca="1" si="0"/>
        <v>41785</v>
      </c>
      <c r="U4" s="592">
        <f t="shared" ca="1" si="0"/>
        <v>41786</v>
      </c>
      <c r="V4" s="592">
        <f t="shared" ca="1" si="0"/>
        <v>41787</v>
      </c>
      <c r="W4" s="592">
        <f t="shared" ca="1" si="0"/>
        <v>41788</v>
      </c>
      <c r="X4" s="592">
        <f t="shared" ca="1" si="0"/>
        <v>41789</v>
      </c>
      <c r="Y4" s="593">
        <f t="shared" ca="1" si="0"/>
        <v>41790</v>
      </c>
      <c r="Z4" s="593">
        <f t="shared" ca="1" si="0"/>
        <v>41791</v>
      </c>
      <c r="AA4" s="592">
        <f t="shared" ca="1" si="0"/>
        <v>41792</v>
      </c>
      <c r="AB4" s="592">
        <f t="shared" ca="1" si="0"/>
        <v>41793</v>
      </c>
      <c r="AC4" s="592">
        <f t="shared" ca="1" si="0"/>
        <v>41794</v>
      </c>
      <c r="AD4" s="592">
        <f t="shared" ca="1" si="0"/>
        <v>41795</v>
      </c>
      <c r="AE4" s="592">
        <f t="shared" ca="1" si="0"/>
        <v>41796</v>
      </c>
      <c r="AF4" s="593">
        <f t="shared" ca="1" si="0"/>
        <v>41797</v>
      </c>
      <c r="AG4" s="593">
        <f t="shared" ca="1" si="0"/>
        <v>41798</v>
      </c>
      <c r="AH4" s="592">
        <f t="shared" ref="AH4:BI4" ca="1" si="1">AG4+1</f>
        <v>41799</v>
      </c>
      <c r="AI4" s="592">
        <f t="shared" ca="1" si="1"/>
        <v>41800</v>
      </c>
      <c r="AJ4" s="592">
        <f t="shared" ca="1" si="1"/>
        <v>41801</v>
      </c>
      <c r="AK4" s="592">
        <f t="shared" ca="1" si="1"/>
        <v>41802</v>
      </c>
      <c r="AL4" s="592">
        <f t="shared" ca="1" si="1"/>
        <v>41803</v>
      </c>
      <c r="AM4" s="593">
        <f t="shared" ca="1" si="1"/>
        <v>41804</v>
      </c>
      <c r="AN4" s="593">
        <f t="shared" ca="1" si="1"/>
        <v>41805</v>
      </c>
      <c r="AO4" s="592">
        <f t="shared" ca="1" si="1"/>
        <v>41806</v>
      </c>
      <c r="AP4" s="592">
        <f t="shared" ca="1" si="1"/>
        <v>41807</v>
      </c>
      <c r="AQ4" s="592">
        <f t="shared" ca="1" si="1"/>
        <v>41808</v>
      </c>
      <c r="AR4" s="592">
        <f t="shared" ca="1" si="1"/>
        <v>41809</v>
      </c>
      <c r="AS4" s="592">
        <f t="shared" ca="1" si="1"/>
        <v>41810</v>
      </c>
      <c r="AT4" s="593">
        <f t="shared" ca="1" si="1"/>
        <v>41811</v>
      </c>
      <c r="AU4" s="593">
        <f t="shared" ca="1" si="1"/>
        <v>41812</v>
      </c>
      <c r="AV4" s="592">
        <f t="shared" ca="1" si="1"/>
        <v>41813</v>
      </c>
      <c r="AW4" s="592">
        <f t="shared" ca="1" si="1"/>
        <v>41814</v>
      </c>
      <c r="AX4" s="592">
        <f t="shared" ca="1" si="1"/>
        <v>41815</v>
      </c>
      <c r="AY4" s="592">
        <f t="shared" ca="1" si="1"/>
        <v>41816</v>
      </c>
      <c r="AZ4" s="592">
        <f t="shared" ca="1" si="1"/>
        <v>41817</v>
      </c>
      <c r="BA4" s="593">
        <f t="shared" ca="1" si="1"/>
        <v>41818</v>
      </c>
      <c r="BB4" s="593">
        <f t="shared" ca="1" si="1"/>
        <v>41819</v>
      </c>
      <c r="BC4" s="592">
        <f t="shared" ca="1" si="1"/>
        <v>41820</v>
      </c>
      <c r="BD4" s="592">
        <f t="shared" ca="1" si="1"/>
        <v>41821</v>
      </c>
      <c r="BE4" s="592">
        <f t="shared" ca="1" si="1"/>
        <v>41822</v>
      </c>
      <c r="BF4" s="592">
        <f t="shared" ca="1" si="1"/>
        <v>41823</v>
      </c>
      <c r="BG4" s="592">
        <f t="shared" ca="1" si="1"/>
        <v>41824</v>
      </c>
      <c r="BH4" s="593">
        <f t="shared" ca="1" si="1"/>
        <v>41825</v>
      </c>
      <c r="BI4" s="593">
        <f t="shared" ca="1" si="1"/>
        <v>41826</v>
      </c>
    </row>
    <row r="5" spans="1:61" ht="15.75">
      <c r="A5" s="603" t="s">
        <v>0</v>
      </c>
      <c r="B5" s="604" t="s">
        <v>57</v>
      </c>
      <c r="C5" s="604" t="s">
        <v>172</v>
      </c>
      <c r="D5" s="604"/>
      <c r="E5" s="75"/>
      <c r="F5" s="75"/>
      <c r="G5" s="75"/>
      <c r="H5" s="75"/>
      <c r="I5" s="75"/>
      <c r="J5" s="75"/>
      <c r="K5" s="596"/>
      <c r="L5" s="596"/>
      <c r="M5" s="75"/>
      <c r="N5" s="75"/>
      <c r="O5" s="75"/>
      <c r="P5" s="75"/>
      <c r="Q5" s="75"/>
      <c r="R5" s="597"/>
      <c r="S5" s="597"/>
      <c r="T5" s="75"/>
      <c r="U5" s="75"/>
      <c r="V5" s="75"/>
      <c r="W5" s="75"/>
      <c r="X5" s="75"/>
      <c r="Y5" s="597"/>
      <c r="Z5" s="597"/>
      <c r="AA5" s="75"/>
      <c r="AB5" s="75"/>
      <c r="AC5" s="75"/>
      <c r="AD5" s="75"/>
      <c r="AE5" s="75"/>
      <c r="AF5" s="597"/>
      <c r="AG5" s="597"/>
      <c r="AH5" s="75"/>
      <c r="AI5" s="75"/>
      <c r="AJ5" s="75"/>
      <c r="AK5" s="75"/>
      <c r="AL5" s="75"/>
      <c r="AM5" s="597"/>
      <c r="AN5" s="597"/>
      <c r="AO5" s="75"/>
      <c r="AP5" s="75"/>
      <c r="AQ5" s="75"/>
      <c r="AR5" s="75"/>
      <c r="AS5" s="75"/>
      <c r="AT5" s="597"/>
      <c r="AU5" s="597"/>
      <c r="AV5" s="75"/>
      <c r="AW5" s="75"/>
      <c r="AX5" s="75"/>
      <c r="AY5" s="75"/>
      <c r="AZ5" s="75"/>
      <c r="BA5" s="597"/>
      <c r="BB5" s="597"/>
      <c r="BC5" s="75"/>
      <c r="BD5" s="75"/>
      <c r="BE5" s="75"/>
      <c r="BF5" s="75"/>
      <c r="BG5" s="75"/>
      <c r="BH5" s="597"/>
      <c r="BI5" s="597"/>
    </row>
    <row r="6" spans="1:61" ht="15.75">
      <c r="A6" s="605" t="s">
        <v>468</v>
      </c>
      <c r="B6" s="606" t="s">
        <v>0</v>
      </c>
      <c r="C6" s="606" t="s">
        <v>0</v>
      </c>
      <c r="D6" s="606"/>
      <c r="E6" s="601">
        <f ca="1">IF($C6&gt;=$A$3,0,1)</f>
        <v>0</v>
      </c>
      <c r="F6" s="145" t="s">
        <v>0</v>
      </c>
      <c r="G6" s="40"/>
      <c r="H6" s="40"/>
      <c r="I6" s="40"/>
      <c r="J6" s="40"/>
      <c r="K6" s="598"/>
      <c r="L6" s="598"/>
      <c r="M6" s="40"/>
      <c r="N6" s="40"/>
      <c r="O6" s="40"/>
      <c r="P6" s="40"/>
      <c r="Q6" s="40"/>
      <c r="R6" s="599"/>
      <c r="S6" s="599"/>
      <c r="T6" s="40"/>
      <c r="U6" s="40"/>
      <c r="V6" s="40"/>
      <c r="W6" s="40"/>
      <c r="X6" s="40"/>
      <c r="Y6" s="599"/>
      <c r="Z6" s="599"/>
      <c r="AA6" s="40"/>
      <c r="AB6" s="40"/>
      <c r="AC6" s="40"/>
      <c r="AD6" s="40"/>
      <c r="AE6" s="40"/>
      <c r="AF6" s="599"/>
      <c r="AG6" s="599"/>
      <c r="AH6" s="40"/>
      <c r="AI6" s="40"/>
      <c r="AJ6" s="40"/>
      <c r="AK6" s="40"/>
      <c r="AL6" s="40"/>
      <c r="AM6" s="599"/>
      <c r="AN6" s="599"/>
      <c r="AO6" s="40"/>
      <c r="AP6" s="40"/>
      <c r="AQ6" s="40"/>
      <c r="AR6" s="40"/>
      <c r="AS6" s="40"/>
      <c r="AT6" s="599"/>
      <c r="AU6" s="599"/>
      <c r="AV6" s="40"/>
      <c r="AW6" s="40"/>
      <c r="AX6" s="40"/>
      <c r="AY6" s="40"/>
      <c r="AZ6" s="40"/>
      <c r="BA6" s="599"/>
      <c r="BB6" s="599"/>
      <c r="BC6" s="40"/>
      <c r="BD6" s="40"/>
      <c r="BE6" s="40"/>
      <c r="BF6" s="40"/>
      <c r="BG6" s="40"/>
      <c r="BH6" s="599"/>
      <c r="BI6" s="599"/>
    </row>
    <row r="7" spans="1:61" s="23" customFormat="1" ht="15.75">
      <c r="A7" s="648" t="s">
        <v>428</v>
      </c>
      <c r="B7" s="607">
        <f>S.QtimeStart</f>
        <v>0</v>
      </c>
      <c r="C7" s="607">
        <f>S.QtimeEnd</f>
        <v>41792</v>
      </c>
      <c r="D7" s="607"/>
      <c r="E7" s="601">
        <f t="shared" ref="E7:E57" ca="1" si="2">IF($C7&gt;=$A$3,0,1)</f>
        <v>0</v>
      </c>
      <c r="F7" s="40"/>
      <c r="G7" s="40"/>
      <c r="H7" s="40"/>
      <c r="I7" s="40"/>
      <c r="J7" s="40"/>
      <c r="K7" s="598"/>
      <c r="L7" s="598"/>
      <c r="M7" s="40"/>
      <c r="N7" s="40"/>
      <c r="O7" s="40"/>
      <c r="P7" s="40"/>
      <c r="Q7" s="40"/>
      <c r="R7" s="599"/>
      <c r="S7" s="599"/>
      <c r="T7" s="40"/>
      <c r="U7" s="40"/>
      <c r="V7" s="40"/>
      <c r="W7" s="40"/>
      <c r="X7" s="40"/>
      <c r="Y7" s="599"/>
      <c r="Z7" s="599"/>
      <c r="AA7" s="40"/>
      <c r="AB7" s="40"/>
      <c r="AC7" s="40"/>
      <c r="AD7" s="40"/>
      <c r="AE7" s="40"/>
      <c r="AF7" s="599"/>
      <c r="AG7" s="599"/>
      <c r="AH7" s="40"/>
      <c r="AI7" s="40"/>
      <c r="AJ7" s="40"/>
      <c r="AK7" s="40"/>
      <c r="AL7" s="40"/>
      <c r="AM7" s="599"/>
      <c r="AN7" s="599"/>
      <c r="AO7" s="40"/>
      <c r="AP7" s="40"/>
      <c r="AQ7" s="40"/>
      <c r="AR7" s="40"/>
      <c r="AS7" s="40"/>
      <c r="AT7" s="599"/>
      <c r="AU7" s="599"/>
      <c r="AV7" s="40"/>
      <c r="AW7" s="40"/>
      <c r="AX7" s="40"/>
      <c r="AY7" s="40"/>
      <c r="AZ7" s="40"/>
      <c r="BA7" s="599"/>
      <c r="BB7" s="599"/>
      <c r="BC7" s="40"/>
      <c r="BD7" s="40"/>
      <c r="BE7" s="40"/>
      <c r="BF7" s="40"/>
      <c r="BG7" s="40"/>
      <c r="BH7" s="599"/>
      <c r="BI7" s="599"/>
    </row>
    <row r="8" spans="1:61" s="23" customFormat="1" ht="15.75">
      <c r="A8" s="648" t="s">
        <v>429</v>
      </c>
      <c r="B8" s="607">
        <f>S.Planning.AddConceptToPlanDate</f>
        <v>41792</v>
      </c>
      <c r="C8" s="607">
        <f>B8</f>
        <v>41792</v>
      </c>
      <c r="D8" s="607"/>
      <c r="E8" s="601">
        <f t="shared" ca="1" si="2"/>
        <v>0</v>
      </c>
      <c r="F8" s="40"/>
      <c r="G8" s="40"/>
      <c r="H8" s="40"/>
      <c r="I8" s="40"/>
      <c r="J8" s="40"/>
      <c r="K8" s="598"/>
      <c r="L8" s="598"/>
      <c r="M8" s="40"/>
      <c r="N8" s="40"/>
      <c r="O8" s="40"/>
      <c r="P8" s="40"/>
      <c r="Q8" s="40"/>
      <c r="R8" s="599"/>
      <c r="S8" s="599"/>
      <c r="T8" s="40"/>
      <c r="U8" s="40"/>
      <c r="V8" s="40"/>
      <c r="W8" s="40"/>
      <c r="X8" s="40"/>
      <c r="Y8" s="599"/>
      <c r="Z8" s="599"/>
      <c r="AA8" s="40"/>
      <c r="AB8" s="40"/>
      <c r="AC8" s="40"/>
      <c r="AD8" s="40"/>
      <c r="AE8" s="40"/>
      <c r="AF8" s="599"/>
      <c r="AG8" s="599"/>
      <c r="AH8" s="40"/>
      <c r="AI8" s="40"/>
      <c r="AJ8" s="40"/>
      <c r="AK8" s="40"/>
      <c r="AL8" s="40"/>
      <c r="AM8" s="599"/>
      <c r="AN8" s="599"/>
      <c r="AO8" s="40"/>
      <c r="AP8" s="40"/>
      <c r="AQ8" s="40"/>
      <c r="AR8" s="40"/>
      <c r="AS8" s="40"/>
      <c r="AT8" s="599"/>
      <c r="AU8" s="599"/>
      <c r="AV8" s="40"/>
      <c r="AW8" s="40"/>
      <c r="AX8" s="40"/>
      <c r="AY8" s="40"/>
      <c r="AZ8" s="40"/>
      <c r="BA8" s="599"/>
      <c r="BB8" s="599"/>
      <c r="BC8" s="40"/>
      <c r="BD8" s="40"/>
      <c r="BE8" s="40"/>
      <c r="BF8" s="40"/>
      <c r="BG8" s="40"/>
      <c r="BH8" s="599"/>
      <c r="BI8" s="599"/>
    </row>
    <row r="9" spans="1:61" ht="15.75">
      <c r="A9" s="648" t="s">
        <v>430</v>
      </c>
      <c r="B9" s="607">
        <f>S.PlanningKickoff</f>
        <v>41792</v>
      </c>
      <c r="C9" s="607">
        <f>B9</f>
        <v>41792</v>
      </c>
      <c r="D9" s="607"/>
      <c r="E9" s="601">
        <f t="shared" ca="1" si="2"/>
        <v>0</v>
      </c>
      <c r="F9" s="40"/>
      <c r="G9" s="40"/>
      <c r="H9" s="40"/>
      <c r="I9" s="40"/>
      <c r="J9" s="40"/>
      <c r="K9" s="598"/>
      <c r="L9" s="598"/>
      <c r="M9" s="40"/>
      <c r="N9" s="40"/>
      <c r="O9" s="40"/>
      <c r="P9" s="40"/>
      <c r="Q9" s="40"/>
      <c r="R9" s="599"/>
      <c r="S9" s="599"/>
      <c r="T9" s="40"/>
      <c r="U9" s="40"/>
      <c r="V9" s="40"/>
      <c r="W9" s="40"/>
      <c r="X9" s="40"/>
      <c r="Y9" s="599"/>
      <c r="Z9" s="599"/>
      <c r="AA9" s="40"/>
      <c r="AB9" s="40"/>
      <c r="AC9" s="40"/>
      <c r="AD9" s="40"/>
      <c r="AE9" s="40"/>
      <c r="AF9" s="599"/>
      <c r="AG9" s="599"/>
      <c r="AH9" s="40"/>
      <c r="AI9" s="40"/>
      <c r="AJ9" s="40"/>
      <c r="AK9" s="40"/>
      <c r="AL9" s="40"/>
      <c r="AM9" s="599"/>
      <c r="AN9" s="599"/>
      <c r="AO9" s="40"/>
      <c r="AP9" s="40"/>
      <c r="AQ9" s="40"/>
      <c r="AR9" s="40"/>
      <c r="AS9" s="40"/>
      <c r="AT9" s="599"/>
      <c r="AU9" s="599"/>
      <c r="AV9" s="40"/>
      <c r="AW9" s="40"/>
      <c r="AX9" s="40"/>
      <c r="AY9" s="40"/>
      <c r="AZ9" s="40"/>
      <c r="BA9" s="599"/>
      <c r="BB9" s="599"/>
      <c r="BC9" s="40"/>
      <c r="BD9" s="40"/>
      <c r="BE9" s="40"/>
      <c r="BF9" s="40"/>
      <c r="BG9" s="40"/>
      <c r="BH9" s="599"/>
      <c r="BI9" s="599"/>
    </row>
    <row r="10" spans="1:61" ht="15.75">
      <c r="A10" s="608" t="s">
        <v>431</v>
      </c>
      <c r="B10" s="607" t="s">
        <v>0</v>
      </c>
      <c r="C10" s="607" t="s">
        <v>0</v>
      </c>
      <c r="D10" s="607"/>
      <c r="E10" s="601">
        <f t="shared" ca="1" si="2"/>
        <v>0</v>
      </c>
      <c r="F10" s="40"/>
      <c r="G10" s="40"/>
      <c r="H10" s="40"/>
      <c r="I10" s="40"/>
      <c r="J10" s="600"/>
      <c r="K10" s="598"/>
      <c r="L10" s="598"/>
      <c r="M10" s="40"/>
      <c r="N10" s="40"/>
      <c r="O10" s="40"/>
      <c r="P10" s="40"/>
      <c r="Q10" s="40"/>
      <c r="R10" s="599"/>
      <c r="S10" s="599"/>
      <c r="T10" s="40"/>
      <c r="U10" s="40"/>
      <c r="V10" s="40"/>
      <c r="W10" s="40"/>
      <c r="X10" s="40"/>
      <c r="Y10" s="599"/>
      <c r="Z10" s="599"/>
      <c r="AA10" s="40"/>
      <c r="AB10" s="40"/>
      <c r="AC10" s="40"/>
      <c r="AD10" s="40"/>
      <c r="AE10" s="40"/>
      <c r="AF10" s="599"/>
      <c r="AG10" s="599"/>
      <c r="AH10" s="40"/>
      <c r="AI10" s="40"/>
      <c r="AJ10" s="40"/>
      <c r="AK10" s="40"/>
      <c r="AL10" s="40"/>
      <c r="AM10" s="599"/>
      <c r="AN10" s="599"/>
      <c r="AO10" s="40"/>
      <c r="AP10" s="40"/>
      <c r="AQ10" s="40"/>
      <c r="AR10" s="40"/>
      <c r="AS10" s="40"/>
      <c r="AT10" s="599"/>
      <c r="AU10" s="599"/>
      <c r="AV10" s="40"/>
      <c r="AW10" s="40"/>
      <c r="AX10" s="40"/>
      <c r="AY10" s="40"/>
      <c r="AZ10" s="40"/>
      <c r="BA10" s="599"/>
      <c r="BB10" s="599"/>
      <c r="BC10" s="40"/>
      <c r="BD10" s="40"/>
      <c r="BE10" s="40"/>
      <c r="BF10" s="40"/>
      <c r="BG10" s="40"/>
      <c r="BH10" s="599"/>
      <c r="BI10" s="599"/>
    </row>
    <row r="11" spans="1:61" s="23" customFormat="1" ht="15.75">
      <c r="A11" s="648" t="s">
        <v>432</v>
      </c>
      <c r="B11" s="607">
        <f>S.Planning.DraftWorkbooksStart</f>
        <v>41792</v>
      </c>
      <c r="C11" s="607">
        <f>S.Planning.DraftWorkbooksEnd</f>
        <v>41792</v>
      </c>
      <c r="D11" s="607"/>
      <c r="E11" s="601">
        <f t="shared" ca="1" si="2"/>
        <v>0</v>
      </c>
      <c r="F11" s="40"/>
      <c r="G11" s="40"/>
      <c r="H11" s="40"/>
      <c r="I11" s="40"/>
      <c r="J11" s="40"/>
      <c r="K11" s="598"/>
      <c r="L11" s="598"/>
      <c r="M11" s="40"/>
      <c r="N11" s="40"/>
      <c r="O11" s="40"/>
      <c r="P11" s="40"/>
      <c r="Q11" s="40"/>
      <c r="R11" s="599"/>
      <c r="S11" s="599"/>
      <c r="T11" s="40"/>
      <c r="U11" s="40"/>
      <c r="V11" s="40"/>
      <c r="W11" s="40"/>
      <c r="X11" s="40"/>
      <c r="Y11" s="599"/>
      <c r="Z11" s="599"/>
      <c r="AA11" s="40"/>
      <c r="AB11" s="40"/>
      <c r="AC11" s="40"/>
      <c r="AD11" s="40"/>
      <c r="AE11" s="40"/>
      <c r="AF11" s="599"/>
      <c r="AG11" s="599"/>
      <c r="AH11" s="40"/>
      <c r="AI11" s="40"/>
      <c r="AJ11" s="40"/>
      <c r="AK11" s="40"/>
      <c r="AL11" s="40"/>
      <c r="AM11" s="599"/>
      <c r="AN11" s="599"/>
      <c r="AO11" s="40"/>
      <c r="AP11" s="40"/>
      <c r="AQ11" s="40"/>
      <c r="AR11" s="40"/>
      <c r="AS11" s="40"/>
      <c r="AT11" s="599"/>
      <c r="AU11" s="599"/>
      <c r="AV11" s="40"/>
      <c r="AW11" s="40"/>
      <c r="AX11" s="40"/>
      <c r="AY11" s="40"/>
      <c r="AZ11" s="40"/>
      <c r="BA11" s="599"/>
      <c r="BB11" s="599"/>
      <c r="BC11" s="40"/>
      <c r="BD11" s="40"/>
      <c r="BE11" s="40"/>
      <c r="BF11" s="40"/>
      <c r="BG11" s="40"/>
      <c r="BH11" s="599"/>
      <c r="BI11" s="599"/>
    </row>
    <row r="12" spans="1:61" ht="15.75">
      <c r="A12" s="648" t="s">
        <v>433</v>
      </c>
      <c r="B12" s="607">
        <f>S.Planning.CommunicationMeeting</f>
        <v>41792</v>
      </c>
      <c r="C12" s="607">
        <f>B12</f>
        <v>41792</v>
      </c>
      <c r="D12" s="607"/>
      <c r="E12" s="601">
        <f t="shared" ca="1" si="2"/>
        <v>0</v>
      </c>
      <c r="F12" s="40"/>
      <c r="G12" s="40"/>
      <c r="H12" s="40"/>
      <c r="I12" s="40"/>
      <c r="J12" s="40"/>
      <c r="K12" s="598"/>
      <c r="L12" s="598"/>
      <c r="M12" s="40"/>
      <c r="N12" s="40"/>
      <c r="O12" s="40"/>
      <c r="P12" s="40"/>
      <c r="Q12" s="40"/>
      <c r="R12" s="599"/>
      <c r="S12" s="599"/>
      <c r="T12" s="40"/>
      <c r="U12" s="40"/>
      <c r="V12" s="40"/>
      <c r="W12" s="40"/>
      <c r="X12" s="40"/>
      <c r="Y12" s="599"/>
      <c r="Z12" s="599"/>
      <c r="AA12" s="40"/>
      <c r="AB12" s="40"/>
      <c r="AC12" s="40"/>
      <c r="AD12" s="40"/>
      <c r="AE12" s="40"/>
      <c r="AF12" s="599"/>
      <c r="AG12" s="599"/>
      <c r="AH12" s="40"/>
      <c r="AI12" s="40"/>
      <c r="AJ12" s="40"/>
      <c r="AK12" s="40"/>
      <c r="AL12" s="40"/>
      <c r="AM12" s="599"/>
      <c r="AN12" s="599"/>
      <c r="AO12" s="40"/>
      <c r="AP12" s="40"/>
      <c r="AQ12" s="40"/>
      <c r="AR12" s="40"/>
      <c r="AS12" s="40"/>
      <c r="AT12" s="599"/>
      <c r="AU12" s="599"/>
      <c r="AV12" s="40"/>
      <c r="AW12" s="40"/>
      <c r="AX12" s="40"/>
      <c r="AY12" s="40"/>
      <c r="AZ12" s="40"/>
      <c r="BA12" s="599"/>
      <c r="BB12" s="599"/>
      <c r="BC12" s="40"/>
      <c r="BD12" s="40"/>
      <c r="BE12" s="40"/>
      <c r="BF12" s="40"/>
      <c r="BG12" s="40"/>
      <c r="BH12" s="599"/>
      <c r="BI12" s="599"/>
    </row>
    <row r="13" spans="1:61" s="23" customFormat="1" ht="15.75">
      <c r="A13" s="605" t="s">
        <v>470</v>
      </c>
      <c r="B13" s="607">
        <f>S.DIRECTOR.Approves.ForDEQRulemakingPlan</f>
        <v>41792</v>
      </c>
      <c r="C13" s="607">
        <f>S.Overview.BANNER.End</f>
        <v>42080</v>
      </c>
      <c r="D13" s="607"/>
      <c r="E13" s="601">
        <f t="shared" ca="1" si="2"/>
        <v>0</v>
      </c>
      <c r="F13" s="40"/>
      <c r="G13" s="40"/>
      <c r="H13" s="40"/>
      <c r="I13" s="40"/>
      <c r="J13" s="40"/>
      <c r="K13" s="598"/>
      <c r="L13" s="598"/>
      <c r="M13" s="40"/>
      <c r="N13" s="40"/>
      <c r="O13" s="40"/>
      <c r="P13" s="40"/>
      <c r="Q13" s="40"/>
      <c r="R13" s="599"/>
      <c r="S13" s="599"/>
      <c r="T13" s="40"/>
      <c r="U13" s="40"/>
      <c r="V13" s="40"/>
      <c r="W13" s="40"/>
      <c r="X13" s="40"/>
      <c r="Y13" s="599"/>
      <c r="Z13" s="599"/>
      <c r="AA13" s="40"/>
      <c r="AB13" s="40"/>
      <c r="AC13" s="40"/>
      <c r="AD13" s="40"/>
      <c r="AE13" s="40"/>
      <c r="AF13" s="599"/>
      <c r="AG13" s="599"/>
      <c r="AH13" s="40"/>
      <c r="AI13" s="40"/>
      <c r="AJ13" s="40"/>
      <c r="AK13" s="40"/>
      <c r="AL13" s="40"/>
      <c r="AM13" s="599"/>
      <c r="AN13" s="599"/>
      <c r="AO13" s="40"/>
      <c r="AP13" s="40"/>
      <c r="AQ13" s="40"/>
      <c r="AR13" s="40"/>
      <c r="AS13" s="40"/>
      <c r="AT13" s="599"/>
      <c r="AU13" s="599"/>
      <c r="AV13" s="40"/>
      <c r="AW13" s="40"/>
      <c r="AX13" s="40"/>
      <c r="AY13" s="40"/>
      <c r="AZ13" s="40"/>
      <c r="BA13" s="599"/>
      <c r="BB13" s="599"/>
      <c r="BC13" s="40"/>
      <c r="BD13" s="40"/>
      <c r="BE13" s="40"/>
      <c r="BF13" s="40"/>
      <c r="BG13" s="40"/>
      <c r="BH13" s="599"/>
      <c r="BI13" s="599"/>
    </row>
    <row r="14" spans="1:61" s="23" customFormat="1" ht="15.75">
      <c r="A14" s="648" t="s">
        <v>471</v>
      </c>
      <c r="B14" s="607">
        <f>CodeName.ScheduleOfTasks!G272</f>
        <v>0</v>
      </c>
      <c r="C14" s="607">
        <f>CodeName.ScheduleOfTasks!H272</f>
        <v>0</v>
      </c>
      <c r="D14" s="607"/>
      <c r="E14" s="601">
        <f t="shared" ca="1" si="2"/>
        <v>1</v>
      </c>
      <c r="F14" s="40"/>
      <c r="G14" s="40"/>
      <c r="H14" s="40"/>
      <c r="I14" s="40"/>
      <c r="J14" s="40"/>
      <c r="K14" s="598"/>
      <c r="L14" s="598"/>
      <c r="M14" s="40"/>
      <c r="N14" s="40"/>
      <c r="O14" s="40"/>
      <c r="P14" s="40"/>
      <c r="Q14" s="40"/>
      <c r="R14" s="599"/>
      <c r="S14" s="599"/>
      <c r="T14" s="40"/>
      <c r="U14" s="40"/>
      <c r="V14" s="40"/>
      <c r="W14" s="40"/>
      <c r="X14" s="40"/>
      <c r="Y14" s="599"/>
      <c r="Z14" s="599"/>
      <c r="AA14" s="40"/>
      <c r="AB14" s="40"/>
      <c r="AC14" s="40"/>
      <c r="AD14" s="40"/>
      <c r="AE14" s="40"/>
      <c r="AF14" s="599"/>
      <c r="AG14" s="599"/>
      <c r="AH14" s="40"/>
      <c r="AI14" s="40"/>
      <c r="AJ14" s="40"/>
      <c r="AK14" s="40"/>
      <c r="AL14" s="40"/>
      <c r="AM14" s="599"/>
      <c r="AN14" s="599"/>
      <c r="AO14" s="40"/>
      <c r="AP14" s="40"/>
      <c r="AQ14" s="40"/>
      <c r="AR14" s="40"/>
      <c r="AS14" s="40"/>
      <c r="AT14" s="599"/>
      <c r="AU14" s="599"/>
      <c r="AV14" s="40"/>
      <c r="AW14" s="40"/>
      <c r="AX14" s="40"/>
      <c r="AY14" s="40"/>
      <c r="AZ14" s="40"/>
      <c r="BA14" s="599"/>
      <c r="BB14" s="599"/>
      <c r="BC14" s="40"/>
      <c r="BD14" s="40"/>
      <c r="BE14" s="40"/>
      <c r="BF14" s="40"/>
      <c r="BG14" s="40"/>
      <c r="BH14" s="599"/>
      <c r="BI14" s="599"/>
    </row>
    <row r="15" spans="1:61" s="23" customFormat="1" ht="15.75">
      <c r="A15" s="648" t="s">
        <v>472</v>
      </c>
      <c r="B15" s="607">
        <f>S.Notice.StartDraft</f>
        <v>41792</v>
      </c>
      <c r="C15" s="607">
        <f>CodeName.ScheduleOfTasks!H600</f>
        <v>0</v>
      </c>
      <c r="D15" s="607"/>
      <c r="E15" s="601">
        <f t="shared" ca="1" si="2"/>
        <v>1</v>
      </c>
      <c r="F15" s="40"/>
      <c r="G15" s="40"/>
      <c r="H15" s="40"/>
      <c r="I15" s="40"/>
      <c r="J15" s="40"/>
      <c r="K15" s="598"/>
      <c r="L15" s="598"/>
      <c r="M15" s="40"/>
      <c r="N15" s="40"/>
      <c r="O15" s="40"/>
      <c r="P15" s="40"/>
      <c r="Q15" s="40"/>
      <c r="R15" s="599"/>
      <c r="S15" s="599"/>
      <c r="T15" s="40"/>
      <c r="U15" s="40"/>
      <c r="V15" s="40"/>
      <c r="W15" s="40"/>
      <c r="X15" s="40"/>
      <c r="Y15" s="599"/>
      <c r="Z15" s="599"/>
      <c r="AA15" s="40"/>
      <c r="AB15" s="40"/>
      <c r="AC15" s="40"/>
      <c r="AD15" s="40"/>
      <c r="AE15" s="40"/>
      <c r="AF15" s="599"/>
      <c r="AG15" s="599"/>
      <c r="AH15" s="40"/>
      <c r="AI15" s="40"/>
      <c r="AJ15" s="40"/>
      <c r="AK15" s="40"/>
      <c r="AL15" s="40"/>
      <c r="AM15" s="599"/>
      <c r="AN15" s="599"/>
      <c r="AO15" s="40"/>
      <c r="AP15" s="40"/>
      <c r="AQ15" s="40"/>
      <c r="AR15" s="40"/>
      <c r="AS15" s="40"/>
      <c r="AT15" s="599"/>
      <c r="AU15" s="599"/>
      <c r="AV15" s="40"/>
      <c r="AW15" s="40"/>
      <c r="AX15" s="40"/>
      <c r="AY15" s="40"/>
      <c r="AZ15" s="40"/>
      <c r="BA15" s="599"/>
      <c r="BB15" s="599"/>
      <c r="BC15" s="40"/>
      <c r="BD15" s="40"/>
      <c r="BE15" s="40"/>
      <c r="BF15" s="40"/>
      <c r="BG15" s="40"/>
      <c r="BH15" s="599"/>
      <c r="BI15" s="599"/>
    </row>
    <row r="16" spans="1:61" s="23" customFormat="1" ht="15.75">
      <c r="A16" s="648" t="s">
        <v>473</v>
      </c>
      <c r="B16" s="607">
        <f>CodeName.ScheduleOfTasks!G751</f>
        <v>0</v>
      </c>
      <c r="C16" s="607">
        <f>CodeName.ScheduleOfTasks!H751</f>
        <v>0</v>
      </c>
      <c r="D16" s="607"/>
      <c r="E16" s="601">
        <f t="shared" ca="1" si="2"/>
        <v>1</v>
      </c>
      <c r="F16" s="40"/>
      <c r="G16" s="40"/>
      <c r="H16" s="40"/>
      <c r="I16" s="40"/>
      <c r="J16" s="40"/>
      <c r="K16" s="598"/>
      <c r="L16" s="598"/>
      <c r="M16" s="40"/>
      <c r="N16" s="40"/>
      <c r="O16" s="40"/>
      <c r="P16" s="40"/>
      <c r="Q16" s="40"/>
      <c r="R16" s="599"/>
      <c r="S16" s="599"/>
      <c r="T16" s="40"/>
      <c r="U16" s="40"/>
      <c r="V16" s="40"/>
      <c r="W16" s="40"/>
      <c r="X16" s="40"/>
      <c r="Y16" s="599"/>
      <c r="Z16" s="599"/>
      <c r="AA16" s="40"/>
      <c r="AB16" s="40"/>
      <c r="AC16" s="40"/>
      <c r="AD16" s="40"/>
      <c r="AE16" s="40"/>
      <c r="AF16" s="599"/>
      <c r="AG16" s="599"/>
      <c r="AH16" s="40"/>
      <c r="AI16" s="40"/>
      <c r="AJ16" s="40"/>
      <c r="AK16" s="40"/>
      <c r="AL16" s="40"/>
      <c r="AM16" s="599"/>
      <c r="AN16" s="599"/>
      <c r="AO16" s="40"/>
      <c r="AP16" s="40"/>
      <c r="AQ16" s="40"/>
      <c r="AR16" s="40"/>
      <c r="AS16" s="40"/>
      <c r="AT16" s="599"/>
      <c r="AU16" s="599"/>
      <c r="AV16" s="40"/>
      <c r="AW16" s="40"/>
      <c r="AX16" s="40"/>
      <c r="AY16" s="40"/>
      <c r="AZ16" s="40"/>
      <c r="BA16" s="599"/>
      <c r="BB16" s="599"/>
      <c r="BC16" s="40"/>
      <c r="BD16" s="40"/>
      <c r="BE16" s="40"/>
      <c r="BF16" s="40"/>
      <c r="BG16" s="40"/>
      <c r="BH16" s="599"/>
      <c r="BI16" s="599"/>
    </row>
    <row r="17" spans="1:61" s="23" customFormat="1" ht="15.75">
      <c r="A17" s="648" t="s">
        <v>474</v>
      </c>
      <c r="B17" s="607">
        <f>CodeName.ScheduleOfTasks!H810</f>
        <v>0</v>
      </c>
      <c r="C17" s="607">
        <f>B17</f>
        <v>0</v>
      </c>
      <c r="D17" s="607"/>
      <c r="E17" s="601">
        <f t="shared" ca="1" si="2"/>
        <v>1</v>
      </c>
      <c r="F17" s="40"/>
      <c r="G17" s="40"/>
      <c r="H17" s="40"/>
      <c r="I17" s="40"/>
      <c r="J17" s="40"/>
      <c r="K17" s="598"/>
      <c r="L17" s="598"/>
      <c r="M17" s="40"/>
      <c r="N17" s="40"/>
      <c r="O17" s="40"/>
      <c r="P17" s="40"/>
      <c r="Q17" s="40"/>
      <c r="R17" s="599"/>
      <c r="S17" s="599"/>
      <c r="T17" s="40"/>
      <c r="U17" s="40"/>
      <c r="V17" s="40"/>
      <c r="W17" s="40"/>
      <c r="X17" s="40"/>
      <c r="Y17" s="599"/>
      <c r="Z17" s="599"/>
      <c r="AA17" s="40"/>
      <c r="AB17" s="40"/>
      <c r="AC17" s="40"/>
      <c r="AD17" s="40"/>
      <c r="AE17" s="40"/>
      <c r="AF17" s="599"/>
      <c r="AG17" s="599"/>
      <c r="AH17" s="40"/>
      <c r="AI17" s="40"/>
      <c r="AJ17" s="40"/>
      <c r="AK17" s="40"/>
      <c r="AL17" s="40"/>
      <c r="AM17" s="599"/>
      <c r="AN17" s="599"/>
      <c r="AO17" s="40"/>
      <c r="AP17" s="40"/>
      <c r="AQ17" s="40"/>
      <c r="AR17" s="40"/>
      <c r="AS17" s="40"/>
      <c r="AT17" s="599"/>
      <c r="AU17" s="599"/>
      <c r="AV17" s="40"/>
      <c r="AW17" s="40"/>
      <c r="AX17" s="40"/>
      <c r="AY17" s="40"/>
      <c r="AZ17" s="40"/>
      <c r="BA17" s="599"/>
      <c r="BB17" s="599"/>
      <c r="BC17" s="40"/>
      <c r="BD17" s="40"/>
      <c r="BE17" s="40"/>
      <c r="BF17" s="40"/>
      <c r="BG17" s="40"/>
      <c r="BH17" s="599"/>
      <c r="BI17" s="599"/>
    </row>
    <row r="18" spans="1:61" ht="15.75">
      <c r="A18" s="605" t="s">
        <v>434</v>
      </c>
      <c r="B18"/>
      <c r="C18"/>
      <c r="E18" s="601">
        <f t="shared" ca="1" si="2"/>
        <v>1</v>
      </c>
      <c r="F18" s="40"/>
      <c r="G18" s="40"/>
      <c r="H18" s="40"/>
      <c r="I18" s="40"/>
      <c r="J18" s="40"/>
      <c r="K18" s="598"/>
      <c r="L18" s="598"/>
      <c r="M18" s="40"/>
      <c r="N18" s="40"/>
      <c r="O18" s="40"/>
      <c r="P18" s="40"/>
      <c r="Q18" s="40"/>
      <c r="R18" s="599"/>
      <c r="S18" s="599"/>
      <c r="T18" s="40"/>
      <c r="U18" s="40"/>
      <c r="V18" s="40"/>
      <c r="W18" s="40"/>
      <c r="X18" s="40"/>
      <c r="Y18" s="599"/>
      <c r="Z18" s="599"/>
      <c r="AA18" s="40"/>
      <c r="AB18" s="40"/>
      <c r="AC18" s="40"/>
      <c r="AD18" s="40"/>
      <c r="AE18" s="40"/>
      <c r="AF18" s="599"/>
      <c r="AG18" s="599"/>
      <c r="AH18" s="40"/>
      <c r="AI18" s="40"/>
      <c r="AJ18" s="40"/>
      <c r="AK18" s="40"/>
      <c r="AL18" s="40"/>
      <c r="AM18" s="599"/>
      <c r="AN18" s="599"/>
      <c r="AO18" s="40"/>
      <c r="AP18" s="40"/>
      <c r="AQ18" s="40"/>
      <c r="AR18" s="40"/>
      <c r="AS18" s="40"/>
      <c r="AT18" s="599"/>
      <c r="AU18" s="599"/>
      <c r="AV18" s="40"/>
      <c r="AW18" s="40"/>
      <c r="AX18" s="40"/>
      <c r="AY18" s="40"/>
      <c r="AZ18" s="40"/>
      <c r="BA18" s="599"/>
      <c r="BB18" s="599"/>
      <c r="BC18" s="40"/>
      <c r="BD18" s="40"/>
      <c r="BE18" s="40"/>
      <c r="BF18" s="40"/>
      <c r="BG18" s="40"/>
      <c r="BH18" s="599"/>
      <c r="BI18" s="599"/>
    </row>
    <row r="19" spans="1:61" ht="15.75">
      <c r="A19" s="648" t="s">
        <v>435</v>
      </c>
      <c r="B19" s="607">
        <f>S.Notice.EPA.180days</f>
        <v>41688</v>
      </c>
      <c r="C19" s="607">
        <f>B19</f>
        <v>41688</v>
      </c>
      <c r="D19" s="651"/>
      <c r="E19" s="601">
        <f t="shared" ca="1" si="2"/>
        <v>1</v>
      </c>
      <c r="F19" s="40"/>
      <c r="G19" s="40"/>
      <c r="H19" s="40"/>
      <c r="I19" s="40"/>
      <c r="J19" s="40"/>
      <c r="K19" s="598"/>
      <c r="L19" s="598"/>
      <c r="M19" s="40"/>
      <c r="N19" s="40"/>
      <c r="O19" s="40"/>
      <c r="P19" s="40"/>
      <c r="Q19" s="40"/>
      <c r="R19" s="599"/>
      <c r="S19" s="599"/>
      <c r="T19" s="40"/>
      <c r="U19" s="40"/>
      <c r="V19" s="40"/>
      <c r="W19" s="40"/>
      <c r="X19" s="40"/>
      <c r="Y19" s="599"/>
      <c r="Z19" s="599"/>
      <c r="AA19" s="40"/>
      <c r="AB19" s="40"/>
      <c r="AC19" s="40"/>
      <c r="AD19" s="40"/>
      <c r="AE19" s="40"/>
      <c r="AF19" s="599"/>
      <c r="AG19" s="599"/>
      <c r="AH19" s="40"/>
      <c r="AI19" s="40"/>
      <c r="AJ19" s="40"/>
      <c r="AK19" s="40"/>
      <c r="AL19" s="40"/>
      <c r="AM19" s="599"/>
      <c r="AN19" s="599"/>
      <c r="AO19" s="40"/>
      <c r="AP19" s="40"/>
      <c r="AQ19" s="40"/>
      <c r="AR19" s="40"/>
      <c r="AS19" s="40"/>
      <c r="AT19" s="599"/>
      <c r="AU19" s="599"/>
      <c r="AV19" s="40"/>
      <c r="AW19" s="40"/>
      <c r="AX19" s="40"/>
      <c r="AY19" s="40"/>
      <c r="AZ19" s="40"/>
      <c r="BA19" s="599"/>
      <c r="BB19" s="599"/>
      <c r="BC19" s="40"/>
      <c r="BD19" s="40"/>
      <c r="BE19" s="40"/>
      <c r="BF19" s="40"/>
      <c r="BG19" s="40"/>
      <c r="BH19" s="599"/>
      <c r="BI19" s="599"/>
    </row>
    <row r="20" spans="1:61" ht="15.75">
      <c r="A20" s="648" t="s">
        <v>436</v>
      </c>
      <c r="B20" s="607" t="e">
        <f>S.Notice.EPA.45day</f>
        <v>#NAME?</v>
      </c>
      <c r="C20" s="607" t="e">
        <f>B20</f>
        <v>#NAME?</v>
      </c>
      <c r="D20" s="607"/>
      <c r="E20" s="601" t="e">
        <f t="shared" ca="1" si="2"/>
        <v>#NAME?</v>
      </c>
      <c r="F20" s="40"/>
      <c r="G20" s="40"/>
      <c r="H20" s="40"/>
      <c r="I20" s="40"/>
      <c r="J20" s="40"/>
      <c r="K20" s="598"/>
      <c r="L20" s="598"/>
      <c r="M20" s="40"/>
      <c r="N20" s="40"/>
      <c r="O20" s="40"/>
      <c r="P20" s="40"/>
      <c r="Q20" s="40"/>
      <c r="R20" s="599"/>
      <c r="S20" s="599"/>
      <c r="T20" s="40"/>
      <c r="U20" s="40"/>
      <c r="V20" s="40"/>
      <c r="W20" s="40"/>
      <c r="X20" s="40"/>
      <c r="Y20" s="599"/>
      <c r="Z20" s="599"/>
      <c r="AA20" s="40"/>
      <c r="AB20" s="40"/>
      <c r="AC20" s="40"/>
      <c r="AD20" s="40"/>
      <c r="AE20" s="40"/>
      <c r="AF20" s="599"/>
      <c r="AG20" s="599"/>
      <c r="AH20" s="40"/>
      <c r="AI20" s="40"/>
      <c r="AJ20" s="40"/>
      <c r="AK20" s="40"/>
      <c r="AL20" s="40"/>
      <c r="AM20" s="599"/>
      <c r="AN20" s="599"/>
      <c r="AO20" s="40"/>
      <c r="AP20" s="40"/>
      <c r="AQ20" s="40"/>
      <c r="AR20" s="40"/>
      <c r="AS20" s="40"/>
      <c r="AT20" s="599"/>
      <c r="AU20" s="599"/>
      <c r="AV20" s="40"/>
      <c r="AW20" s="40"/>
      <c r="AX20" s="40"/>
      <c r="AY20" s="40"/>
      <c r="AZ20" s="40"/>
      <c r="BA20" s="599"/>
      <c r="BB20" s="599"/>
      <c r="BC20" s="40"/>
      <c r="BD20" s="40"/>
      <c r="BE20" s="40"/>
      <c r="BF20" s="40"/>
      <c r="BG20" s="40"/>
      <c r="BH20" s="599"/>
      <c r="BI20" s="599"/>
    </row>
    <row r="21" spans="1:61" ht="15.75">
      <c r="A21" s="648" t="s">
        <v>437</v>
      </c>
      <c r="B21" s="607">
        <f>S.PostEQC.SubmitSIPToEPA</f>
        <v>42052</v>
      </c>
      <c r="C21" s="607">
        <f>B21</f>
        <v>42052</v>
      </c>
      <c r="D21" s="607"/>
      <c r="E21" s="601">
        <f t="shared" ca="1" si="2"/>
        <v>0</v>
      </c>
      <c r="F21" s="40"/>
      <c r="G21" s="40"/>
      <c r="H21" s="40"/>
      <c r="I21" s="40"/>
      <c r="J21" s="40"/>
      <c r="K21" s="598"/>
      <c r="L21" s="598"/>
      <c r="M21" s="40"/>
      <c r="N21" s="40"/>
      <c r="O21" s="40"/>
      <c r="P21" s="40"/>
      <c r="Q21" s="40"/>
      <c r="R21" s="599"/>
      <c r="S21" s="599"/>
      <c r="T21" s="40"/>
      <c r="U21" s="40"/>
      <c r="V21" s="40"/>
      <c r="W21" s="40"/>
      <c r="X21" s="40"/>
      <c r="Y21" s="599"/>
      <c r="Z21" s="599"/>
      <c r="AA21" s="40"/>
      <c r="AB21" s="40"/>
      <c r="AC21" s="40"/>
      <c r="AD21" s="40"/>
      <c r="AE21" s="40"/>
      <c r="AF21" s="599"/>
      <c r="AG21" s="599"/>
      <c r="AH21" s="40"/>
      <c r="AI21" s="40"/>
      <c r="AJ21" s="40"/>
      <c r="AK21" s="40"/>
      <c r="AL21" s="40"/>
      <c r="AM21" s="599"/>
      <c r="AN21" s="599"/>
      <c r="AO21" s="40"/>
      <c r="AP21" s="40"/>
      <c r="AQ21" s="40"/>
      <c r="AR21" s="40"/>
      <c r="AS21" s="40"/>
      <c r="AT21" s="599"/>
      <c r="AU21" s="599"/>
      <c r="AV21" s="40"/>
      <c r="AW21" s="40"/>
      <c r="AX21" s="40"/>
      <c r="AY21" s="40"/>
      <c r="AZ21" s="40"/>
      <c r="BA21" s="599"/>
      <c r="BB21" s="599"/>
      <c r="BC21" s="40"/>
      <c r="BD21" s="40"/>
      <c r="BE21" s="40"/>
      <c r="BF21" s="40"/>
      <c r="BG21" s="40"/>
      <c r="BH21" s="599"/>
      <c r="BI21" s="599"/>
    </row>
    <row r="22" spans="1:61" ht="15.75">
      <c r="A22" s="605" t="s">
        <v>438</v>
      </c>
      <c r="B22" s="607" t="s">
        <v>0</v>
      </c>
      <c r="C22" s="607" t="s">
        <v>0</v>
      </c>
      <c r="D22" s="607"/>
      <c r="E22" s="601">
        <f t="shared" ca="1" si="2"/>
        <v>0</v>
      </c>
      <c r="F22" s="40"/>
      <c r="G22" s="40"/>
      <c r="H22" s="40"/>
      <c r="I22" s="40"/>
      <c r="J22" s="40"/>
      <c r="K22" s="598"/>
      <c r="L22" s="598"/>
      <c r="M22" s="40"/>
      <c r="N22" s="40"/>
      <c r="O22" s="40"/>
      <c r="P22" s="40"/>
      <c r="Q22" s="40"/>
      <c r="R22" s="599"/>
      <c r="S22" s="599"/>
      <c r="T22" s="40"/>
      <c r="U22" s="40"/>
      <c r="V22" s="40"/>
      <c r="W22" s="40"/>
      <c r="X22" s="40"/>
      <c r="Y22" s="599"/>
      <c r="Z22" s="599"/>
      <c r="AA22" s="40"/>
      <c r="AB22" s="40"/>
      <c r="AC22" s="40"/>
      <c r="AD22" s="40"/>
      <c r="AE22" s="40"/>
      <c r="AF22" s="599"/>
      <c r="AG22" s="599"/>
      <c r="AH22" s="40"/>
      <c r="AI22" s="40"/>
      <c r="AJ22" s="40"/>
      <c r="AK22" s="40"/>
      <c r="AL22" s="40"/>
      <c r="AM22" s="599"/>
      <c r="AN22" s="599"/>
      <c r="AO22" s="40"/>
      <c r="AP22" s="40"/>
      <c r="AQ22" s="40"/>
      <c r="AR22" s="40"/>
      <c r="AS22" s="40"/>
      <c r="AT22" s="599"/>
      <c r="AU22" s="599"/>
      <c r="AV22" s="40"/>
      <c r="AW22" s="40"/>
      <c r="AX22" s="40"/>
      <c r="AY22" s="40"/>
      <c r="AZ22" s="40"/>
      <c r="BA22" s="599"/>
      <c r="BB22" s="599"/>
      <c r="BC22" s="40"/>
      <c r="BD22" s="40"/>
      <c r="BE22" s="40"/>
      <c r="BF22" s="40"/>
      <c r="BG22" s="40"/>
      <c r="BH22" s="599"/>
      <c r="BI22" s="599"/>
    </row>
    <row r="23" spans="1:61" ht="15.75">
      <c r="A23" s="648" t="s">
        <v>439</v>
      </c>
      <c r="B23" s="607">
        <f>S.Fee.SubmitToDAS</f>
        <v>0</v>
      </c>
      <c r="C23" s="607">
        <f>B23</f>
        <v>0</v>
      </c>
      <c r="D23" s="607"/>
      <c r="E23" s="601">
        <f t="shared" ca="1" si="2"/>
        <v>1</v>
      </c>
      <c r="F23" s="40"/>
      <c r="G23" s="40"/>
      <c r="H23" s="40"/>
      <c r="I23" s="40"/>
      <c r="J23" s="40"/>
      <c r="K23" s="598"/>
      <c r="L23" s="598"/>
      <c r="M23" s="40"/>
      <c r="N23" s="40"/>
      <c r="O23" s="40"/>
      <c r="P23" s="40"/>
      <c r="Q23" s="40"/>
      <c r="R23" s="599"/>
      <c r="S23" s="599"/>
      <c r="T23" s="40"/>
      <c r="U23" s="40"/>
      <c r="V23" s="40"/>
      <c r="W23" s="40"/>
      <c r="X23" s="40"/>
      <c r="Y23" s="599"/>
      <c r="Z23" s="599"/>
      <c r="AA23" s="40"/>
      <c r="AB23" s="40"/>
      <c r="AC23" s="40"/>
      <c r="AD23" s="40"/>
      <c r="AE23" s="40"/>
      <c r="AF23" s="599"/>
      <c r="AG23" s="599"/>
      <c r="AH23" s="40"/>
      <c r="AI23" s="40"/>
      <c r="AJ23" s="40"/>
      <c r="AK23" s="40"/>
      <c r="AL23" s="40"/>
      <c r="AM23" s="599"/>
      <c r="AN23" s="599"/>
      <c r="AO23" s="40"/>
      <c r="AP23" s="40"/>
      <c r="AQ23" s="40"/>
      <c r="AR23" s="40"/>
      <c r="AS23" s="40"/>
      <c r="AT23" s="599"/>
      <c r="AU23" s="599"/>
      <c r="AV23" s="40"/>
      <c r="AW23" s="40"/>
      <c r="AX23" s="40"/>
      <c r="AY23" s="40"/>
      <c r="AZ23" s="40"/>
      <c r="BA23" s="599"/>
      <c r="BB23" s="599"/>
      <c r="BC23" s="40"/>
      <c r="BD23" s="40"/>
      <c r="BE23" s="40"/>
      <c r="BF23" s="40"/>
      <c r="BG23" s="40"/>
      <c r="BH23" s="599"/>
      <c r="BI23" s="599"/>
    </row>
    <row r="24" spans="1:61" ht="15.75">
      <c r="A24" s="648" t="s">
        <v>469</v>
      </c>
      <c r="B24" s="607">
        <f>S.PostEQC.SubmitDASPart2</f>
        <v>41995</v>
      </c>
      <c r="C24" s="607">
        <f>B24</f>
        <v>41995</v>
      </c>
      <c r="D24" s="607"/>
      <c r="E24" s="601">
        <f t="shared" ca="1" si="2"/>
        <v>0</v>
      </c>
      <c r="F24" s="40"/>
      <c r="G24" s="40"/>
      <c r="H24" s="40"/>
      <c r="I24" s="40"/>
      <c r="J24" s="40"/>
      <c r="K24" s="598"/>
      <c r="L24" s="598"/>
      <c r="M24" s="40"/>
      <c r="N24" s="40"/>
      <c r="O24" s="40"/>
      <c r="P24" s="40"/>
      <c r="Q24" s="40"/>
      <c r="R24" s="599"/>
      <c r="S24" s="599"/>
      <c r="T24" s="40"/>
      <c r="U24" s="40"/>
      <c r="V24" s="40"/>
      <c r="W24" s="40"/>
      <c r="X24" s="40"/>
      <c r="Y24" s="599"/>
      <c r="Z24" s="599"/>
      <c r="AA24" s="40"/>
      <c r="AB24" s="40"/>
      <c r="AC24" s="40"/>
      <c r="AD24" s="40"/>
      <c r="AE24" s="40"/>
      <c r="AF24" s="599"/>
      <c r="AG24" s="599"/>
      <c r="AH24" s="40"/>
      <c r="AI24" s="40"/>
      <c r="AJ24" s="40"/>
      <c r="AK24" s="40"/>
      <c r="AL24" s="40"/>
      <c r="AM24" s="599"/>
      <c r="AN24" s="599"/>
      <c r="AO24" s="40"/>
      <c r="AP24" s="40"/>
      <c r="AQ24" s="40"/>
      <c r="AR24" s="40"/>
      <c r="AS24" s="40"/>
      <c r="AT24" s="599"/>
      <c r="AU24" s="599"/>
      <c r="AV24" s="40"/>
      <c r="AW24" s="40"/>
      <c r="AX24" s="40"/>
      <c r="AY24" s="40"/>
      <c r="AZ24" s="40"/>
      <c r="BA24" s="599"/>
      <c r="BB24" s="599"/>
      <c r="BC24" s="40"/>
      <c r="BD24" s="40"/>
      <c r="BE24" s="40"/>
      <c r="BF24" s="40"/>
      <c r="BG24" s="40"/>
      <c r="BH24" s="599"/>
      <c r="BI24" s="599"/>
    </row>
    <row r="25" spans="1:61" ht="15.75">
      <c r="A25" s="648" t="s">
        <v>440</v>
      </c>
      <c r="B25" s="607">
        <f>S.Notice.DASNotification</f>
        <v>0</v>
      </c>
      <c r="C25" s="607">
        <f>B25</f>
        <v>0</v>
      </c>
      <c r="D25" s="607"/>
      <c r="E25" s="601">
        <f t="shared" ca="1" si="2"/>
        <v>1</v>
      </c>
      <c r="F25" s="40"/>
      <c r="G25" s="40"/>
      <c r="H25" s="40"/>
      <c r="I25" s="40"/>
      <c r="J25" s="40"/>
      <c r="K25" s="598"/>
      <c r="L25" s="598"/>
      <c r="M25" s="40"/>
      <c r="N25" s="40"/>
      <c r="O25" s="40"/>
      <c r="P25" s="40"/>
      <c r="Q25" s="40"/>
      <c r="R25" s="599"/>
      <c r="S25" s="599"/>
      <c r="T25" s="40"/>
      <c r="U25" s="40"/>
      <c r="V25" s="40"/>
      <c r="W25" s="40"/>
      <c r="X25" s="40"/>
      <c r="Y25" s="599"/>
      <c r="Z25" s="599"/>
      <c r="AA25" s="40"/>
      <c r="AB25" s="40"/>
      <c r="AC25" s="40"/>
      <c r="AD25" s="40"/>
      <c r="AE25" s="40"/>
      <c r="AF25" s="599"/>
      <c r="AG25" s="599"/>
      <c r="AH25" s="40"/>
      <c r="AI25" s="40"/>
      <c r="AJ25" s="40"/>
      <c r="AK25" s="40"/>
      <c r="AL25" s="40"/>
      <c r="AM25" s="599"/>
      <c r="AN25" s="599"/>
      <c r="AO25" s="40"/>
      <c r="AP25" s="40"/>
      <c r="AQ25" s="40"/>
      <c r="AR25" s="40"/>
      <c r="AS25" s="40"/>
      <c r="AT25" s="599"/>
      <c r="AU25" s="599"/>
      <c r="AV25" s="40"/>
      <c r="AW25" s="40"/>
      <c r="AX25" s="40"/>
      <c r="AY25" s="40"/>
      <c r="AZ25" s="40"/>
      <c r="BA25" s="599"/>
      <c r="BB25" s="599"/>
      <c r="BC25" s="40"/>
      <c r="BD25" s="40"/>
      <c r="BE25" s="40"/>
      <c r="BF25" s="40"/>
      <c r="BG25" s="40"/>
      <c r="BH25" s="599"/>
      <c r="BI25" s="599"/>
    </row>
    <row r="26" spans="1:61" ht="15.75">
      <c r="A26" s="605" t="s">
        <v>441</v>
      </c>
      <c r="B26" s="606" t="s">
        <v>0</v>
      </c>
      <c r="C26" s="606" t="s">
        <v>0</v>
      </c>
      <c r="D26" s="606"/>
      <c r="E26" s="601">
        <f t="shared" ca="1" si="2"/>
        <v>0</v>
      </c>
      <c r="F26" s="40"/>
      <c r="G26" s="40"/>
      <c r="H26" s="40"/>
      <c r="I26" s="40"/>
      <c r="J26" s="40"/>
      <c r="K26" s="598"/>
      <c r="L26" s="598"/>
      <c r="M26" s="40"/>
      <c r="N26" s="40"/>
      <c r="O26" s="40"/>
      <c r="P26" s="40"/>
      <c r="Q26" s="40"/>
      <c r="R26" s="599"/>
      <c r="S26" s="599"/>
      <c r="T26" s="40"/>
      <c r="U26" s="40"/>
      <c r="V26" s="40"/>
      <c r="W26" s="40"/>
      <c r="X26" s="40"/>
      <c r="Y26" s="599"/>
      <c r="Z26" s="599"/>
      <c r="AA26" s="40"/>
      <c r="AB26" s="40"/>
      <c r="AC26" s="40"/>
      <c r="AD26" s="40"/>
      <c r="AE26" s="40"/>
      <c r="AF26" s="599"/>
      <c r="AG26" s="599"/>
      <c r="AH26" s="40"/>
      <c r="AI26" s="40"/>
      <c r="AJ26" s="40"/>
      <c r="AK26" s="40"/>
      <c r="AL26" s="40"/>
      <c r="AM26" s="599"/>
      <c r="AN26" s="599"/>
      <c r="AO26" s="40"/>
      <c r="AP26" s="40"/>
      <c r="AQ26" s="40"/>
      <c r="AR26" s="40"/>
      <c r="AS26" s="40"/>
      <c r="AT26" s="599"/>
      <c r="AU26" s="599"/>
      <c r="AV26" s="40"/>
      <c r="AW26" s="40"/>
      <c r="AX26" s="40"/>
      <c r="AY26" s="40"/>
      <c r="AZ26" s="40"/>
      <c r="BA26" s="599"/>
      <c r="BB26" s="599"/>
      <c r="BC26" s="40"/>
      <c r="BD26" s="40"/>
      <c r="BE26" s="40"/>
      <c r="BF26" s="40"/>
      <c r="BG26" s="40"/>
      <c r="BH26" s="599"/>
      <c r="BI26" s="599"/>
    </row>
    <row r="27" spans="1:61" ht="15.75">
      <c r="A27" s="649" t="s">
        <v>466</v>
      </c>
      <c r="B27" s="607">
        <f>S.AC.SendInvitation</f>
        <v>41761</v>
      </c>
      <c r="C27" s="607">
        <f>B27</f>
        <v>41761</v>
      </c>
      <c r="D27" s="607"/>
      <c r="E27" s="601">
        <f ca="1">IF($C27&gt;=$A$3,0,1)</f>
        <v>1</v>
      </c>
      <c r="F27" s="40"/>
      <c r="G27" s="40"/>
      <c r="H27" s="40"/>
      <c r="I27" s="40"/>
      <c r="J27" s="40"/>
      <c r="K27" s="598"/>
      <c r="L27" s="598"/>
      <c r="M27" s="40"/>
      <c r="N27" s="40"/>
      <c r="O27" s="40"/>
      <c r="P27" s="40"/>
      <c r="Q27" s="40"/>
      <c r="R27" s="599"/>
      <c r="S27" s="599"/>
      <c r="T27" s="40"/>
      <c r="U27" s="40"/>
      <c r="V27" s="40"/>
      <c r="W27" s="40"/>
      <c r="X27" s="40"/>
      <c r="Y27" s="599"/>
      <c r="Z27" s="599"/>
      <c r="AA27" s="40"/>
      <c r="AB27" s="40"/>
      <c r="AC27" s="40"/>
      <c r="AD27" s="40"/>
      <c r="AE27" s="40"/>
      <c r="AF27" s="599"/>
      <c r="AG27" s="599"/>
      <c r="AH27" s="40"/>
      <c r="AI27" s="40"/>
      <c r="AJ27" s="40"/>
      <c r="AK27" s="40"/>
      <c r="AL27" s="40"/>
      <c r="AM27" s="599"/>
      <c r="AN27" s="599"/>
      <c r="AO27" s="40"/>
      <c r="AP27" s="40"/>
      <c r="AQ27" s="40"/>
      <c r="AR27" s="40"/>
      <c r="AS27" s="40"/>
      <c r="AT27" s="599"/>
      <c r="AU27" s="599"/>
      <c r="AV27" s="40"/>
      <c r="AW27" s="40"/>
      <c r="AX27" s="40"/>
      <c r="AY27" s="40"/>
      <c r="AZ27" s="40"/>
      <c r="BA27" s="599"/>
      <c r="BB27" s="599"/>
      <c r="BC27" s="40"/>
      <c r="BD27" s="40"/>
      <c r="BE27" s="40"/>
      <c r="BF27" s="40"/>
      <c r="BG27" s="40"/>
      <c r="BH27" s="599"/>
      <c r="BI27" s="599"/>
    </row>
    <row r="28" spans="1:61" ht="15.75">
      <c r="A28" s="649" t="s">
        <v>24</v>
      </c>
      <c r="B28" s="607">
        <f>S.AC.DateMeeting1</f>
        <v>41795</v>
      </c>
      <c r="C28" s="607">
        <f t="shared" ref="C28:C32" si="3">B28</f>
        <v>41795</v>
      </c>
      <c r="D28" s="607"/>
      <c r="E28" s="601">
        <f t="shared" ca="1" si="2"/>
        <v>0</v>
      </c>
      <c r="F28" s="40"/>
      <c r="G28" s="40"/>
      <c r="H28" s="40"/>
      <c r="I28" s="40"/>
      <c r="J28" s="40"/>
      <c r="K28" s="598"/>
      <c r="L28" s="598"/>
      <c r="M28" s="40"/>
      <c r="N28" s="40"/>
      <c r="O28" s="40"/>
      <c r="P28" s="40"/>
      <c r="Q28" s="40"/>
      <c r="R28" s="599"/>
      <c r="S28" s="599"/>
      <c r="T28" s="40"/>
      <c r="U28" s="40"/>
      <c r="V28" s="40"/>
      <c r="W28" s="40"/>
      <c r="X28" s="40"/>
      <c r="Y28" s="599"/>
      <c r="Z28" s="599"/>
      <c r="AA28" s="40"/>
      <c r="AB28" s="40"/>
      <c r="AC28" s="40"/>
      <c r="AD28" s="40"/>
      <c r="AE28" s="40"/>
      <c r="AF28" s="599"/>
      <c r="AG28" s="599"/>
      <c r="AH28" s="40"/>
      <c r="AI28" s="40"/>
      <c r="AJ28" s="40"/>
      <c r="AK28" s="40"/>
      <c r="AL28" s="40"/>
      <c r="AM28" s="599"/>
      <c r="AN28" s="599"/>
      <c r="AO28" s="40"/>
      <c r="AP28" s="40"/>
      <c r="AQ28" s="40"/>
      <c r="AR28" s="40"/>
      <c r="AS28" s="40"/>
      <c r="AT28" s="599"/>
      <c r="AU28" s="599"/>
      <c r="AV28" s="40"/>
      <c r="AW28" s="40"/>
      <c r="AX28" s="40"/>
      <c r="AY28" s="40"/>
      <c r="AZ28" s="40"/>
      <c r="BA28" s="599"/>
      <c r="BB28" s="599"/>
      <c r="BC28" s="40"/>
      <c r="BD28" s="40"/>
      <c r="BE28" s="40"/>
      <c r="BF28" s="40"/>
      <c r="BG28" s="40"/>
      <c r="BH28" s="599"/>
      <c r="BI28" s="599"/>
    </row>
    <row r="29" spans="1:61" ht="15.75">
      <c r="A29" s="649" t="s">
        <v>23</v>
      </c>
      <c r="B29" s="607">
        <f>S.AC.DateMeeting2</f>
        <v>41816</v>
      </c>
      <c r="C29" s="607">
        <f t="shared" si="3"/>
        <v>41816</v>
      </c>
      <c r="D29" s="607"/>
      <c r="E29" s="601">
        <f t="shared" ca="1" si="2"/>
        <v>0</v>
      </c>
      <c r="F29" s="40"/>
      <c r="G29" s="40"/>
      <c r="H29" s="40"/>
      <c r="I29" s="40"/>
      <c r="J29" s="40"/>
      <c r="K29" s="598"/>
      <c r="L29" s="598"/>
      <c r="M29" s="40"/>
      <c r="N29" s="40"/>
      <c r="O29" s="40"/>
      <c r="P29" s="40"/>
      <c r="Q29" s="40"/>
      <c r="R29" s="599"/>
      <c r="S29" s="599"/>
      <c r="T29" s="40"/>
      <c r="U29" s="40"/>
      <c r="V29" s="40"/>
      <c r="W29" s="40"/>
      <c r="X29" s="40"/>
      <c r="Y29" s="599"/>
      <c r="Z29" s="599"/>
      <c r="AA29" s="40"/>
      <c r="AB29" s="40"/>
      <c r="AC29" s="40"/>
      <c r="AD29" s="40"/>
      <c r="AE29" s="40"/>
      <c r="AF29" s="599"/>
      <c r="AG29" s="599"/>
      <c r="AH29" s="40"/>
      <c r="AI29" s="40"/>
      <c r="AJ29" s="40"/>
      <c r="AK29" s="40"/>
      <c r="AL29" s="40"/>
      <c r="AM29" s="599"/>
      <c r="AN29" s="599"/>
      <c r="AO29" s="40"/>
      <c r="AP29" s="40"/>
      <c r="AQ29" s="40"/>
      <c r="AR29" s="40"/>
      <c r="AS29" s="40"/>
      <c r="AT29" s="599"/>
      <c r="AU29" s="599"/>
      <c r="AV29" s="40"/>
      <c r="AW29" s="40"/>
      <c r="AX29" s="40"/>
      <c r="AY29" s="40"/>
      <c r="AZ29" s="40"/>
      <c r="BA29" s="599"/>
      <c r="BB29" s="599"/>
      <c r="BC29" s="40"/>
      <c r="BD29" s="40"/>
      <c r="BE29" s="40"/>
      <c r="BF29" s="40"/>
      <c r="BG29" s="40"/>
      <c r="BH29" s="599"/>
      <c r="BI29" s="599"/>
    </row>
    <row r="30" spans="1:61" ht="15.75">
      <c r="A30" s="649" t="s">
        <v>22</v>
      </c>
      <c r="B30" s="607">
        <f>S.AC.DateMeeting3</f>
        <v>41850</v>
      </c>
      <c r="C30" s="607">
        <f t="shared" si="3"/>
        <v>41850</v>
      </c>
      <c r="D30" s="607"/>
      <c r="E30" s="601">
        <f t="shared" ca="1" si="2"/>
        <v>0</v>
      </c>
      <c r="F30" s="40"/>
      <c r="G30" s="40"/>
      <c r="H30" s="40"/>
      <c r="I30" s="40"/>
      <c r="J30" s="40"/>
      <c r="K30" s="598"/>
      <c r="L30" s="598"/>
      <c r="M30" s="40"/>
      <c r="N30" s="40"/>
      <c r="O30" s="40"/>
      <c r="P30" s="40"/>
      <c r="Q30" s="40"/>
      <c r="R30" s="599"/>
      <c r="S30" s="599"/>
      <c r="T30" s="40"/>
      <c r="U30" s="40"/>
      <c r="V30" s="40"/>
      <c r="W30" s="40"/>
      <c r="X30" s="40"/>
      <c r="Y30" s="599"/>
      <c r="Z30" s="599"/>
      <c r="AA30" s="40"/>
      <c r="AB30" s="40"/>
      <c r="AC30" s="40"/>
      <c r="AD30" s="40"/>
      <c r="AE30" s="40"/>
      <c r="AF30" s="599"/>
      <c r="AG30" s="599"/>
      <c r="AH30" s="40"/>
      <c r="AI30" s="40"/>
      <c r="AJ30" s="40"/>
      <c r="AK30" s="40"/>
      <c r="AL30" s="40"/>
      <c r="AM30" s="599"/>
      <c r="AN30" s="599"/>
      <c r="AO30" s="40"/>
      <c r="AP30" s="40"/>
      <c r="AQ30" s="40"/>
      <c r="AR30" s="40"/>
      <c r="AS30" s="40"/>
      <c r="AT30" s="599"/>
      <c r="AU30" s="599"/>
      <c r="AV30" s="40"/>
      <c r="AW30" s="40"/>
      <c r="AX30" s="40"/>
      <c r="AY30" s="40"/>
      <c r="AZ30" s="40"/>
      <c r="BA30" s="599"/>
      <c r="BB30" s="599"/>
      <c r="BC30" s="40"/>
      <c r="BD30" s="40"/>
      <c r="BE30" s="40"/>
      <c r="BF30" s="40"/>
      <c r="BG30" s="40"/>
      <c r="BH30" s="599"/>
      <c r="BI30" s="599"/>
    </row>
    <row r="31" spans="1:61" ht="15.75">
      <c r="A31" s="649" t="s">
        <v>30</v>
      </c>
      <c r="B31" s="607">
        <f>S.AC.DateMeeting4</f>
        <v>41850</v>
      </c>
      <c r="C31" s="607">
        <f t="shared" si="3"/>
        <v>41850</v>
      </c>
      <c r="D31" s="607"/>
      <c r="E31" s="601">
        <f t="shared" ca="1" si="2"/>
        <v>0</v>
      </c>
      <c r="F31" s="40"/>
      <c r="G31" s="40"/>
      <c r="H31" s="40"/>
      <c r="I31" s="40"/>
      <c r="J31" s="40"/>
      <c r="K31" s="598"/>
      <c r="L31" s="598"/>
      <c r="M31" s="40"/>
      <c r="N31" s="40"/>
      <c r="O31" s="40"/>
      <c r="P31" s="40"/>
      <c r="Q31" s="40"/>
      <c r="R31" s="599"/>
      <c r="S31" s="599"/>
      <c r="T31" s="40"/>
      <c r="U31" s="40"/>
      <c r="V31" s="40"/>
      <c r="W31" s="40"/>
      <c r="X31" s="40"/>
      <c r="Y31" s="599"/>
      <c r="Z31" s="599"/>
      <c r="AA31" s="40"/>
      <c r="AB31" s="40"/>
      <c r="AC31" s="40"/>
      <c r="AD31" s="40"/>
      <c r="AE31" s="40"/>
      <c r="AF31" s="599"/>
      <c r="AG31" s="599"/>
      <c r="AH31" s="40"/>
      <c r="AI31" s="40"/>
      <c r="AJ31" s="40"/>
      <c r="AK31" s="40"/>
      <c r="AL31" s="40"/>
      <c r="AM31" s="599"/>
      <c r="AN31" s="599"/>
      <c r="AO31" s="40"/>
      <c r="AP31" s="40"/>
      <c r="AQ31" s="40"/>
      <c r="AR31" s="40"/>
      <c r="AS31" s="40"/>
      <c r="AT31" s="599"/>
      <c r="AU31" s="599"/>
      <c r="AV31" s="40"/>
      <c r="AW31" s="40"/>
      <c r="AX31" s="40"/>
      <c r="AY31" s="40"/>
      <c r="AZ31" s="40"/>
      <c r="BA31" s="599"/>
      <c r="BB31" s="599"/>
      <c r="BC31" s="40"/>
      <c r="BD31" s="40"/>
      <c r="BE31" s="40"/>
      <c r="BF31" s="40"/>
      <c r="BG31" s="40"/>
      <c r="BH31" s="599"/>
      <c r="BI31" s="599"/>
    </row>
    <row r="32" spans="1:61" ht="15.75">
      <c r="A32" s="649" t="s">
        <v>465</v>
      </c>
      <c r="B32" s="607">
        <f>S.AC.DateMeeting5</f>
        <v>41850</v>
      </c>
      <c r="C32" s="607">
        <f t="shared" si="3"/>
        <v>41850</v>
      </c>
      <c r="D32" s="607"/>
      <c r="E32" s="601">
        <f t="shared" ca="1" si="2"/>
        <v>0</v>
      </c>
      <c r="F32" s="40"/>
      <c r="G32" s="40"/>
      <c r="H32" s="40"/>
      <c r="I32" s="40"/>
      <c r="J32" s="40"/>
      <c r="K32" s="598"/>
      <c r="L32" s="598"/>
      <c r="M32" s="40"/>
      <c r="N32" s="40"/>
      <c r="O32" s="40"/>
      <c r="P32" s="40"/>
      <c r="Q32" s="40"/>
      <c r="R32" s="599"/>
      <c r="S32" s="599"/>
      <c r="T32" s="40"/>
      <c r="U32" s="40"/>
      <c r="V32" s="40"/>
      <c r="W32" s="40"/>
      <c r="X32" s="40"/>
      <c r="Y32" s="599"/>
      <c r="Z32" s="599"/>
      <c r="AA32" s="40"/>
      <c r="AB32" s="40"/>
      <c r="AC32" s="40"/>
      <c r="AD32" s="40"/>
      <c r="AE32" s="40"/>
      <c r="AF32" s="599"/>
      <c r="AG32" s="599"/>
      <c r="AH32" s="40"/>
      <c r="AI32" s="40"/>
      <c r="AJ32" s="40"/>
      <c r="AK32" s="40"/>
      <c r="AL32" s="40"/>
      <c r="AM32" s="599"/>
      <c r="AN32" s="599"/>
      <c r="AO32" s="40"/>
      <c r="AP32" s="40"/>
      <c r="AQ32" s="40"/>
      <c r="AR32" s="40"/>
      <c r="AS32" s="40"/>
      <c r="AT32" s="599"/>
      <c r="AU32" s="599"/>
      <c r="AV32" s="40"/>
      <c r="AW32" s="40"/>
      <c r="AX32" s="40"/>
      <c r="AY32" s="40"/>
      <c r="AZ32" s="40"/>
      <c r="BA32" s="599"/>
      <c r="BB32" s="599"/>
      <c r="BC32" s="40"/>
      <c r="BD32" s="40"/>
      <c r="BE32" s="40"/>
      <c r="BF32" s="40"/>
      <c r="BG32" s="40"/>
      <c r="BH32" s="599"/>
      <c r="BI32" s="599"/>
    </row>
    <row r="33" spans="1:61" ht="15.75">
      <c r="A33" s="608" t="s">
        <v>442</v>
      </c>
      <c r="B33" s="607" t="s">
        <v>0</v>
      </c>
      <c r="C33" s="607" t="s">
        <v>0</v>
      </c>
      <c r="D33" s="607"/>
      <c r="E33" s="601">
        <f t="shared" ca="1" si="2"/>
        <v>0</v>
      </c>
      <c r="F33" s="40"/>
      <c r="G33" s="40"/>
      <c r="H33" s="40"/>
      <c r="I33" s="40"/>
      <c r="J33" s="40"/>
      <c r="K33" s="598"/>
      <c r="L33" s="598"/>
      <c r="M33" s="40"/>
      <c r="N33" s="40"/>
      <c r="O33" s="40"/>
      <c r="P33" s="40"/>
      <c r="Q33" s="40"/>
      <c r="R33" s="599"/>
      <c r="S33" s="599"/>
      <c r="T33" s="40"/>
      <c r="U33" s="40"/>
      <c r="V33" s="40"/>
      <c r="W33" s="40"/>
      <c r="X33" s="40"/>
      <c r="Y33" s="599"/>
      <c r="Z33" s="599"/>
      <c r="AA33" s="40"/>
      <c r="AB33" s="40"/>
      <c r="AC33" s="40"/>
      <c r="AD33" s="40"/>
      <c r="AE33" s="40"/>
      <c r="AF33" s="599"/>
      <c r="AG33" s="599"/>
      <c r="AH33" s="40"/>
      <c r="AI33" s="40"/>
      <c r="AJ33" s="40"/>
      <c r="AK33" s="40"/>
      <c r="AL33" s="40"/>
      <c r="AM33" s="599"/>
      <c r="AN33" s="599"/>
      <c r="AO33" s="40"/>
      <c r="AP33" s="40"/>
      <c r="AQ33" s="40"/>
      <c r="AR33" s="40"/>
      <c r="AS33" s="40"/>
      <c r="AT33" s="599"/>
      <c r="AU33" s="599"/>
      <c r="AV33" s="40"/>
      <c r="AW33" s="40"/>
      <c r="AX33" s="40"/>
      <c r="AY33" s="40"/>
      <c r="AZ33" s="40"/>
      <c r="BA33" s="599"/>
      <c r="BB33" s="599"/>
      <c r="BC33" s="40"/>
      <c r="BD33" s="40"/>
      <c r="BE33" s="40"/>
      <c r="BF33" s="40"/>
      <c r="BG33" s="40"/>
      <c r="BH33" s="599"/>
      <c r="BI33" s="599"/>
    </row>
    <row r="34" spans="1:61" ht="15.75">
      <c r="A34" s="648" t="s">
        <v>443</v>
      </c>
      <c r="B34" s="607">
        <f>S.EQC.DirectorsReport1</f>
        <v>41821</v>
      </c>
      <c r="C34" s="607">
        <f>B34</f>
        <v>41821</v>
      </c>
      <c r="D34" s="607"/>
      <c r="E34" s="601">
        <f t="shared" ca="1" si="2"/>
        <v>0</v>
      </c>
      <c r="F34" s="40"/>
      <c r="G34" s="40"/>
      <c r="H34" s="40"/>
      <c r="I34" s="40"/>
      <c r="J34" s="40"/>
      <c r="K34" s="598"/>
      <c r="L34" s="598"/>
      <c r="M34" s="40"/>
      <c r="N34" s="40"/>
      <c r="O34" s="40"/>
      <c r="P34" s="40"/>
      <c r="Q34" s="40"/>
      <c r="R34" s="599"/>
      <c r="S34" s="599"/>
      <c r="T34" s="40"/>
      <c r="U34" s="40"/>
      <c r="V34" s="40"/>
      <c r="W34" s="40"/>
      <c r="X34" s="40"/>
      <c r="Y34" s="599"/>
      <c r="Z34" s="599"/>
      <c r="AA34" s="40"/>
      <c r="AB34" s="40"/>
      <c r="AC34" s="40"/>
      <c r="AD34" s="40"/>
      <c r="AE34" s="40"/>
      <c r="AF34" s="599"/>
      <c r="AG34" s="599"/>
      <c r="AH34" s="40"/>
      <c r="AI34" s="40"/>
      <c r="AJ34" s="40"/>
      <c r="AK34" s="40"/>
      <c r="AL34" s="40"/>
      <c r="AM34" s="599"/>
      <c r="AN34" s="599"/>
      <c r="AO34" s="40"/>
      <c r="AP34" s="40"/>
      <c r="AQ34" s="40"/>
      <c r="AR34" s="40"/>
      <c r="AS34" s="40"/>
      <c r="AT34" s="599"/>
      <c r="AU34" s="599"/>
      <c r="AV34" s="40"/>
      <c r="AW34" s="40"/>
      <c r="AX34" s="40"/>
      <c r="AY34" s="40"/>
      <c r="AZ34" s="40"/>
      <c r="BA34" s="599"/>
      <c r="BB34" s="599"/>
      <c r="BC34" s="40"/>
      <c r="BD34" s="40"/>
      <c r="BE34" s="40"/>
      <c r="BF34" s="40"/>
      <c r="BG34" s="40"/>
      <c r="BH34" s="599"/>
      <c r="BI34" s="599"/>
    </row>
    <row r="35" spans="1:61" ht="15.75">
      <c r="A35" s="648" t="s">
        <v>444</v>
      </c>
      <c r="B35" s="607">
        <f>S.EQC.DirectorsReport2</f>
        <v>41821</v>
      </c>
      <c r="C35" s="607">
        <f>B35</f>
        <v>41821</v>
      </c>
      <c r="D35" s="607"/>
      <c r="E35" s="601">
        <f t="shared" ca="1" si="2"/>
        <v>0</v>
      </c>
      <c r="F35" s="40"/>
      <c r="G35" s="40"/>
      <c r="H35" s="40"/>
      <c r="I35" s="40"/>
      <c r="J35" s="40"/>
      <c r="K35" s="598"/>
      <c r="L35" s="598"/>
      <c r="M35" s="40"/>
      <c r="N35" s="40"/>
      <c r="O35" s="40"/>
      <c r="P35" s="40"/>
      <c r="Q35" s="40"/>
      <c r="R35" s="599"/>
      <c r="S35" s="599"/>
      <c r="T35" s="40"/>
      <c r="U35" s="40"/>
      <c r="V35" s="40"/>
      <c r="W35" s="40"/>
      <c r="X35" s="40"/>
      <c r="Y35" s="599"/>
      <c r="Z35" s="599"/>
      <c r="AA35" s="40"/>
      <c r="AB35" s="40"/>
      <c r="AC35" s="40"/>
      <c r="AD35" s="40"/>
      <c r="AE35" s="40"/>
      <c r="AF35" s="599"/>
      <c r="AG35" s="599"/>
      <c r="AH35" s="40"/>
      <c r="AI35" s="40"/>
      <c r="AJ35" s="40"/>
      <c r="AK35" s="40"/>
      <c r="AL35" s="40"/>
      <c r="AM35" s="599"/>
      <c r="AN35" s="599"/>
      <c r="AO35" s="40"/>
      <c r="AP35" s="40"/>
      <c r="AQ35" s="40"/>
      <c r="AR35" s="40"/>
      <c r="AS35" s="40"/>
      <c r="AT35" s="599"/>
      <c r="AU35" s="599"/>
      <c r="AV35" s="40"/>
      <c r="AW35" s="40"/>
      <c r="AX35" s="40"/>
      <c r="AY35" s="40"/>
      <c r="AZ35" s="40"/>
      <c r="BA35" s="599"/>
      <c r="BB35" s="599"/>
      <c r="BC35" s="40"/>
      <c r="BD35" s="40"/>
      <c r="BE35" s="40"/>
      <c r="BF35" s="40"/>
      <c r="BG35" s="40"/>
      <c r="BH35" s="599"/>
      <c r="BI35" s="599"/>
    </row>
    <row r="36" spans="1:61" ht="15.75">
      <c r="A36" s="648" t="s">
        <v>445</v>
      </c>
      <c r="B36" s="607">
        <f>S.EQC.InfoItem1</f>
        <v>0</v>
      </c>
      <c r="C36" s="607">
        <f>B36</f>
        <v>0</v>
      </c>
      <c r="D36" s="607"/>
      <c r="E36" s="601">
        <f t="shared" ca="1" si="2"/>
        <v>1</v>
      </c>
      <c r="F36" s="40"/>
      <c r="G36" s="40"/>
      <c r="H36" s="40"/>
      <c r="I36" s="40"/>
      <c r="J36" s="40"/>
      <c r="K36" s="598"/>
      <c r="L36" s="598"/>
      <c r="M36" s="40"/>
      <c r="N36" s="40"/>
      <c r="O36" s="40"/>
      <c r="P36" s="40"/>
      <c r="Q36" s="40"/>
      <c r="R36" s="599"/>
      <c r="S36" s="599"/>
      <c r="T36" s="40"/>
      <c r="U36" s="40"/>
      <c r="V36" s="40"/>
      <c r="W36" s="40"/>
      <c r="X36" s="40"/>
      <c r="Y36" s="599"/>
      <c r="Z36" s="599"/>
      <c r="AA36" s="40"/>
      <c r="AB36" s="40"/>
      <c r="AC36" s="40"/>
      <c r="AD36" s="40"/>
      <c r="AE36" s="40"/>
      <c r="AF36" s="599"/>
      <c r="AG36" s="599"/>
      <c r="AH36" s="40"/>
      <c r="AI36" s="40"/>
      <c r="AJ36" s="40"/>
      <c r="AK36" s="40"/>
      <c r="AL36" s="40"/>
      <c r="AM36" s="599"/>
      <c r="AN36" s="599"/>
      <c r="AO36" s="40"/>
      <c r="AP36" s="40"/>
      <c r="AQ36" s="40"/>
      <c r="AR36" s="40"/>
      <c r="AS36" s="40"/>
      <c r="AT36" s="599"/>
      <c r="AU36" s="599"/>
      <c r="AV36" s="40"/>
      <c r="AW36" s="40"/>
      <c r="AX36" s="40"/>
      <c r="AY36" s="40"/>
      <c r="AZ36" s="40"/>
      <c r="BA36" s="599"/>
      <c r="BB36" s="599"/>
      <c r="BC36" s="40"/>
      <c r="BD36" s="40"/>
      <c r="BE36" s="40"/>
      <c r="BF36" s="40"/>
      <c r="BG36" s="40"/>
      <c r="BH36" s="599"/>
      <c r="BI36" s="599"/>
    </row>
    <row r="37" spans="1:61" ht="15.75">
      <c r="A37" s="648" t="s">
        <v>446</v>
      </c>
      <c r="B37" s="607">
        <f>S.EQC.InfoItem2</f>
        <v>0</v>
      </c>
      <c r="C37" s="607">
        <f>B37</f>
        <v>0</v>
      </c>
      <c r="D37" s="607"/>
      <c r="E37" s="601">
        <f t="shared" ca="1" si="2"/>
        <v>1</v>
      </c>
      <c r="F37" s="40"/>
      <c r="G37" s="40"/>
      <c r="H37" s="40"/>
      <c r="I37" s="40"/>
      <c r="J37" s="40"/>
      <c r="K37" s="598"/>
      <c r="L37" s="598"/>
      <c r="M37" s="40"/>
      <c r="N37" s="40"/>
      <c r="O37" s="40"/>
      <c r="P37" s="40"/>
      <c r="Q37" s="40"/>
      <c r="R37" s="599"/>
      <c r="S37" s="599"/>
      <c r="T37" s="40"/>
      <c r="U37" s="40"/>
      <c r="V37" s="40"/>
      <c r="W37" s="40"/>
      <c r="X37" s="40"/>
      <c r="Y37" s="599"/>
      <c r="Z37" s="599"/>
      <c r="AA37" s="40"/>
      <c r="AB37" s="40"/>
      <c r="AC37" s="40"/>
      <c r="AD37" s="40"/>
      <c r="AE37" s="40"/>
      <c r="AF37" s="599"/>
      <c r="AG37" s="599"/>
      <c r="AH37" s="40"/>
      <c r="AI37" s="40"/>
      <c r="AJ37" s="40"/>
      <c r="AK37" s="40"/>
      <c r="AL37" s="40"/>
      <c r="AM37" s="599"/>
      <c r="AN37" s="599"/>
      <c r="AO37" s="40"/>
      <c r="AP37" s="40"/>
      <c r="AQ37" s="40"/>
      <c r="AR37" s="40"/>
      <c r="AS37" s="40"/>
      <c r="AT37" s="599"/>
      <c r="AU37" s="599"/>
      <c r="AV37" s="40"/>
      <c r="AW37" s="40"/>
      <c r="AX37" s="40"/>
      <c r="AY37" s="40"/>
      <c r="AZ37" s="40"/>
      <c r="BA37" s="599"/>
      <c r="BB37" s="599"/>
      <c r="BC37" s="40"/>
      <c r="BD37" s="40"/>
      <c r="BE37" s="40"/>
      <c r="BF37" s="40"/>
      <c r="BG37" s="40"/>
      <c r="BH37" s="599"/>
      <c r="BI37" s="599"/>
    </row>
    <row r="38" spans="1:61" ht="15.75">
      <c r="A38" s="608" t="s">
        <v>447</v>
      </c>
      <c r="B38" s="607" t="s">
        <v>0</v>
      </c>
      <c r="C38" s="607" t="s">
        <v>0</v>
      </c>
      <c r="D38" s="607"/>
      <c r="E38" s="601">
        <f t="shared" ca="1" si="2"/>
        <v>0</v>
      </c>
      <c r="F38" s="40"/>
      <c r="G38" s="40"/>
      <c r="H38" s="40"/>
      <c r="I38" s="40"/>
      <c r="J38" s="40"/>
      <c r="K38" s="598"/>
      <c r="L38" s="598"/>
      <c r="M38" s="40"/>
      <c r="N38" s="40"/>
      <c r="O38" s="40"/>
      <c r="P38" s="40"/>
      <c r="Q38" s="40"/>
      <c r="R38" s="599"/>
      <c r="S38" s="599"/>
      <c r="T38" s="40"/>
      <c r="U38" s="40"/>
      <c r="V38" s="40"/>
      <c r="W38" s="40"/>
      <c r="X38" s="40"/>
      <c r="Y38" s="599"/>
      <c r="Z38" s="599"/>
      <c r="AA38" s="40"/>
      <c r="AB38" s="40"/>
      <c r="AC38" s="40"/>
      <c r="AD38" s="40"/>
      <c r="AE38" s="40"/>
      <c r="AF38" s="599"/>
      <c r="AG38" s="599"/>
      <c r="AH38" s="40"/>
      <c r="AI38" s="40"/>
      <c r="AJ38" s="40"/>
      <c r="AK38" s="40"/>
      <c r="AL38" s="40"/>
      <c r="AM38" s="599"/>
      <c r="AN38" s="599"/>
      <c r="AO38" s="40"/>
      <c r="AP38" s="40"/>
      <c r="AQ38" s="40"/>
      <c r="AR38" s="40"/>
      <c r="AS38" s="40"/>
      <c r="AT38" s="599"/>
      <c r="AU38" s="599"/>
      <c r="AV38" s="40"/>
      <c r="AW38" s="40"/>
      <c r="AX38" s="40"/>
      <c r="AY38" s="40"/>
      <c r="AZ38" s="40"/>
      <c r="BA38" s="599"/>
      <c r="BB38" s="599"/>
      <c r="BC38" s="40"/>
      <c r="BD38" s="40"/>
      <c r="BE38" s="40"/>
      <c r="BF38" s="40"/>
      <c r="BG38" s="40"/>
      <c r="BH38" s="599"/>
      <c r="BI38" s="599"/>
    </row>
    <row r="39" spans="1:61" ht="15.75">
      <c r="A39" s="648" t="s">
        <v>448</v>
      </c>
      <c r="B39" s="607">
        <f>S.Notice.EPA.180days</f>
        <v>41688</v>
      </c>
      <c r="C39" s="607">
        <f>B39</f>
        <v>41688</v>
      </c>
      <c r="D39" s="607"/>
      <c r="E39" s="601">
        <f t="shared" ca="1" si="2"/>
        <v>1</v>
      </c>
      <c r="F39" s="40"/>
      <c r="G39" s="40"/>
      <c r="H39" s="40"/>
      <c r="I39" s="40"/>
      <c r="J39" s="40"/>
      <c r="K39" s="598"/>
      <c r="L39" s="598"/>
      <c r="M39" s="40"/>
      <c r="N39" s="40"/>
      <c r="O39" s="40"/>
      <c r="P39" s="40"/>
      <c r="Q39" s="40"/>
      <c r="R39" s="599"/>
      <c r="S39" s="599"/>
      <c r="T39" s="40"/>
      <c r="U39" s="40"/>
      <c r="V39" s="40"/>
      <c r="W39" s="40"/>
      <c r="X39" s="40"/>
      <c r="Y39" s="599"/>
      <c r="Z39" s="599"/>
      <c r="AA39" s="40"/>
      <c r="AB39" s="40"/>
      <c r="AC39" s="40"/>
      <c r="AD39" s="40"/>
      <c r="AE39" s="40"/>
      <c r="AF39" s="599"/>
      <c r="AG39" s="599"/>
      <c r="AH39" s="40"/>
      <c r="AI39" s="40"/>
      <c r="AJ39" s="40"/>
      <c r="AK39" s="40"/>
      <c r="AL39" s="40"/>
      <c r="AM39" s="599"/>
      <c r="AN39" s="599"/>
      <c r="AO39" s="40"/>
      <c r="AP39" s="40"/>
      <c r="AQ39" s="40"/>
      <c r="AR39" s="40"/>
      <c r="AS39" s="40"/>
      <c r="AT39" s="599"/>
      <c r="AU39" s="599"/>
      <c r="AV39" s="40"/>
      <c r="AW39" s="40"/>
      <c r="AX39" s="40"/>
      <c r="AY39" s="40"/>
      <c r="AZ39" s="40"/>
      <c r="BA39" s="599"/>
      <c r="BB39" s="599"/>
      <c r="BC39" s="40"/>
      <c r="BD39" s="40"/>
      <c r="BE39" s="40"/>
      <c r="BF39" s="40"/>
      <c r="BG39" s="40"/>
      <c r="BH39" s="599"/>
      <c r="BI39" s="599"/>
    </row>
    <row r="40" spans="1:61" ht="15.75">
      <c r="A40" s="648" t="s">
        <v>449</v>
      </c>
      <c r="B40" s="607" t="e">
        <f>S.Notice.EPA.45day</f>
        <v>#NAME?</v>
      </c>
      <c r="C40" s="607" t="e">
        <f>B40</f>
        <v>#NAME?</v>
      </c>
      <c r="D40" s="607"/>
      <c r="E40" s="601" t="e">
        <f t="shared" ca="1" si="2"/>
        <v>#NAME?</v>
      </c>
      <c r="F40" s="40"/>
      <c r="G40" s="40"/>
      <c r="H40" s="40"/>
      <c r="I40" s="40"/>
      <c r="J40" s="40"/>
      <c r="K40" s="598"/>
      <c r="L40" s="598"/>
      <c r="M40" s="40"/>
      <c r="N40" s="40"/>
      <c r="O40" s="40"/>
      <c r="P40" s="40"/>
      <c r="Q40" s="40"/>
      <c r="R40" s="599"/>
      <c r="S40" s="599"/>
      <c r="T40" s="40"/>
      <c r="U40" s="40"/>
      <c r="V40" s="40"/>
      <c r="W40" s="40"/>
      <c r="X40" s="40"/>
      <c r="Y40" s="599"/>
      <c r="Z40" s="599"/>
      <c r="AA40" s="40"/>
      <c r="AB40" s="40"/>
      <c r="AC40" s="40"/>
      <c r="AD40" s="40"/>
      <c r="AE40" s="40"/>
      <c r="AF40" s="599"/>
      <c r="AG40" s="599"/>
      <c r="AH40" s="40"/>
      <c r="AI40" s="40"/>
      <c r="AJ40" s="40"/>
      <c r="AK40" s="40"/>
      <c r="AL40" s="40"/>
      <c r="AM40" s="599"/>
      <c r="AN40" s="599"/>
      <c r="AO40" s="40"/>
      <c r="AP40" s="40"/>
      <c r="AQ40" s="40"/>
      <c r="AR40" s="40"/>
      <c r="AS40" s="40"/>
      <c r="AT40" s="599"/>
      <c r="AU40" s="599"/>
      <c r="AV40" s="40"/>
      <c r="AW40" s="40"/>
      <c r="AX40" s="40"/>
      <c r="AY40" s="40"/>
      <c r="AZ40" s="40"/>
      <c r="BA40" s="599"/>
      <c r="BB40" s="599"/>
      <c r="BC40" s="40"/>
      <c r="BD40" s="40"/>
      <c r="BE40" s="40"/>
      <c r="BF40" s="40"/>
      <c r="BG40" s="40"/>
      <c r="BH40" s="599"/>
      <c r="BI40" s="599"/>
    </row>
    <row r="41" spans="1:61" s="23" customFormat="1" ht="15.75">
      <c r="A41" s="648" t="s">
        <v>450</v>
      </c>
      <c r="B41" s="607" t="e">
        <f>S.Notice.StartInvolveResources</f>
        <v>#REF!</v>
      </c>
      <c r="C41" s="607" t="e">
        <f>S.Notice.EndInvolveResources</f>
        <v>#REF!</v>
      </c>
      <c r="D41" s="607"/>
      <c r="E41" s="601" t="e">
        <f t="shared" ca="1" si="2"/>
        <v>#REF!</v>
      </c>
      <c r="F41" s="40"/>
      <c r="G41" s="40"/>
      <c r="H41" s="40"/>
      <c r="I41" s="40"/>
      <c r="J41" s="40"/>
      <c r="K41" s="598"/>
      <c r="L41" s="598"/>
      <c r="M41" s="40"/>
      <c r="N41" s="40"/>
      <c r="O41" s="40"/>
      <c r="P41" s="40"/>
      <c r="Q41" s="40"/>
      <c r="R41" s="599"/>
      <c r="S41" s="599"/>
      <c r="T41" s="40"/>
      <c r="U41" s="40"/>
      <c r="V41" s="40"/>
      <c r="W41" s="40"/>
      <c r="X41" s="40"/>
      <c r="Y41" s="599"/>
      <c r="Z41" s="599"/>
      <c r="AA41" s="40"/>
      <c r="AB41" s="40"/>
      <c r="AC41" s="40"/>
      <c r="AD41" s="40"/>
      <c r="AE41" s="40"/>
      <c r="AF41" s="599"/>
      <c r="AG41" s="599"/>
      <c r="AH41" s="40"/>
      <c r="AI41" s="40"/>
      <c r="AJ41" s="40"/>
      <c r="AK41" s="40"/>
      <c r="AL41" s="40"/>
      <c r="AM41" s="599"/>
      <c r="AN41" s="599"/>
      <c r="AO41" s="40"/>
      <c r="AP41" s="40"/>
      <c r="AQ41" s="40"/>
      <c r="AR41" s="40"/>
      <c r="AS41" s="40"/>
      <c r="AT41" s="599"/>
      <c r="AU41" s="599"/>
      <c r="AV41" s="40"/>
      <c r="AW41" s="40"/>
      <c r="AX41" s="40"/>
      <c r="AY41" s="40"/>
      <c r="AZ41" s="40"/>
      <c r="BA41" s="599"/>
      <c r="BB41" s="599"/>
      <c r="BC41" s="40"/>
      <c r="BD41" s="40"/>
      <c r="BE41" s="40"/>
      <c r="BF41" s="40"/>
      <c r="BG41" s="40"/>
      <c r="BH41" s="599"/>
      <c r="BI41" s="599"/>
    </row>
    <row r="42" spans="1:61" ht="15.75">
      <c r="A42" s="648" t="s">
        <v>451</v>
      </c>
      <c r="B42" s="607">
        <f>S.Notice.AD.ToContractServices</f>
        <v>41855</v>
      </c>
      <c r="C42" s="607">
        <f>B42</f>
        <v>41855</v>
      </c>
      <c r="D42" s="607"/>
      <c r="E42" s="601">
        <f t="shared" ca="1" si="2"/>
        <v>0</v>
      </c>
      <c r="F42" s="40"/>
      <c r="G42" s="40"/>
      <c r="H42" s="40"/>
      <c r="I42" s="40"/>
      <c r="J42" s="40"/>
      <c r="K42" s="598"/>
      <c r="L42" s="598"/>
      <c r="M42" s="40"/>
      <c r="N42" s="40"/>
      <c r="O42" s="40"/>
      <c r="P42" s="40"/>
      <c r="Q42" s="40"/>
      <c r="R42" s="599"/>
      <c r="S42" s="599"/>
      <c r="T42" s="40"/>
      <c r="U42" s="40"/>
      <c r="V42" s="40"/>
      <c r="W42" s="40"/>
      <c r="X42" s="40"/>
      <c r="Y42" s="599"/>
      <c r="Z42" s="599"/>
      <c r="AA42" s="40"/>
      <c r="AB42" s="40"/>
      <c r="AC42" s="40"/>
      <c r="AD42" s="40"/>
      <c r="AE42" s="40"/>
      <c r="AF42" s="599"/>
      <c r="AG42" s="599"/>
      <c r="AH42" s="40"/>
      <c r="AI42" s="40"/>
      <c r="AJ42" s="40"/>
      <c r="AK42" s="40"/>
      <c r="AL42" s="40"/>
      <c r="AM42" s="599"/>
      <c r="AN42" s="599"/>
      <c r="AO42" s="40"/>
      <c r="AP42" s="40"/>
      <c r="AQ42" s="40"/>
      <c r="AR42" s="40"/>
      <c r="AS42" s="40"/>
      <c r="AT42" s="599"/>
      <c r="AU42" s="599"/>
      <c r="AV42" s="40"/>
      <c r="AW42" s="40"/>
      <c r="AX42" s="40"/>
      <c r="AY42" s="40"/>
      <c r="AZ42" s="40"/>
      <c r="BA42" s="599"/>
      <c r="BB42" s="599"/>
      <c r="BC42" s="40"/>
      <c r="BD42" s="40"/>
      <c r="BE42" s="40"/>
      <c r="BF42" s="40"/>
      <c r="BG42" s="40"/>
      <c r="BH42" s="599"/>
      <c r="BI42" s="599"/>
    </row>
    <row r="43" spans="1:61" ht="15.75">
      <c r="A43" s="648" t="s">
        <v>452</v>
      </c>
      <c r="B43" s="607">
        <f>S.Notice.MgrNoticeApproval</f>
        <v>41858</v>
      </c>
      <c r="C43" s="607">
        <f>B43</f>
        <v>41858</v>
      </c>
      <c r="D43" s="607"/>
      <c r="E43" s="601">
        <f t="shared" ca="1" si="2"/>
        <v>0</v>
      </c>
      <c r="F43" s="40"/>
      <c r="G43" s="40"/>
      <c r="H43" s="40"/>
      <c r="I43" s="40"/>
      <c r="J43" s="40"/>
      <c r="K43" s="598"/>
      <c r="L43" s="598"/>
      <c r="M43" s="40"/>
      <c r="N43" s="40"/>
      <c r="O43" s="40"/>
      <c r="P43" s="40"/>
      <c r="Q43" s="40"/>
      <c r="R43" s="599"/>
      <c r="S43" s="599"/>
      <c r="T43" s="40"/>
      <c r="U43" s="40"/>
      <c r="V43" s="40"/>
      <c r="W43" s="40"/>
      <c r="X43" s="40"/>
      <c r="Y43" s="599"/>
      <c r="Z43" s="599"/>
      <c r="AA43" s="40"/>
      <c r="AB43" s="40"/>
      <c r="AC43" s="40"/>
      <c r="AD43" s="40"/>
      <c r="AE43" s="40"/>
      <c r="AF43" s="599"/>
      <c r="AG43" s="599"/>
      <c r="AH43" s="40"/>
      <c r="AI43" s="40"/>
      <c r="AJ43" s="40"/>
      <c r="AK43" s="40"/>
      <c r="AL43" s="40"/>
      <c r="AM43" s="599"/>
      <c r="AN43" s="599"/>
      <c r="AO43" s="40"/>
      <c r="AP43" s="40"/>
      <c r="AQ43" s="40"/>
      <c r="AR43" s="40"/>
      <c r="AS43" s="40"/>
      <c r="AT43" s="599"/>
      <c r="AU43" s="599"/>
      <c r="AV43" s="40"/>
      <c r="AW43" s="40"/>
      <c r="AX43" s="40"/>
      <c r="AY43" s="40"/>
      <c r="AZ43" s="40"/>
      <c r="BA43" s="599"/>
      <c r="BB43" s="599"/>
      <c r="BC43" s="40"/>
      <c r="BD43" s="40"/>
      <c r="BE43" s="40"/>
      <c r="BF43" s="40"/>
      <c r="BG43" s="40"/>
      <c r="BH43" s="599"/>
      <c r="BI43" s="599"/>
    </row>
    <row r="44" spans="1:61" ht="15.75">
      <c r="A44" s="648" t="s">
        <v>453</v>
      </c>
      <c r="B44" s="607">
        <f>S.Notice.OpenComment</f>
        <v>41869</v>
      </c>
      <c r="C44" s="607">
        <f>S.Notice.CloseComment</f>
        <v>41904</v>
      </c>
      <c r="D44" s="607"/>
      <c r="E44" s="601">
        <f t="shared" ca="1" si="2"/>
        <v>0</v>
      </c>
      <c r="F44" s="40"/>
      <c r="G44" s="40"/>
      <c r="H44" s="40"/>
      <c r="I44" s="40"/>
      <c r="J44" s="40"/>
      <c r="K44" s="598"/>
      <c r="L44" s="598"/>
      <c r="M44" s="40"/>
      <c r="N44" s="40"/>
      <c r="O44" s="40"/>
      <c r="P44" s="40"/>
      <c r="Q44" s="40"/>
      <c r="R44" s="599"/>
      <c r="S44" s="599"/>
      <c r="T44" s="40"/>
      <c r="U44" s="40"/>
      <c r="V44" s="40"/>
      <c r="W44" s="40"/>
      <c r="X44" s="40"/>
      <c r="Y44" s="599"/>
      <c r="Z44" s="599"/>
      <c r="AA44" s="40"/>
      <c r="AB44" s="40"/>
      <c r="AC44" s="40"/>
      <c r="AD44" s="40"/>
      <c r="AE44" s="40"/>
      <c r="AF44" s="599"/>
      <c r="AG44" s="599"/>
      <c r="AH44" s="40"/>
      <c r="AI44" s="40"/>
      <c r="AJ44" s="40"/>
      <c r="AK44" s="40"/>
      <c r="AL44" s="40"/>
      <c r="AM44" s="599"/>
      <c r="AN44" s="599"/>
      <c r="AO44" s="40"/>
      <c r="AP44" s="40"/>
      <c r="AQ44" s="40"/>
      <c r="AR44" s="40"/>
      <c r="AS44" s="40"/>
      <c r="AT44" s="599"/>
      <c r="AU44" s="599"/>
      <c r="AV44" s="40"/>
      <c r="AW44" s="40"/>
      <c r="AX44" s="40"/>
      <c r="AY44" s="40"/>
      <c r="AZ44" s="40"/>
      <c r="BA44" s="599"/>
      <c r="BB44" s="599"/>
      <c r="BC44" s="40"/>
      <c r="BD44" s="40"/>
      <c r="BE44" s="40"/>
      <c r="BF44" s="40"/>
      <c r="BG44" s="40"/>
      <c r="BH44" s="599"/>
      <c r="BI44" s="599"/>
    </row>
    <row r="45" spans="1:61" ht="15.75">
      <c r="A45" s="648" t="s">
        <v>454</v>
      </c>
      <c r="B45" s="607">
        <f>C45</f>
        <v>41844</v>
      </c>
      <c r="C45" s="607">
        <f>S.Notice.ADABriefing</f>
        <v>41844</v>
      </c>
      <c r="D45" s="607"/>
      <c r="E45" s="601">
        <f t="shared" ca="1" si="2"/>
        <v>0</v>
      </c>
      <c r="F45" s="40"/>
      <c r="G45" s="40"/>
      <c r="H45" s="40"/>
      <c r="I45" s="40"/>
      <c r="J45" s="40"/>
      <c r="K45" s="598"/>
      <c r="L45" s="598"/>
      <c r="M45" s="40"/>
      <c r="N45" s="40"/>
      <c r="O45" s="40"/>
      <c r="P45" s="40"/>
      <c r="Q45" s="40"/>
      <c r="R45" s="599"/>
      <c r="S45" s="599"/>
      <c r="T45" s="40"/>
      <c r="U45" s="40"/>
      <c r="V45" s="40"/>
      <c r="W45" s="40"/>
      <c r="X45" s="40"/>
      <c r="Y45" s="599"/>
      <c r="Z45" s="599"/>
      <c r="AA45" s="40"/>
      <c r="AB45" s="40"/>
      <c r="AC45" s="40"/>
      <c r="AD45" s="40"/>
      <c r="AE45" s="40"/>
      <c r="AF45" s="599"/>
      <c r="AG45" s="599"/>
      <c r="AH45" s="40"/>
      <c r="AI45" s="40"/>
      <c r="AJ45" s="40"/>
      <c r="AK45" s="40"/>
      <c r="AL45" s="40"/>
      <c r="AM45" s="599"/>
      <c r="AN45" s="599"/>
      <c r="AO45" s="40"/>
      <c r="AP45" s="40"/>
      <c r="AQ45" s="40"/>
      <c r="AR45" s="40"/>
      <c r="AS45" s="40"/>
      <c r="AT45" s="599"/>
      <c r="AU45" s="599"/>
      <c r="AV45" s="40"/>
      <c r="AW45" s="40"/>
      <c r="AX45" s="40"/>
      <c r="AY45" s="40"/>
      <c r="AZ45" s="40"/>
      <c r="BA45" s="599"/>
      <c r="BB45" s="599"/>
      <c r="BC45" s="40"/>
      <c r="BD45" s="40"/>
      <c r="BE45" s="40"/>
      <c r="BF45" s="40"/>
      <c r="BG45" s="40"/>
      <c r="BH45" s="599"/>
      <c r="BI45" s="599"/>
    </row>
    <row r="46" spans="1:61" ht="15.75">
      <c r="A46" s="648" t="s">
        <v>455</v>
      </c>
      <c r="B46" s="607">
        <f>S.Notice.DASNotification</f>
        <v>0</v>
      </c>
      <c r="C46" s="607">
        <f>B46</f>
        <v>0</v>
      </c>
      <c r="D46" s="607"/>
      <c r="E46" s="601">
        <f t="shared" ca="1" si="2"/>
        <v>1</v>
      </c>
      <c r="F46" s="40"/>
      <c r="G46" s="40"/>
      <c r="H46" s="40"/>
      <c r="I46" s="40"/>
      <c r="J46" s="40"/>
      <c r="K46" s="598"/>
      <c r="L46" s="598"/>
      <c r="M46" s="40"/>
      <c r="N46" s="40"/>
      <c r="O46" s="40"/>
      <c r="P46" s="40"/>
      <c r="Q46" s="40"/>
      <c r="R46" s="599"/>
      <c r="S46" s="599"/>
      <c r="T46" s="40"/>
      <c r="U46" s="40"/>
      <c r="V46" s="40"/>
      <c r="W46" s="40"/>
      <c r="X46" s="40"/>
      <c r="Y46" s="599"/>
      <c r="Z46" s="599"/>
      <c r="AA46" s="40"/>
      <c r="AB46" s="40"/>
      <c r="AC46" s="40"/>
      <c r="AD46" s="40"/>
      <c r="AE46" s="40"/>
      <c r="AF46" s="599"/>
      <c r="AG46" s="599"/>
      <c r="AH46" s="40"/>
      <c r="AI46" s="40"/>
      <c r="AJ46" s="40"/>
      <c r="AK46" s="40"/>
      <c r="AL46" s="40"/>
      <c r="AM46" s="599"/>
      <c r="AN46" s="599"/>
      <c r="AO46" s="40"/>
      <c r="AP46" s="40"/>
      <c r="AQ46" s="40"/>
      <c r="AR46" s="40"/>
      <c r="AS46" s="40"/>
      <c r="AT46" s="599"/>
      <c r="AU46" s="599"/>
      <c r="AV46" s="40"/>
      <c r="AW46" s="40"/>
      <c r="AX46" s="40"/>
      <c r="AY46" s="40"/>
      <c r="AZ46" s="40"/>
      <c r="BA46" s="599"/>
      <c r="BB46" s="599"/>
      <c r="BC46" s="40"/>
      <c r="BD46" s="40"/>
      <c r="BE46" s="40"/>
      <c r="BF46" s="40"/>
      <c r="BG46" s="40"/>
      <c r="BH46" s="599"/>
      <c r="BI46" s="599"/>
    </row>
    <row r="47" spans="1:61" ht="15.75">
      <c r="A47" s="648" t="s">
        <v>456</v>
      </c>
      <c r="B47" s="607">
        <f>S.Notice.PreviewBegin</f>
        <v>41845</v>
      </c>
      <c r="C47" s="607">
        <f>S.Notice.PreviewEnd</f>
        <v>41852</v>
      </c>
      <c r="D47" s="607"/>
      <c r="E47" s="601">
        <f t="shared" ca="1" si="2"/>
        <v>0</v>
      </c>
      <c r="F47" s="40"/>
      <c r="G47" s="40"/>
      <c r="H47" s="40"/>
      <c r="I47" s="40"/>
      <c r="J47" s="40"/>
      <c r="K47" s="598"/>
      <c r="L47" s="598"/>
      <c r="M47" s="40"/>
      <c r="N47" s="40"/>
      <c r="O47" s="40"/>
      <c r="P47" s="40"/>
      <c r="Q47" s="40"/>
      <c r="R47" s="599"/>
      <c r="S47" s="599"/>
      <c r="T47" s="40"/>
      <c r="U47" s="40"/>
      <c r="V47" s="40"/>
      <c r="W47" s="40"/>
      <c r="X47" s="40"/>
      <c r="Y47" s="599"/>
      <c r="Z47" s="599"/>
      <c r="AA47" s="40"/>
      <c r="AB47" s="40"/>
      <c r="AC47" s="40"/>
      <c r="AD47" s="40"/>
      <c r="AE47" s="40"/>
      <c r="AF47" s="599"/>
      <c r="AG47" s="599"/>
      <c r="AH47" s="40"/>
      <c r="AI47" s="40"/>
      <c r="AJ47" s="40"/>
      <c r="AK47" s="40"/>
      <c r="AL47" s="40"/>
      <c r="AM47" s="599"/>
      <c r="AN47" s="599"/>
      <c r="AO47" s="40"/>
      <c r="AP47" s="40"/>
      <c r="AQ47" s="40"/>
      <c r="AR47" s="40"/>
      <c r="AS47" s="40"/>
      <c r="AT47" s="599"/>
      <c r="AU47" s="599"/>
      <c r="AV47" s="40"/>
      <c r="AW47" s="40"/>
      <c r="AX47" s="40"/>
      <c r="AY47" s="40"/>
      <c r="AZ47" s="40"/>
      <c r="BA47" s="599"/>
      <c r="BB47" s="599"/>
      <c r="BC47" s="40"/>
      <c r="BD47" s="40"/>
      <c r="BE47" s="40"/>
      <c r="BF47" s="40"/>
      <c r="BG47" s="40"/>
      <c r="BH47" s="599"/>
      <c r="BI47" s="599"/>
    </row>
    <row r="48" spans="1:61" ht="15.75">
      <c r="A48" s="648" t="s">
        <v>457</v>
      </c>
      <c r="B48" s="607">
        <f>S.Notice.SubmitToSOS</f>
        <v>41866</v>
      </c>
      <c r="C48" s="607">
        <f>S.Notice.InOregonBulletin</f>
        <v>41883</v>
      </c>
      <c r="D48" s="607"/>
      <c r="E48" s="601">
        <f t="shared" ca="1" si="2"/>
        <v>0</v>
      </c>
      <c r="F48" s="40"/>
      <c r="G48" s="40"/>
      <c r="H48" s="40"/>
      <c r="I48" s="40"/>
      <c r="J48" s="40"/>
      <c r="K48" s="598"/>
      <c r="L48" s="598"/>
      <c r="M48" s="40"/>
      <c r="N48" s="40"/>
      <c r="O48" s="40"/>
      <c r="P48" s="40"/>
      <c r="Q48" s="40"/>
      <c r="R48" s="599"/>
      <c r="S48" s="599"/>
      <c r="T48" s="40"/>
      <c r="U48" s="40"/>
      <c r="V48" s="40"/>
      <c r="W48" s="40"/>
      <c r="X48" s="40"/>
      <c r="Y48" s="599"/>
      <c r="Z48" s="599"/>
      <c r="AA48" s="40"/>
      <c r="AB48" s="40"/>
      <c r="AC48" s="40"/>
      <c r="AD48" s="40"/>
      <c r="AE48" s="40"/>
      <c r="AF48" s="599"/>
      <c r="AG48" s="599"/>
      <c r="AH48" s="40"/>
      <c r="AI48" s="40"/>
      <c r="AJ48" s="40"/>
      <c r="AK48" s="40"/>
      <c r="AL48" s="40"/>
      <c r="AM48" s="599"/>
      <c r="AN48" s="599"/>
      <c r="AO48" s="40"/>
      <c r="AP48" s="40"/>
      <c r="AQ48" s="40"/>
      <c r="AR48" s="40"/>
      <c r="AS48" s="40"/>
      <c r="AT48" s="599"/>
      <c r="AU48" s="599"/>
      <c r="AV48" s="40"/>
      <c r="AW48" s="40"/>
      <c r="AX48" s="40"/>
      <c r="AY48" s="40"/>
      <c r="AZ48" s="40"/>
      <c r="BA48" s="599"/>
      <c r="BB48" s="599"/>
      <c r="BC48" s="40"/>
      <c r="BD48" s="40"/>
      <c r="BE48" s="40"/>
      <c r="BF48" s="40"/>
      <c r="BG48" s="40"/>
      <c r="BH48" s="599"/>
      <c r="BI48" s="599"/>
    </row>
    <row r="49" spans="1:61" ht="15.75">
      <c r="A49" s="648" t="s">
        <v>458</v>
      </c>
      <c r="B49" s="607">
        <f>S.Hearing.1stDate</f>
        <v>41899</v>
      </c>
      <c r="C49" s="607">
        <f>S.Notice.LastHearingDate</f>
        <v>41899</v>
      </c>
      <c r="D49" s="607"/>
      <c r="E49" s="601">
        <f t="shared" ca="1" si="2"/>
        <v>0</v>
      </c>
      <c r="F49" s="40"/>
      <c r="G49" s="40"/>
      <c r="H49" s="40"/>
      <c r="I49" s="40"/>
      <c r="J49" s="40"/>
      <c r="K49" s="598"/>
      <c r="L49" s="598"/>
      <c r="M49" s="40"/>
      <c r="N49" s="40"/>
      <c r="O49" s="40"/>
      <c r="P49" s="40"/>
      <c r="Q49" s="40"/>
      <c r="R49" s="599"/>
      <c r="S49" s="599"/>
      <c r="T49" s="40"/>
      <c r="U49" s="40"/>
      <c r="V49" s="40"/>
      <c r="W49" s="40"/>
      <c r="X49" s="40"/>
      <c r="Y49" s="599"/>
      <c r="Z49" s="599"/>
      <c r="AA49" s="40"/>
      <c r="AB49" s="40"/>
      <c r="AC49" s="40"/>
      <c r="AD49" s="40"/>
      <c r="AE49" s="40"/>
      <c r="AF49" s="599"/>
      <c r="AG49" s="599"/>
      <c r="AH49" s="40"/>
      <c r="AI49" s="40"/>
      <c r="AJ49" s="40"/>
      <c r="AK49" s="40"/>
      <c r="AL49" s="40"/>
      <c r="AM49" s="599"/>
      <c r="AN49" s="599"/>
      <c r="AO49" s="40"/>
      <c r="AP49" s="40"/>
      <c r="AQ49" s="40"/>
      <c r="AR49" s="40"/>
      <c r="AS49" s="40"/>
      <c r="AT49" s="599"/>
      <c r="AU49" s="599"/>
      <c r="AV49" s="40"/>
      <c r="AW49" s="40"/>
      <c r="AX49" s="40"/>
      <c r="AY49" s="40"/>
      <c r="AZ49" s="40"/>
      <c r="BA49" s="599"/>
      <c r="BB49" s="599"/>
      <c r="BC49" s="40"/>
      <c r="BD49" s="40"/>
      <c r="BE49" s="40"/>
      <c r="BF49" s="40"/>
      <c r="BG49" s="40"/>
      <c r="BH49" s="599"/>
      <c r="BI49" s="599"/>
    </row>
    <row r="50" spans="1:61" ht="15.75">
      <c r="A50" s="605" t="s">
        <v>459</v>
      </c>
      <c r="B50" s="607" t="s">
        <v>0</v>
      </c>
      <c r="C50" s="607" t="s">
        <v>0</v>
      </c>
      <c r="D50" s="607"/>
      <c r="E50" s="601">
        <f t="shared" ca="1" si="2"/>
        <v>0</v>
      </c>
      <c r="F50" s="40"/>
      <c r="G50" s="40"/>
      <c r="H50" s="40"/>
      <c r="I50" s="40"/>
      <c r="J50" s="40"/>
      <c r="K50" s="598"/>
      <c r="L50" s="598"/>
      <c r="M50" s="40"/>
      <c r="N50" s="40"/>
      <c r="O50" s="40"/>
      <c r="P50" s="40"/>
      <c r="Q50" s="40"/>
      <c r="R50" s="599"/>
      <c r="S50" s="599"/>
      <c r="T50" s="40"/>
      <c r="U50" s="40"/>
      <c r="V50" s="40"/>
      <c r="W50" s="40"/>
      <c r="X50" s="40"/>
      <c r="Y50" s="599"/>
      <c r="Z50" s="599"/>
      <c r="AA50" s="40"/>
      <c r="AB50" s="40"/>
      <c r="AC50" s="40"/>
      <c r="AD50" s="40"/>
      <c r="AE50" s="40"/>
      <c r="AF50" s="599"/>
      <c r="AG50" s="599"/>
      <c r="AH50" s="40"/>
      <c r="AI50" s="40"/>
      <c r="AJ50" s="40"/>
      <c r="AK50" s="40"/>
      <c r="AL50" s="40"/>
      <c r="AM50" s="599"/>
      <c r="AN50" s="599"/>
      <c r="AO50" s="40"/>
      <c r="AP50" s="40"/>
      <c r="AQ50" s="40"/>
      <c r="AR50" s="40"/>
      <c r="AS50" s="40"/>
      <c r="AT50" s="599"/>
      <c r="AU50" s="599"/>
      <c r="AV50" s="40"/>
      <c r="AW50" s="40"/>
      <c r="AX50" s="40"/>
      <c r="AY50" s="40"/>
      <c r="AZ50" s="40"/>
      <c r="BA50" s="599"/>
      <c r="BB50" s="599"/>
      <c r="BC50" s="40"/>
      <c r="BD50" s="40"/>
      <c r="BE50" s="40"/>
      <c r="BF50" s="40"/>
      <c r="BG50" s="40"/>
      <c r="BH50" s="599"/>
      <c r="BI50" s="599"/>
    </row>
    <row r="51" spans="1:61" ht="15.75">
      <c r="A51" s="650" t="s">
        <v>460</v>
      </c>
      <c r="B51" s="607">
        <f>S.EQC.Meeting</f>
        <v>41990</v>
      </c>
      <c r="C51" s="607">
        <f>B51</f>
        <v>41990</v>
      </c>
      <c r="D51" s="607"/>
      <c r="E51" s="601">
        <f t="shared" ca="1" si="2"/>
        <v>0</v>
      </c>
      <c r="F51" s="40"/>
      <c r="G51" s="40"/>
      <c r="H51" s="40"/>
      <c r="I51" s="40"/>
      <c r="J51" s="40"/>
      <c r="K51" s="598"/>
      <c r="L51" s="598"/>
      <c r="M51" s="40"/>
      <c r="N51" s="40"/>
      <c r="O51" s="40"/>
      <c r="P51" s="40"/>
      <c r="Q51" s="40"/>
      <c r="R51" s="599"/>
      <c r="S51" s="599"/>
      <c r="T51" s="40"/>
      <c r="U51" s="40"/>
      <c r="V51" s="40"/>
      <c r="W51" s="40"/>
      <c r="X51" s="40"/>
      <c r="Y51" s="599"/>
      <c r="Z51" s="599"/>
      <c r="AA51" s="40"/>
      <c r="AB51" s="40"/>
      <c r="AC51" s="40"/>
      <c r="AD51" s="40"/>
      <c r="AE51" s="40"/>
      <c r="AF51" s="599"/>
      <c r="AG51" s="599"/>
      <c r="AH51" s="40"/>
      <c r="AI51" s="40"/>
      <c r="AJ51" s="40"/>
      <c r="AK51" s="40"/>
      <c r="AL51" s="40"/>
      <c r="AM51" s="599"/>
      <c r="AN51" s="599"/>
      <c r="AO51" s="40"/>
      <c r="AP51" s="40"/>
      <c r="AQ51" s="40"/>
      <c r="AR51" s="40"/>
      <c r="AS51" s="40"/>
      <c r="AT51" s="599"/>
      <c r="AU51" s="599"/>
      <c r="AV51" s="40"/>
      <c r="AW51" s="40"/>
      <c r="AX51" s="40"/>
      <c r="AY51" s="40"/>
      <c r="AZ51" s="40"/>
      <c r="BA51" s="599"/>
      <c r="BB51" s="599"/>
      <c r="BC51" s="40"/>
      <c r="BD51" s="40"/>
      <c r="BE51" s="40"/>
      <c r="BF51" s="40"/>
      <c r="BG51" s="40"/>
      <c r="BH51" s="599"/>
      <c r="BI51" s="599"/>
    </row>
    <row r="52" spans="1:61" ht="15.75">
      <c r="A52" s="608" t="s">
        <v>461</v>
      </c>
      <c r="B52" s="607" t="s">
        <v>0</v>
      </c>
      <c r="C52" s="607" t="s">
        <v>0</v>
      </c>
      <c r="D52" s="607"/>
      <c r="E52" s="601">
        <f t="shared" ca="1" si="2"/>
        <v>0</v>
      </c>
      <c r="F52" s="40"/>
      <c r="G52" s="40"/>
      <c r="H52" s="40"/>
      <c r="I52" s="40"/>
      <c r="J52" s="40"/>
      <c r="K52" s="598"/>
      <c r="L52" s="598"/>
      <c r="M52" s="40"/>
      <c r="N52" s="40"/>
      <c r="O52" s="40"/>
      <c r="P52" s="40"/>
      <c r="Q52" s="40"/>
      <c r="R52" s="599"/>
      <c r="S52" s="599"/>
      <c r="T52" s="40"/>
      <c r="U52" s="40"/>
      <c r="V52" s="40"/>
      <c r="W52" s="40"/>
      <c r="X52" s="40"/>
      <c r="Y52" s="599"/>
      <c r="Z52" s="599"/>
      <c r="AA52" s="40"/>
      <c r="AB52" s="40"/>
      <c r="AC52" s="40"/>
      <c r="AD52" s="40"/>
      <c r="AE52" s="40"/>
      <c r="AF52" s="599"/>
      <c r="AG52" s="599"/>
      <c r="AH52" s="40"/>
      <c r="AI52" s="40"/>
      <c r="AJ52" s="40"/>
      <c r="AK52" s="40"/>
      <c r="AL52" s="40"/>
      <c r="AM52" s="599"/>
      <c r="AN52" s="599"/>
      <c r="AO52" s="40"/>
      <c r="AP52" s="40"/>
      <c r="AQ52" s="40"/>
      <c r="AR52" s="40"/>
      <c r="AS52" s="40"/>
      <c r="AT52" s="599"/>
      <c r="AU52" s="599"/>
      <c r="AV52" s="40"/>
      <c r="AW52" s="40"/>
      <c r="AX52" s="40"/>
      <c r="AY52" s="40"/>
      <c r="AZ52" s="40"/>
      <c r="BA52" s="599"/>
      <c r="BB52" s="599"/>
      <c r="BC52" s="40"/>
      <c r="BD52" s="40"/>
      <c r="BE52" s="40"/>
      <c r="BF52" s="40"/>
      <c r="BG52" s="40"/>
      <c r="BH52" s="599"/>
      <c r="BI52" s="599"/>
    </row>
    <row r="53" spans="1:61" ht="15.75">
      <c r="A53" s="648" t="s">
        <v>462</v>
      </c>
      <c r="B53" s="607">
        <f>S.PostEQC.FileRuleWithSOS</f>
        <v>41992</v>
      </c>
      <c r="C53" s="607">
        <f>S.PostEQC.RuleEffective</f>
        <v>41992</v>
      </c>
      <c r="D53" s="607"/>
      <c r="E53" s="601">
        <f t="shared" ca="1" si="2"/>
        <v>0</v>
      </c>
      <c r="F53" s="40"/>
      <c r="G53" s="40"/>
      <c r="H53" s="40"/>
      <c r="I53" s="40"/>
      <c r="J53" s="40"/>
      <c r="K53" s="598"/>
      <c r="L53" s="598"/>
      <c r="M53" s="40"/>
      <c r="N53" s="40"/>
      <c r="O53" s="40"/>
      <c r="P53" s="40"/>
      <c r="Q53" s="40"/>
      <c r="R53" s="599"/>
      <c r="S53" s="599"/>
      <c r="T53" s="40"/>
      <c r="U53" s="40"/>
      <c r="V53" s="40"/>
      <c r="W53" s="40"/>
      <c r="X53" s="40"/>
      <c r="Y53" s="599"/>
      <c r="Z53" s="599"/>
      <c r="AA53" s="40"/>
      <c r="AB53" s="40"/>
      <c r="AC53" s="40"/>
      <c r="AD53" s="40"/>
      <c r="AE53" s="40"/>
      <c r="AF53" s="599"/>
      <c r="AG53" s="599"/>
      <c r="AH53" s="40"/>
      <c r="AI53" s="40"/>
      <c r="AJ53" s="40"/>
      <c r="AK53" s="40"/>
      <c r="AL53" s="40"/>
      <c r="AM53" s="599"/>
      <c r="AN53" s="599"/>
      <c r="AO53" s="40"/>
      <c r="AP53" s="40"/>
      <c r="AQ53" s="40"/>
      <c r="AR53" s="40"/>
      <c r="AS53" s="40"/>
      <c r="AT53" s="599"/>
      <c r="AU53" s="599"/>
      <c r="AV53" s="40"/>
      <c r="AW53" s="40"/>
      <c r="AX53" s="40"/>
      <c r="AY53" s="40"/>
      <c r="AZ53" s="40"/>
      <c r="BA53" s="599"/>
      <c r="BB53" s="599"/>
      <c r="BC53" s="40"/>
      <c r="BD53" s="40"/>
      <c r="BE53" s="40"/>
      <c r="BF53" s="40"/>
      <c r="BG53" s="40"/>
      <c r="BH53" s="599"/>
      <c r="BI53" s="599"/>
    </row>
    <row r="54" spans="1:61" ht="15.75">
      <c r="A54" s="648" t="s">
        <v>463</v>
      </c>
      <c r="B54" s="607">
        <f>S.PostEQC.SubmitDASPart2</f>
        <v>41995</v>
      </c>
      <c r="C54" s="607">
        <f>B54</f>
        <v>41995</v>
      </c>
      <c r="D54" s="607"/>
      <c r="E54" s="601">
        <f t="shared" ca="1" si="2"/>
        <v>0</v>
      </c>
      <c r="F54" s="40"/>
      <c r="G54" s="40"/>
      <c r="H54" s="40"/>
      <c r="I54" s="40"/>
      <c r="J54" s="40"/>
      <c r="K54" s="598"/>
      <c r="L54" s="598"/>
      <c r="M54" s="40"/>
      <c r="N54" s="40"/>
      <c r="O54" s="40"/>
      <c r="P54" s="40"/>
      <c r="Q54" s="40"/>
      <c r="R54" s="599"/>
      <c r="S54" s="599"/>
      <c r="T54" s="40"/>
      <c r="U54" s="40"/>
      <c r="V54" s="40"/>
      <c r="W54" s="40"/>
      <c r="X54" s="40"/>
      <c r="Y54" s="599"/>
      <c r="Z54" s="599"/>
      <c r="AA54" s="40"/>
      <c r="AB54" s="40"/>
      <c r="AC54" s="40"/>
      <c r="AD54" s="40"/>
      <c r="AE54" s="40"/>
      <c r="AF54" s="599"/>
      <c r="AG54" s="599"/>
      <c r="AH54" s="40"/>
      <c r="AI54" s="40"/>
      <c r="AJ54" s="40"/>
      <c r="AK54" s="40"/>
      <c r="AL54" s="40"/>
      <c r="AM54" s="599"/>
      <c r="AN54" s="599"/>
      <c r="AO54" s="40"/>
      <c r="AP54" s="40"/>
      <c r="AQ54" s="40"/>
      <c r="AR54" s="40"/>
      <c r="AS54" s="40"/>
      <c r="AT54" s="599"/>
      <c r="AU54" s="599"/>
      <c r="AV54" s="40"/>
      <c r="AW54" s="40"/>
      <c r="AX54" s="40"/>
      <c r="AY54" s="40"/>
      <c r="AZ54" s="40"/>
      <c r="BA54" s="599"/>
      <c r="BB54" s="599"/>
      <c r="BC54" s="40"/>
      <c r="BD54" s="40"/>
      <c r="BE54" s="40"/>
      <c r="BF54" s="40"/>
      <c r="BG54" s="40"/>
      <c r="BH54" s="599"/>
      <c r="BI54" s="599"/>
    </row>
    <row r="55" spans="1:61" ht="15.75">
      <c r="A55" s="648" t="s">
        <v>464</v>
      </c>
      <c r="B55" s="607">
        <f>S.PostEQC.SubmitSIPToEPA</f>
        <v>42052</v>
      </c>
      <c r="C55" s="607">
        <f>B55</f>
        <v>42052</v>
      </c>
      <c r="D55" s="607"/>
      <c r="E55" s="601">
        <f t="shared" ca="1" si="2"/>
        <v>0</v>
      </c>
      <c r="F55" s="40"/>
      <c r="G55" s="40"/>
      <c r="H55" s="40"/>
      <c r="I55" s="40"/>
      <c r="J55" s="40"/>
      <c r="K55" s="598"/>
      <c r="L55" s="598"/>
      <c r="M55" s="40"/>
      <c r="N55" s="40"/>
      <c r="O55" s="40"/>
      <c r="P55" s="40"/>
      <c r="Q55" s="40"/>
      <c r="R55" s="599"/>
      <c r="S55" s="599"/>
      <c r="T55" s="40"/>
      <c r="U55" s="40"/>
      <c r="V55" s="40"/>
      <c r="W55" s="40"/>
      <c r="X55" s="40"/>
      <c r="Y55" s="599"/>
      <c r="Z55" s="599"/>
      <c r="AA55" s="40"/>
      <c r="AB55" s="40"/>
      <c r="AC55" s="40"/>
      <c r="AD55" s="40"/>
      <c r="AE55" s="40"/>
      <c r="AF55" s="599"/>
      <c r="AG55" s="599"/>
      <c r="AH55" s="40"/>
      <c r="AI55" s="40"/>
      <c r="AJ55" s="40"/>
      <c r="AK55" s="40"/>
      <c r="AL55" s="40"/>
      <c r="AM55" s="599"/>
      <c r="AN55" s="599"/>
      <c r="AO55" s="40"/>
      <c r="AP55" s="40"/>
      <c r="AQ55" s="40"/>
      <c r="AR55" s="40"/>
      <c r="AS55" s="40"/>
      <c r="AT55" s="599"/>
      <c r="AU55" s="599"/>
      <c r="AV55" s="40"/>
      <c r="AW55" s="40"/>
      <c r="AX55" s="40"/>
      <c r="AY55" s="40"/>
      <c r="AZ55" s="40"/>
      <c r="BA55" s="599"/>
      <c r="BB55" s="599"/>
      <c r="BC55" s="40"/>
      <c r="BD55" s="40"/>
      <c r="BE55" s="40"/>
      <c r="BF55" s="40"/>
      <c r="BG55" s="40"/>
      <c r="BH55" s="599"/>
      <c r="BI55" s="599"/>
    </row>
    <row r="56" spans="1:61">
      <c r="A56" s="594"/>
      <c r="B56" s="594"/>
      <c r="C56" s="594"/>
      <c r="D56" s="594"/>
      <c r="E56" s="601">
        <f t="shared" ca="1" si="2"/>
        <v>1</v>
      </c>
      <c r="F56" s="40"/>
      <c r="G56" s="40"/>
      <c r="H56" s="40"/>
      <c r="I56" s="40"/>
      <c r="J56" s="40"/>
      <c r="K56" s="598"/>
      <c r="L56" s="598"/>
      <c r="M56" s="40"/>
      <c r="N56" s="40"/>
      <c r="O56" s="40"/>
      <c r="P56" s="40"/>
      <c r="Q56" s="40"/>
      <c r="R56" s="599"/>
      <c r="S56" s="599"/>
      <c r="T56" s="40"/>
      <c r="U56" s="40"/>
      <c r="V56" s="40"/>
      <c r="W56" s="40"/>
      <c r="X56" s="40"/>
      <c r="Y56" s="599"/>
      <c r="Z56" s="599"/>
      <c r="AA56" s="40"/>
      <c r="AB56" s="40"/>
      <c r="AC56" s="40"/>
      <c r="AD56" s="40"/>
      <c r="AE56" s="40"/>
      <c r="AF56" s="599"/>
      <c r="AG56" s="599"/>
      <c r="AH56" s="40"/>
      <c r="AI56" s="40"/>
      <c r="AJ56" s="40"/>
      <c r="AK56" s="40"/>
      <c r="AL56" s="40"/>
      <c r="AM56" s="599"/>
      <c r="AN56" s="599"/>
      <c r="AO56" s="40"/>
      <c r="AP56" s="40"/>
      <c r="AQ56" s="40"/>
      <c r="AR56" s="40"/>
      <c r="AS56" s="40"/>
      <c r="AT56" s="599"/>
      <c r="AU56" s="599"/>
      <c r="AV56" s="40"/>
      <c r="AW56" s="40"/>
      <c r="AX56" s="40"/>
      <c r="AY56" s="40"/>
      <c r="AZ56" s="40"/>
      <c r="BA56" s="599"/>
      <c r="BB56" s="599"/>
      <c r="BC56" s="40"/>
      <c r="BD56" s="40"/>
      <c r="BE56" s="40"/>
      <c r="BF56" s="40"/>
      <c r="BG56" s="40"/>
      <c r="BH56" s="599"/>
      <c r="BI56" s="599"/>
    </row>
    <row r="57" spans="1:61">
      <c r="A57" s="602"/>
      <c r="B57" s="602"/>
      <c r="C57" s="602"/>
      <c r="D57" s="602"/>
      <c r="E57" s="601">
        <f t="shared" ca="1" si="2"/>
        <v>1</v>
      </c>
      <c r="F57" s="75"/>
      <c r="G57" s="75"/>
      <c r="H57" s="75"/>
      <c r="I57" s="75"/>
      <c r="J57" s="75"/>
      <c r="K57" s="75"/>
      <c r="L57" s="75"/>
      <c r="M57" s="75"/>
      <c r="N57" s="75"/>
      <c r="O57" s="75"/>
      <c r="P57" s="75"/>
      <c r="Q57" s="75"/>
      <c r="R57" s="75"/>
      <c r="S57" s="75"/>
      <c r="T57" s="75"/>
      <c r="U57" s="75"/>
      <c r="V57" s="75"/>
      <c r="W57" s="75"/>
      <c r="X57" s="75"/>
      <c r="Y57" s="75"/>
      <c r="Z57" s="75"/>
      <c r="AA57" s="75"/>
      <c r="AB57" s="75"/>
      <c r="AC57" s="75"/>
      <c r="AD57" s="75"/>
      <c r="AE57" s="75"/>
      <c r="AF57" s="75"/>
      <c r="AG57" s="75"/>
      <c r="AH57" s="75"/>
      <c r="AI57" s="75"/>
      <c r="AJ57" s="75"/>
      <c r="AK57" s="75"/>
      <c r="AL57" s="75"/>
      <c r="AM57" s="75"/>
      <c r="AN57" s="75"/>
      <c r="AO57" s="75"/>
      <c r="AP57" s="75"/>
      <c r="AQ57" s="75"/>
      <c r="AR57" s="75"/>
      <c r="AS57" s="75"/>
      <c r="AT57" s="75"/>
      <c r="AU57" s="75"/>
      <c r="AV57" s="75"/>
      <c r="AW57" s="75"/>
      <c r="AX57" s="75"/>
      <c r="AY57" s="75"/>
      <c r="AZ57" s="75"/>
      <c r="BA57" s="75"/>
      <c r="BB57" s="75"/>
      <c r="BC57" s="75"/>
      <c r="BD57" s="75"/>
      <c r="BE57" s="75"/>
      <c r="BF57" s="75"/>
      <c r="BG57" s="75"/>
      <c r="BH57" s="75"/>
      <c r="BI57" s="75"/>
    </row>
    <row r="58" spans="1:61">
      <c r="A58" s="602"/>
      <c r="B58" s="602"/>
      <c r="C58" s="602"/>
      <c r="D58" s="602"/>
      <c r="E58" s="75"/>
      <c r="F58" s="75"/>
      <c r="G58" s="75"/>
      <c r="H58" s="75"/>
      <c r="I58" s="75"/>
      <c r="J58" s="75"/>
      <c r="K58" s="596"/>
      <c r="L58" s="596"/>
      <c r="M58" s="75"/>
      <c r="N58" s="75"/>
      <c r="O58" s="75"/>
      <c r="P58" s="75"/>
      <c r="Q58" s="75"/>
      <c r="R58" s="597"/>
      <c r="S58" s="597"/>
      <c r="T58" s="75"/>
      <c r="U58" s="75"/>
      <c r="V58" s="75"/>
      <c r="W58" s="75"/>
      <c r="X58" s="75"/>
      <c r="Y58" s="75"/>
      <c r="Z58" s="75"/>
      <c r="AA58" s="75"/>
      <c r="AB58" s="75"/>
      <c r="AC58" s="75"/>
      <c r="AD58" s="75"/>
      <c r="AE58" s="75"/>
      <c r="AF58" s="597"/>
      <c r="AG58" s="597"/>
      <c r="AH58" s="75"/>
      <c r="AI58" s="75"/>
      <c r="AJ58" s="75"/>
      <c r="AK58" s="75"/>
      <c r="AL58" s="75"/>
      <c r="AM58" s="75"/>
      <c r="AN58" s="75"/>
      <c r="AO58" s="75"/>
      <c r="AP58" s="75"/>
      <c r="AQ58" s="75"/>
      <c r="AR58" s="75"/>
      <c r="AS58" s="75"/>
      <c r="AT58" s="597"/>
      <c r="AU58" s="597"/>
      <c r="AV58" s="75"/>
      <c r="AW58" s="75"/>
      <c r="AX58" s="75"/>
      <c r="AY58" s="75"/>
      <c r="AZ58" s="75"/>
      <c r="BA58" s="75"/>
      <c r="BB58" s="75"/>
      <c r="BC58" s="75"/>
      <c r="BD58" s="75"/>
      <c r="BE58" s="75"/>
      <c r="BF58" s="75"/>
      <c r="BG58" s="75"/>
      <c r="BH58" s="597"/>
      <c r="BI58" s="597"/>
    </row>
    <row r="59" spans="1:61">
      <c r="A59" s="602"/>
      <c r="B59" s="602"/>
      <c r="C59" s="602"/>
      <c r="D59" s="602"/>
      <c r="E59" s="75"/>
      <c r="F59" s="75"/>
      <c r="G59" s="75"/>
      <c r="H59" s="75"/>
      <c r="I59" s="75"/>
      <c r="J59" s="75"/>
      <c r="K59" s="596"/>
      <c r="L59" s="596"/>
      <c r="M59" s="75"/>
      <c r="N59" s="75"/>
      <c r="O59" s="75"/>
      <c r="P59" s="75"/>
      <c r="Q59" s="75"/>
      <c r="R59" s="597"/>
      <c r="S59" s="597"/>
      <c r="T59" s="75"/>
      <c r="U59" s="75"/>
      <c r="V59" s="75"/>
      <c r="W59" s="75"/>
      <c r="X59" s="75"/>
      <c r="Y59" s="75"/>
      <c r="Z59" s="75"/>
      <c r="AA59" s="75"/>
      <c r="AB59" s="75"/>
      <c r="AC59" s="75"/>
      <c r="AD59" s="75"/>
      <c r="AE59" s="75"/>
      <c r="AF59" s="597"/>
      <c r="AG59" s="597"/>
      <c r="AH59" s="75"/>
      <c r="AI59" s="75"/>
      <c r="AJ59" s="75"/>
      <c r="AK59" s="75"/>
      <c r="AL59" s="75"/>
      <c r="AM59" s="75"/>
      <c r="AN59" s="75"/>
      <c r="AO59" s="75"/>
      <c r="AP59" s="75"/>
      <c r="AQ59" s="75"/>
      <c r="AR59" s="75"/>
      <c r="AS59" s="75"/>
      <c r="AT59" s="597"/>
      <c r="AU59" s="597"/>
      <c r="AV59" s="75"/>
      <c r="AW59" s="75"/>
      <c r="AX59" s="75"/>
      <c r="AY59" s="75"/>
      <c r="AZ59" s="75"/>
      <c r="BA59" s="75"/>
      <c r="BB59" s="75"/>
      <c r="BC59" s="75"/>
      <c r="BD59" s="75"/>
      <c r="BE59" s="75"/>
      <c r="BF59" s="75"/>
      <c r="BG59" s="75"/>
      <c r="BH59" s="597"/>
      <c r="BI59" s="597"/>
    </row>
    <row r="60" spans="1:61">
      <c r="A60" s="75"/>
      <c r="B60" s="75"/>
      <c r="C60" s="75"/>
      <c r="D60" s="75"/>
      <c r="E60" s="75"/>
      <c r="F60" s="75"/>
      <c r="G60" s="75"/>
      <c r="H60" s="75"/>
      <c r="I60" s="75"/>
      <c r="J60" s="75"/>
      <c r="K60" s="596"/>
      <c r="L60" s="596"/>
      <c r="M60" s="75"/>
      <c r="N60" s="75"/>
      <c r="O60" s="75"/>
      <c r="P60" s="75"/>
      <c r="Q60" s="75"/>
      <c r="R60" s="597"/>
      <c r="S60" s="597"/>
      <c r="T60" s="75"/>
      <c r="U60" s="75"/>
      <c r="V60" s="75"/>
      <c r="W60" s="75"/>
      <c r="X60" s="75"/>
      <c r="Y60" s="75"/>
      <c r="Z60" s="75"/>
      <c r="AA60" s="75"/>
      <c r="AB60" s="75"/>
      <c r="AC60" s="75"/>
      <c r="AD60" s="75"/>
      <c r="AE60" s="75"/>
      <c r="AF60" s="597"/>
      <c r="AG60" s="597"/>
      <c r="AH60" s="75"/>
      <c r="AI60" s="75"/>
      <c r="AJ60" s="75"/>
      <c r="AK60" s="75"/>
      <c r="AL60" s="75"/>
      <c r="AM60" s="75"/>
      <c r="AN60" s="75"/>
      <c r="AO60" s="75"/>
      <c r="AP60" s="75"/>
      <c r="AQ60" s="75"/>
      <c r="AR60" s="75"/>
      <c r="AS60" s="75"/>
      <c r="AT60" s="597"/>
      <c r="AU60" s="597"/>
      <c r="AV60" s="75"/>
      <c r="AW60" s="75"/>
      <c r="AX60" s="75"/>
      <c r="AY60" s="75"/>
      <c r="AZ60" s="75"/>
      <c r="BA60" s="75"/>
      <c r="BB60" s="75"/>
      <c r="BC60" s="75"/>
      <c r="BD60" s="75"/>
      <c r="BE60" s="75"/>
      <c r="BF60" s="75"/>
      <c r="BG60" s="75"/>
      <c r="BH60" s="597"/>
      <c r="BI60" s="597"/>
    </row>
    <row r="61" spans="1:61">
      <c r="A61" s="75"/>
      <c r="B61" s="75"/>
      <c r="C61" s="75"/>
      <c r="D61" s="75"/>
      <c r="E61" s="75"/>
      <c r="F61" s="75"/>
      <c r="G61" s="75"/>
      <c r="H61" s="75"/>
      <c r="I61" s="75"/>
      <c r="J61" s="75"/>
      <c r="K61" s="596"/>
      <c r="L61" s="596"/>
      <c r="M61" s="75"/>
      <c r="N61" s="75"/>
      <c r="O61" s="75"/>
      <c r="P61" s="75"/>
      <c r="Q61" s="75"/>
      <c r="R61" s="597"/>
      <c r="S61" s="597"/>
      <c r="T61" s="75"/>
      <c r="U61" s="75"/>
      <c r="V61" s="75"/>
      <c r="W61" s="75"/>
      <c r="X61" s="75"/>
      <c r="Y61" s="75"/>
      <c r="Z61" s="75"/>
      <c r="AA61" s="75"/>
      <c r="AB61" s="75"/>
      <c r="AC61" s="75"/>
      <c r="AD61" s="75"/>
      <c r="AE61" s="75"/>
      <c r="AF61" s="597"/>
      <c r="AG61" s="597"/>
      <c r="AH61" s="75"/>
      <c r="AI61" s="75"/>
      <c r="AJ61" s="75"/>
      <c r="AK61" s="75"/>
      <c r="AL61" s="75"/>
      <c r="AM61" s="75"/>
      <c r="AN61" s="75"/>
      <c r="AO61" s="75"/>
      <c r="AP61" s="75"/>
      <c r="AQ61" s="75"/>
      <c r="AR61" s="75"/>
      <c r="AS61" s="75"/>
      <c r="AT61" s="597"/>
      <c r="AU61" s="597"/>
      <c r="AV61" s="75"/>
      <c r="AW61" s="75"/>
      <c r="AX61" s="75"/>
      <c r="AY61" s="75"/>
      <c r="AZ61" s="75"/>
      <c r="BA61" s="75"/>
      <c r="BB61" s="75"/>
      <c r="BC61" s="75"/>
      <c r="BD61" s="75"/>
      <c r="BE61" s="75"/>
      <c r="BF61" s="75"/>
      <c r="BG61" s="75"/>
      <c r="BH61" s="597"/>
      <c r="BI61" s="597"/>
    </row>
    <row r="62" spans="1:61">
      <c r="A62" s="75"/>
      <c r="B62" s="75"/>
      <c r="C62" s="75"/>
      <c r="D62" s="75"/>
      <c r="E62" s="75"/>
      <c r="F62" s="75"/>
      <c r="G62" s="75"/>
      <c r="H62" s="75"/>
      <c r="I62" s="75"/>
      <c r="J62" s="75"/>
      <c r="K62" s="596"/>
      <c r="L62" s="596"/>
      <c r="M62" s="75"/>
      <c r="N62" s="75"/>
      <c r="O62" s="75"/>
      <c r="P62" s="75"/>
      <c r="Q62" s="75"/>
      <c r="R62" s="597"/>
      <c r="S62" s="597"/>
      <c r="T62" s="75"/>
      <c r="U62" s="75"/>
      <c r="V62" s="75"/>
      <c r="W62" s="75"/>
      <c r="X62" s="75"/>
      <c r="Y62" s="75"/>
      <c r="Z62" s="75"/>
      <c r="AA62" s="75"/>
      <c r="AB62" s="75"/>
      <c r="AC62" s="75"/>
      <c r="AD62" s="75"/>
      <c r="AE62" s="75"/>
      <c r="AF62" s="597"/>
      <c r="AG62" s="597"/>
      <c r="AH62" s="75"/>
      <c r="AI62" s="75"/>
      <c r="AJ62" s="75"/>
      <c r="AK62" s="75"/>
      <c r="AL62" s="75"/>
      <c r="AM62" s="75"/>
      <c r="AN62" s="75"/>
      <c r="AO62" s="75"/>
      <c r="AP62" s="75"/>
      <c r="AQ62" s="75"/>
      <c r="AR62" s="75"/>
      <c r="AS62" s="75"/>
      <c r="AT62" s="597"/>
      <c r="AU62" s="597"/>
      <c r="AV62" s="75"/>
      <c r="AW62" s="75"/>
      <c r="AX62" s="75"/>
      <c r="AY62" s="75"/>
      <c r="AZ62" s="75"/>
      <c r="BA62" s="75"/>
      <c r="BB62" s="75"/>
      <c r="BC62" s="75"/>
      <c r="BD62" s="75"/>
      <c r="BE62" s="75"/>
      <c r="BF62" s="75"/>
      <c r="BG62" s="75"/>
      <c r="BH62" s="597"/>
      <c r="BI62" s="597"/>
    </row>
    <row r="63" spans="1:61">
      <c r="A63" s="75"/>
      <c r="B63" s="75"/>
      <c r="C63" s="75"/>
      <c r="D63" s="75"/>
      <c r="E63" s="75"/>
      <c r="F63" s="75"/>
      <c r="G63" s="75"/>
      <c r="H63" s="75"/>
      <c r="I63" s="75"/>
      <c r="J63" s="75"/>
      <c r="K63" s="596"/>
      <c r="L63" s="596"/>
      <c r="M63" s="75"/>
      <c r="N63" s="75"/>
      <c r="O63" s="75"/>
      <c r="P63" s="75"/>
      <c r="Q63" s="75"/>
      <c r="R63" s="597"/>
      <c r="S63" s="597"/>
      <c r="T63" s="75"/>
      <c r="U63" s="75"/>
      <c r="V63" s="75"/>
      <c r="W63" s="75"/>
      <c r="X63" s="75"/>
      <c r="Y63" s="75"/>
      <c r="Z63" s="75"/>
      <c r="AA63" s="75"/>
      <c r="AB63" s="75"/>
      <c r="AC63" s="75"/>
      <c r="AD63" s="75"/>
      <c r="AE63" s="75"/>
      <c r="AF63" s="597"/>
      <c r="AG63" s="597"/>
      <c r="AH63" s="75"/>
      <c r="AI63" s="75"/>
      <c r="AJ63" s="75"/>
      <c r="AK63" s="75"/>
      <c r="AL63" s="75"/>
      <c r="AM63" s="75"/>
      <c r="AN63" s="75"/>
      <c r="AO63" s="75"/>
      <c r="AP63" s="75"/>
      <c r="AQ63" s="75"/>
      <c r="AR63" s="75"/>
      <c r="AS63" s="75"/>
      <c r="AT63" s="597"/>
      <c r="AU63" s="597"/>
      <c r="AV63" s="75"/>
      <c r="AW63" s="75"/>
      <c r="AX63" s="75"/>
      <c r="AY63" s="75"/>
      <c r="AZ63" s="75"/>
      <c r="BA63" s="75"/>
      <c r="BB63" s="75"/>
      <c r="BC63" s="75"/>
      <c r="BD63" s="75"/>
      <c r="BE63" s="75"/>
      <c r="BF63" s="75"/>
      <c r="BG63" s="75"/>
      <c r="BH63" s="597"/>
      <c r="BI63" s="597"/>
    </row>
    <row r="64" spans="1:61">
      <c r="A64" s="75"/>
      <c r="B64" s="75"/>
      <c r="C64" s="75"/>
      <c r="D64" s="75"/>
      <c r="E64" s="75"/>
      <c r="F64" s="75"/>
      <c r="G64" s="75"/>
      <c r="H64" s="75"/>
      <c r="I64" s="75"/>
      <c r="J64" s="75"/>
      <c r="K64" s="596"/>
      <c r="L64" s="596"/>
      <c r="M64" s="75"/>
      <c r="N64" s="75"/>
      <c r="O64" s="75"/>
      <c r="P64" s="75"/>
      <c r="Q64" s="75"/>
      <c r="R64" s="597"/>
      <c r="S64" s="597"/>
      <c r="T64" s="75"/>
      <c r="U64" s="75"/>
      <c r="V64" s="75"/>
      <c r="W64" s="75"/>
      <c r="X64" s="75"/>
      <c r="Y64" s="75"/>
      <c r="Z64" s="75"/>
      <c r="AA64" s="75"/>
      <c r="AB64" s="75"/>
      <c r="AC64" s="75"/>
      <c r="AD64" s="75"/>
      <c r="AE64" s="75"/>
      <c r="AF64" s="597"/>
      <c r="AG64" s="597"/>
      <c r="AH64" s="75"/>
      <c r="AI64" s="75"/>
      <c r="AJ64" s="75"/>
      <c r="AK64" s="75"/>
      <c r="AL64" s="75"/>
      <c r="AM64" s="75"/>
      <c r="AN64" s="75"/>
      <c r="AO64" s="75"/>
      <c r="AP64" s="75"/>
      <c r="AQ64" s="75"/>
      <c r="AR64" s="75"/>
      <c r="AS64" s="75"/>
      <c r="AT64" s="597"/>
      <c r="AU64" s="597"/>
      <c r="AV64" s="75"/>
      <c r="AW64" s="75"/>
      <c r="AX64" s="75"/>
      <c r="AY64" s="75"/>
      <c r="AZ64" s="75"/>
      <c r="BA64" s="75"/>
      <c r="BB64" s="75"/>
      <c r="BC64" s="75"/>
      <c r="BD64" s="75"/>
      <c r="BE64" s="75"/>
      <c r="BF64" s="75"/>
      <c r="BG64" s="75"/>
      <c r="BH64" s="597"/>
      <c r="BI64" s="597"/>
    </row>
    <row r="65" spans="1:61">
      <c r="A65" s="75"/>
      <c r="B65" s="75"/>
      <c r="C65" s="75"/>
      <c r="D65" s="75"/>
      <c r="E65" s="75"/>
      <c r="F65" s="75"/>
      <c r="G65" s="75"/>
      <c r="H65" s="75"/>
      <c r="I65" s="75"/>
      <c r="J65" s="75"/>
      <c r="K65" s="596"/>
      <c r="L65" s="596"/>
      <c r="M65" s="75"/>
      <c r="N65" s="75"/>
      <c r="O65" s="75"/>
      <c r="P65" s="75"/>
      <c r="Q65" s="75"/>
      <c r="R65" s="597"/>
      <c r="S65" s="597"/>
      <c r="T65" s="75"/>
      <c r="U65" s="75"/>
      <c r="V65" s="75"/>
      <c r="W65" s="75"/>
      <c r="X65" s="75"/>
      <c r="Y65" s="75"/>
      <c r="Z65" s="75"/>
      <c r="AA65" s="75"/>
      <c r="AB65" s="75"/>
      <c r="AC65" s="75"/>
      <c r="AD65" s="75"/>
      <c r="AE65" s="75"/>
      <c r="AF65" s="597"/>
      <c r="AG65" s="597"/>
      <c r="AH65" s="75"/>
      <c r="AI65" s="75"/>
      <c r="AJ65" s="75"/>
      <c r="AK65" s="75"/>
      <c r="AL65" s="75"/>
      <c r="AM65" s="75"/>
      <c r="AN65" s="75"/>
      <c r="AO65" s="75"/>
      <c r="AP65" s="75"/>
      <c r="AQ65" s="75"/>
      <c r="AR65" s="75"/>
      <c r="AS65" s="75"/>
      <c r="AT65" s="597"/>
      <c r="AU65" s="597"/>
      <c r="AV65" s="75"/>
      <c r="AW65" s="75"/>
      <c r="AX65" s="75"/>
      <c r="AY65" s="75"/>
      <c r="AZ65" s="75"/>
      <c r="BA65" s="75"/>
      <c r="BB65" s="75"/>
      <c r="BC65" s="75"/>
      <c r="BD65" s="75"/>
      <c r="BE65" s="75"/>
      <c r="BF65" s="75"/>
      <c r="BG65" s="75"/>
      <c r="BH65" s="597"/>
      <c r="BI65" s="597"/>
    </row>
    <row r="66" spans="1:61">
      <c r="A66" s="75"/>
      <c r="B66" s="75"/>
      <c r="C66" s="75"/>
      <c r="D66" s="75"/>
      <c r="E66" s="75"/>
      <c r="F66" s="75"/>
      <c r="G66" s="75"/>
      <c r="H66" s="75"/>
      <c r="I66" s="75"/>
      <c r="J66" s="75"/>
      <c r="K66" s="596"/>
      <c r="L66" s="596"/>
      <c r="M66" s="75"/>
      <c r="N66" s="75"/>
      <c r="O66" s="75"/>
      <c r="P66" s="75"/>
      <c r="Q66" s="75"/>
      <c r="R66" s="597"/>
      <c r="S66" s="597"/>
      <c r="T66" s="75"/>
      <c r="U66" s="75"/>
      <c r="V66" s="75"/>
      <c r="W66" s="75"/>
      <c r="X66" s="75"/>
      <c r="Y66" s="75"/>
      <c r="Z66" s="75"/>
      <c r="AA66" s="75"/>
      <c r="AB66" s="75"/>
      <c r="AC66" s="75"/>
      <c r="AD66" s="75"/>
      <c r="AE66" s="75"/>
      <c r="AF66" s="597"/>
      <c r="AG66" s="597"/>
      <c r="AH66" s="75"/>
      <c r="AI66" s="75"/>
      <c r="AJ66" s="75"/>
      <c r="AK66" s="75"/>
      <c r="AL66" s="75"/>
      <c r="AM66" s="75"/>
      <c r="AN66" s="75"/>
      <c r="AO66" s="75"/>
      <c r="AP66" s="75"/>
      <c r="AQ66" s="75"/>
      <c r="AR66" s="75"/>
      <c r="AS66" s="75"/>
      <c r="AT66" s="597"/>
      <c r="AU66" s="597"/>
      <c r="AV66" s="75"/>
      <c r="AW66" s="75"/>
      <c r="AX66" s="75"/>
      <c r="AY66" s="75"/>
      <c r="AZ66" s="75"/>
      <c r="BA66" s="75"/>
      <c r="BB66" s="75"/>
      <c r="BC66" s="75"/>
      <c r="BD66" s="75"/>
      <c r="BE66" s="75"/>
      <c r="BF66" s="75"/>
      <c r="BG66" s="75"/>
      <c r="BH66" s="597"/>
      <c r="BI66" s="597"/>
    </row>
    <row r="67" spans="1:61">
      <c r="A67" s="75"/>
      <c r="B67" s="75"/>
      <c r="C67" s="75"/>
      <c r="D67" s="75"/>
      <c r="E67" s="75"/>
      <c r="F67" s="75"/>
      <c r="G67" s="75"/>
      <c r="H67" s="75"/>
      <c r="I67" s="75"/>
      <c r="J67" s="75"/>
      <c r="K67" s="596"/>
      <c r="L67" s="596"/>
      <c r="M67" s="75"/>
      <c r="N67" s="75"/>
      <c r="O67" s="75"/>
      <c r="P67" s="75"/>
      <c r="Q67" s="75"/>
      <c r="R67" s="597"/>
      <c r="S67" s="597"/>
      <c r="T67" s="75"/>
      <c r="U67" s="75"/>
      <c r="V67" s="75"/>
      <c r="W67" s="75"/>
      <c r="X67" s="75"/>
      <c r="Y67" s="75"/>
      <c r="Z67" s="75"/>
      <c r="AA67" s="75"/>
      <c r="AB67" s="75"/>
      <c r="AC67" s="75"/>
      <c r="AD67" s="75"/>
      <c r="AE67" s="75"/>
      <c r="AF67" s="597"/>
      <c r="AG67" s="597"/>
      <c r="AH67" s="75"/>
      <c r="AI67" s="75"/>
      <c r="AJ67" s="75"/>
      <c r="AK67" s="75"/>
      <c r="AL67" s="75"/>
      <c r="AM67" s="75"/>
      <c r="AN67" s="75"/>
      <c r="AO67" s="75"/>
      <c r="AP67" s="75"/>
      <c r="AQ67" s="75"/>
      <c r="AR67" s="75"/>
      <c r="AS67" s="75"/>
      <c r="AT67" s="597"/>
      <c r="AU67" s="597"/>
      <c r="AV67" s="75"/>
      <c r="AW67" s="75"/>
      <c r="AX67" s="75"/>
      <c r="AY67" s="75"/>
      <c r="AZ67" s="75"/>
      <c r="BA67" s="75"/>
      <c r="BB67" s="75"/>
      <c r="BC67" s="75"/>
      <c r="BD67" s="75"/>
      <c r="BE67" s="75"/>
      <c r="BF67" s="75"/>
      <c r="BG67" s="75"/>
      <c r="BH67" s="597"/>
      <c r="BI67" s="75"/>
    </row>
    <row r="68" spans="1:61">
      <c r="A68" s="75"/>
      <c r="B68" s="75"/>
      <c r="C68" s="75"/>
      <c r="D68" s="75"/>
      <c r="E68" s="75"/>
      <c r="F68" s="75"/>
      <c r="G68" s="75"/>
      <c r="H68" s="75"/>
      <c r="I68" s="75"/>
      <c r="J68" s="75"/>
      <c r="K68" s="596"/>
      <c r="L68" s="596"/>
      <c r="M68" s="75"/>
      <c r="N68" s="75"/>
      <c r="O68" s="75"/>
      <c r="P68" s="75"/>
      <c r="Q68" s="75"/>
      <c r="R68" s="75"/>
      <c r="S68" s="75"/>
      <c r="T68" s="75"/>
      <c r="U68" s="75"/>
      <c r="V68" s="75"/>
      <c r="W68" s="75"/>
      <c r="X68" s="75"/>
      <c r="Y68" s="75"/>
      <c r="Z68" s="75"/>
      <c r="AA68" s="75"/>
      <c r="AB68" s="75"/>
      <c r="AC68" s="75"/>
      <c r="AD68" s="75"/>
      <c r="AE68" s="75"/>
      <c r="AF68" s="75"/>
      <c r="AG68" s="75"/>
      <c r="AH68" s="75"/>
      <c r="AI68" s="75"/>
      <c r="AJ68" s="75"/>
      <c r="AK68" s="75"/>
      <c r="AL68" s="75"/>
      <c r="AM68" s="75"/>
      <c r="AN68" s="75"/>
      <c r="AO68" s="75"/>
      <c r="AP68" s="75"/>
      <c r="AQ68" s="75"/>
      <c r="AR68" s="75"/>
      <c r="AS68" s="75"/>
      <c r="AT68" s="75"/>
      <c r="AU68" s="75"/>
      <c r="AV68" s="75"/>
      <c r="AW68" s="75"/>
      <c r="AX68" s="75"/>
      <c r="AY68" s="75"/>
      <c r="AZ68" s="75"/>
      <c r="BA68" s="75"/>
      <c r="BB68" s="75"/>
      <c r="BC68" s="75"/>
      <c r="BD68" s="75"/>
      <c r="BE68" s="75"/>
      <c r="BF68" s="75"/>
      <c r="BG68" s="75"/>
      <c r="BH68" s="75"/>
      <c r="BI68" s="75"/>
    </row>
    <row r="69" spans="1:61">
      <c r="A69" s="75"/>
      <c r="B69" s="75"/>
      <c r="C69" s="75"/>
      <c r="D69" s="75"/>
      <c r="E69" s="75"/>
      <c r="F69" s="75"/>
      <c r="G69" s="75"/>
      <c r="H69" s="75"/>
      <c r="I69" s="75"/>
      <c r="J69" s="75"/>
      <c r="K69" s="596"/>
      <c r="L69" s="596"/>
      <c r="M69" s="75"/>
      <c r="N69" s="75"/>
      <c r="O69" s="75"/>
      <c r="P69" s="75"/>
      <c r="Q69" s="75"/>
      <c r="R69" s="75"/>
      <c r="S69" s="75"/>
      <c r="T69" s="75"/>
      <c r="U69" s="75"/>
      <c r="V69" s="75"/>
      <c r="W69" s="75"/>
      <c r="X69" s="75"/>
      <c r="Y69" s="75"/>
      <c r="Z69" s="75"/>
      <c r="AA69" s="75"/>
      <c r="AB69" s="75"/>
      <c r="AC69" s="75"/>
      <c r="AD69" s="75"/>
      <c r="AE69" s="75"/>
      <c r="AF69" s="75"/>
      <c r="AG69" s="75"/>
      <c r="AH69" s="75"/>
      <c r="AI69" s="75"/>
      <c r="AJ69" s="75"/>
      <c r="AK69" s="75"/>
      <c r="AL69" s="75"/>
      <c r="AM69" s="75"/>
      <c r="AN69" s="75"/>
      <c r="AO69" s="75"/>
      <c r="AP69" s="75"/>
      <c r="AQ69" s="75"/>
      <c r="AR69" s="75"/>
      <c r="AS69" s="75"/>
      <c r="AT69" s="75"/>
      <c r="AU69" s="75"/>
      <c r="AV69" s="75"/>
      <c r="AW69" s="75"/>
      <c r="AX69" s="75"/>
      <c r="AY69" s="75"/>
      <c r="AZ69" s="75"/>
      <c r="BA69" s="75"/>
      <c r="BB69" s="75"/>
      <c r="BC69" s="75"/>
      <c r="BD69" s="75"/>
      <c r="BE69" s="75"/>
      <c r="BF69" s="75"/>
      <c r="BG69" s="75"/>
      <c r="BH69" s="75"/>
      <c r="BI69" s="75"/>
    </row>
    <row r="70" spans="1:61">
      <c r="A70" s="75"/>
      <c r="B70" s="75"/>
      <c r="C70" s="75"/>
      <c r="D70" s="75"/>
      <c r="E70" s="75"/>
      <c r="F70" s="75"/>
      <c r="G70" s="75"/>
      <c r="H70" s="75"/>
      <c r="I70" s="75"/>
      <c r="J70" s="75"/>
      <c r="K70" s="596"/>
      <c r="L70" s="596"/>
      <c r="M70" s="75"/>
      <c r="N70" s="75"/>
      <c r="O70" s="75"/>
      <c r="P70" s="75"/>
      <c r="Q70" s="75"/>
      <c r="R70" s="75"/>
      <c r="S70" s="75"/>
      <c r="T70" s="75"/>
      <c r="U70" s="75"/>
      <c r="V70" s="75"/>
      <c r="W70" s="75"/>
      <c r="X70" s="75"/>
      <c r="Y70" s="75"/>
      <c r="Z70" s="75"/>
      <c r="AA70" s="75"/>
      <c r="AB70" s="75"/>
      <c r="AC70" s="75"/>
      <c r="AD70" s="75"/>
      <c r="AE70" s="75"/>
      <c r="AF70" s="75"/>
      <c r="AG70" s="75"/>
      <c r="AH70" s="75"/>
      <c r="AI70" s="75"/>
      <c r="AJ70" s="75"/>
      <c r="AK70" s="75"/>
      <c r="AL70" s="75"/>
      <c r="AM70" s="75"/>
      <c r="AN70" s="75"/>
      <c r="AO70" s="75"/>
      <c r="AP70" s="75"/>
      <c r="AQ70" s="75"/>
      <c r="AR70" s="75"/>
      <c r="AS70" s="75"/>
      <c r="AT70" s="75"/>
      <c r="AU70" s="75"/>
      <c r="AV70" s="75"/>
      <c r="AW70" s="75"/>
      <c r="AX70" s="75"/>
      <c r="AY70" s="75"/>
      <c r="AZ70" s="75"/>
      <c r="BA70" s="75"/>
      <c r="BB70" s="75"/>
      <c r="BC70" s="75"/>
      <c r="BD70" s="75"/>
      <c r="BE70" s="75"/>
      <c r="BF70" s="75"/>
      <c r="BG70" s="75"/>
      <c r="BH70" s="75"/>
      <c r="BI70" s="75"/>
    </row>
    <row r="71" spans="1:61">
      <c r="A71" s="75"/>
      <c r="B71" s="75"/>
      <c r="C71" s="75"/>
      <c r="D71" s="75"/>
      <c r="E71" s="75"/>
      <c r="F71" s="75"/>
      <c r="G71" s="75"/>
      <c r="H71" s="75"/>
      <c r="I71" s="75"/>
      <c r="J71" s="75"/>
      <c r="K71" s="596"/>
      <c r="L71" s="596"/>
      <c r="M71" s="75"/>
      <c r="N71" s="75"/>
      <c r="O71" s="75"/>
      <c r="P71" s="75"/>
      <c r="Q71" s="75"/>
      <c r="R71" s="75"/>
      <c r="S71" s="75"/>
      <c r="T71" s="75"/>
      <c r="U71" s="75"/>
      <c r="V71" s="75"/>
      <c r="W71" s="75"/>
      <c r="X71" s="75"/>
      <c r="Y71" s="75"/>
      <c r="Z71" s="75"/>
      <c r="AA71" s="75"/>
      <c r="AB71" s="75"/>
      <c r="AC71" s="75"/>
      <c r="AD71" s="75"/>
      <c r="AE71" s="75"/>
      <c r="AF71" s="75"/>
      <c r="AG71" s="75"/>
      <c r="AH71" s="75"/>
      <c r="AI71" s="75"/>
      <c r="AJ71" s="75"/>
      <c r="AK71" s="75"/>
      <c r="AL71" s="75"/>
      <c r="AM71" s="75"/>
      <c r="AN71" s="75"/>
      <c r="AO71" s="75"/>
      <c r="AP71" s="75"/>
      <c r="AQ71" s="75"/>
      <c r="AR71" s="75"/>
      <c r="AS71" s="75"/>
      <c r="AT71" s="75"/>
      <c r="AU71" s="75"/>
      <c r="AV71" s="75"/>
      <c r="AW71" s="75"/>
      <c r="AX71" s="75"/>
      <c r="AY71" s="75"/>
      <c r="AZ71" s="75"/>
      <c r="BA71" s="75"/>
      <c r="BB71" s="75"/>
      <c r="BC71" s="75"/>
      <c r="BD71" s="75"/>
      <c r="BE71" s="75"/>
      <c r="BF71" s="75"/>
      <c r="BG71" s="75"/>
      <c r="BH71" s="75"/>
      <c r="BI71" s="75"/>
    </row>
    <row r="72" spans="1:61">
      <c r="A72" s="75"/>
      <c r="B72" s="75"/>
      <c r="C72" s="75"/>
      <c r="D72" s="75"/>
      <c r="E72" s="75"/>
      <c r="F72" s="75"/>
      <c r="G72" s="75"/>
      <c r="H72" s="75"/>
      <c r="I72" s="75"/>
      <c r="J72" s="75"/>
      <c r="K72" s="596"/>
      <c r="L72" s="596"/>
      <c r="M72" s="75"/>
      <c r="N72" s="75"/>
      <c r="O72" s="75"/>
      <c r="P72" s="75"/>
      <c r="Q72" s="75"/>
      <c r="R72" s="75"/>
      <c r="S72" s="75"/>
      <c r="T72" s="75"/>
      <c r="U72" s="75"/>
      <c r="V72" s="75"/>
      <c r="W72" s="75"/>
      <c r="X72" s="75"/>
      <c r="Y72" s="75"/>
      <c r="Z72" s="75"/>
      <c r="AA72" s="75"/>
      <c r="AB72" s="75"/>
      <c r="AC72" s="75"/>
      <c r="AD72" s="75"/>
      <c r="AE72" s="75"/>
      <c r="AF72" s="75"/>
      <c r="AG72" s="75"/>
      <c r="AH72" s="75"/>
      <c r="AI72" s="75"/>
      <c r="AJ72" s="75"/>
      <c r="AK72" s="75"/>
      <c r="AL72" s="75"/>
      <c r="AM72" s="75"/>
      <c r="AN72" s="75"/>
      <c r="AO72" s="75"/>
      <c r="AP72" s="75"/>
      <c r="AQ72" s="75"/>
      <c r="AR72" s="75"/>
      <c r="AS72" s="75"/>
      <c r="AT72" s="75"/>
      <c r="AU72" s="75"/>
      <c r="AV72" s="75"/>
      <c r="AW72" s="75"/>
      <c r="AX72" s="75"/>
      <c r="AY72" s="75"/>
      <c r="AZ72" s="75"/>
      <c r="BA72" s="75"/>
      <c r="BB72" s="75"/>
      <c r="BC72" s="75"/>
      <c r="BD72" s="75"/>
      <c r="BE72" s="75"/>
      <c r="BF72" s="75"/>
      <c r="BG72" s="75"/>
      <c r="BH72" s="75"/>
      <c r="BI72" s="75"/>
    </row>
    <row r="73" spans="1:61">
      <c r="A73" s="75"/>
      <c r="B73" s="75"/>
      <c r="C73" s="75"/>
      <c r="D73" s="75"/>
      <c r="E73" s="75"/>
      <c r="F73" s="75"/>
      <c r="G73" s="75"/>
      <c r="H73" s="75"/>
      <c r="I73" s="75"/>
      <c r="J73" s="75"/>
      <c r="K73" s="596"/>
      <c r="L73" s="596"/>
      <c r="M73" s="75"/>
      <c r="N73" s="75"/>
      <c r="O73" s="75"/>
      <c r="P73" s="75"/>
      <c r="Q73" s="75"/>
      <c r="R73" s="75"/>
      <c r="S73" s="75"/>
      <c r="T73" s="75"/>
      <c r="U73" s="75"/>
      <c r="V73" s="75"/>
      <c r="W73" s="75"/>
      <c r="X73" s="75"/>
      <c r="Y73" s="75"/>
      <c r="Z73" s="75"/>
      <c r="AA73" s="75"/>
      <c r="AB73" s="75"/>
      <c r="AC73" s="75"/>
      <c r="AD73" s="75"/>
      <c r="AE73" s="75"/>
      <c r="AF73" s="75"/>
      <c r="AG73" s="75"/>
      <c r="AH73" s="75"/>
      <c r="AI73" s="75"/>
      <c r="AJ73" s="75"/>
      <c r="AK73" s="75"/>
      <c r="AL73" s="75"/>
      <c r="AM73" s="75"/>
      <c r="AN73" s="75"/>
      <c r="AO73" s="75"/>
      <c r="AP73" s="75"/>
      <c r="AQ73" s="75"/>
      <c r="AR73" s="75"/>
      <c r="AS73" s="75"/>
      <c r="AT73" s="75"/>
      <c r="AU73" s="75"/>
      <c r="AV73" s="75"/>
      <c r="AW73" s="75"/>
      <c r="AX73" s="75"/>
      <c r="AY73" s="75"/>
      <c r="AZ73" s="75"/>
      <c r="BA73" s="75"/>
      <c r="BB73" s="75"/>
      <c r="BC73" s="75"/>
      <c r="BD73" s="75"/>
      <c r="BE73" s="75"/>
      <c r="BF73" s="75"/>
      <c r="BG73" s="75"/>
      <c r="BH73" s="75"/>
      <c r="BI73" s="75"/>
    </row>
    <row r="74" spans="1:61">
      <c r="A74" s="75"/>
      <c r="B74" s="75"/>
      <c r="C74" s="75"/>
      <c r="D74" s="75"/>
      <c r="E74" s="75"/>
      <c r="F74" s="75"/>
      <c r="G74" s="75"/>
      <c r="H74" s="75"/>
      <c r="I74" s="75"/>
      <c r="J74" s="75"/>
      <c r="K74" s="596"/>
      <c r="L74" s="596"/>
      <c r="M74" s="75"/>
      <c r="N74" s="75"/>
      <c r="O74" s="75"/>
      <c r="P74" s="75"/>
      <c r="Q74" s="75"/>
      <c r="R74" s="75"/>
      <c r="S74" s="75"/>
      <c r="T74" s="75"/>
      <c r="U74" s="75"/>
      <c r="V74" s="75"/>
      <c r="W74" s="75"/>
      <c r="X74" s="75"/>
      <c r="Y74" s="75"/>
      <c r="Z74" s="75"/>
      <c r="AA74" s="75"/>
      <c r="AB74" s="75"/>
      <c r="AC74" s="75"/>
      <c r="AD74" s="75"/>
      <c r="AE74" s="75"/>
      <c r="AF74" s="75"/>
      <c r="AG74" s="75"/>
      <c r="AH74" s="75"/>
      <c r="AI74" s="75"/>
      <c r="AJ74" s="75"/>
      <c r="AK74" s="75"/>
      <c r="AL74" s="75"/>
      <c r="AM74" s="75"/>
      <c r="AN74" s="75"/>
      <c r="AO74" s="75"/>
      <c r="AP74" s="75"/>
      <c r="AQ74" s="75"/>
      <c r="AR74" s="75"/>
      <c r="AS74" s="75"/>
      <c r="AT74" s="75"/>
      <c r="AU74" s="75"/>
      <c r="AV74" s="75"/>
      <c r="AW74" s="75"/>
      <c r="AX74" s="75"/>
      <c r="AY74" s="75"/>
      <c r="AZ74" s="75"/>
      <c r="BA74" s="75"/>
      <c r="BB74" s="75"/>
      <c r="BC74" s="75"/>
      <c r="BD74" s="75"/>
      <c r="BE74" s="75"/>
      <c r="BF74" s="75"/>
      <c r="BG74" s="75"/>
      <c r="BH74" s="75"/>
      <c r="BI74" s="75"/>
    </row>
    <row r="75" spans="1:61">
      <c r="A75" s="75"/>
      <c r="B75" s="75"/>
      <c r="C75" s="75"/>
      <c r="D75" s="75"/>
      <c r="E75" s="75"/>
      <c r="F75" s="75"/>
      <c r="G75" s="75"/>
      <c r="H75" s="75"/>
      <c r="I75" s="75"/>
      <c r="J75" s="75"/>
      <c r="K75" s="596"/>
      <c r="L75" s="596"/>
      <c r="M75" s="75"/>
      <c r="N75" s="75"/>
      <c r="O75" s="75"/>
      <c r="P75" s="75"/>
      <c r="Q75" s="75"/>
      <c r="R75" s="75"/>
      <c r="S75" s="75"/>
      <c r="T75" s="75"/>
      <c r="U75" s="75"/>
      <c r="V75" s="75"/>
      <c r="W75" s="75"/>
      <c r="X75" s="75"/>
      <c r="Y75" s="75"/>
      <c r="Z75" s="75"/>
      <c r="AA75" s="75"/>
      <c r="AB75" s="75"/>
      <c r="AC75" s="75"/>
      <c r="AD75" s="75"/>
      <c r="AE75" s="75"/>
      <c r="AF75" s="75"/>
      <c r="AG75" s="75"/>
      <c r="AH75" s="75"/>
      <c r="AI75" s="75"/>
      <c r="AJ75" s="75"/>
      <c r="AK75" s="75"/>
      <c r="AL75" s="75"/>
      <c r="AM75" s="75"/>
      <c r="AN75" s="75"/>
      <c r="AO75" s="75"/>
      <c r="AP75" s="75"/>
      <c r="AQ75" s="75"/>
      <c r="AR75" s="75"/>
      <c r="AS75" s="75"/>
      <c r="AT75" s="75"/>
      <c r="AU75" s="75"/>
      <c r="AV75" s="75"/>
      <c r="AW75" s="75"/>
      <c r="AX75" s="75"/>
      <c r="AY75" s="75"/>
      <c r="AZ75" s="75"/>
      <c r="BA75" s="75"/>
      <c r="BB75" s="75"/>
      <c r="BC75" s="75"/>
      <c r="BD75" s="75"/>
      <c r="BE75" s="75"/>
      <c r="BF75" s="75"/>
      <c r="BG75" s="75"/>
      <c r="BH75" s="75"/>
      <c r="BI75" s="75"/>
    </row>
    <row r="76" spans="1:61">
      <c r="A76" s="75"/>
      <c r="B76" s="75"/>
      <c r="C76" s="75"/>
      <c r="D76" s="75"/>
      <c r="E76" s="75"/>
      <c r="F76" s="75"/>
      <c r="G76" s="75"/>
      <c r="H76" s="75"/>
      <c r="I76" s="75"/>
      <c r="J76" s="75"/>
      <c r="K76" s="596"/>
      <c r="L76" s="596"/>
      <c r="M76" s="75"/>
      <c r="N76" s="75"/>
      <c r="O76" s="75"/>
      <c r="P76" s="75"/>
      <c r="Q76" s="75"/>
      <c r="R76" s="75"/>
      <c r="S76" s="75"/>
      <c r="T76" s="75"/>
      <c r="U76" s="75"/>
      <c r="V76" s="75"/>
      <c r="W76" s="75"/>
      <c r="X76" s="75"/>
      <c r="Y76" s="75"/>
      <c r="Z76" s="75"/>
      <c r="AA76" s="75"/>
      <c r="AB76" s="75"/>
      <c r="AC76" s="75"/>
      <c r="AD76" s="75"/>
      <c r="AE76" s="75"/>
      <c r="AF76" s="75"/>
      <c r="AG76" s="75"/>
      <c r="AH76" s="75"/>
      <c r="AI76" s="75"/>
      <c r="AJ76" s="75"/>
      <c r="AK76" s="75"/>
      <c r="AL76" s="75"/>
      <c r="AM76" s="75"/>
      <c r="AN76" s="75"/>
      <c r="AO76" s="75"/>
      <c r="AP76" s="75"/>
      <c r="AQ76" s="75"/>
      <c r="AR76" s="75"/>
      <c r="AS76" s="75"/>
      <c r="AT76" s="75"/>
      <c r="AU76" s="75"/>
      <c r="AV76" s="75"/>
      <c r="AW76" s="75"/>
      <c r="AX76" s="75"/>
      <c r="AY76" s="75"/>
      <c r="AZ76" s="75"/>
      <c r="BA76" s="75"/>
      <c r="BB76" s="75"/>
      <c r="BC76" s="75"/>
      <c r="BD76" s="75"/>
      <c r="BE76" s="75"/>
      <c r="BF76" s="75"/>
      <c r="BG76" s="75"/>
      <c r="BH76" s="75"/>
      <c r="BI76" s="75"/>
    </row>
    <row r="77" spans="1:61">
      <c r="A77" s="75"/>
      <c r="B77" s="75"/>
      <c r="C77" s="75"/>
      <c r="D77" s="75"/>
      <c r="E77" s="75"/>
      <c r="F77" s="75"/>
      <c r="G77" s="75"/>
      <c r="H77" s="75"/>
      <c r="I77" s="75"/>
      <c r="J77" s="75"/>
      <c r="K77" s="596"/>
      <c r="L77" s="596"/>
      <c r="M77" s="75"/>
      <c r="N77" s="75"/>
      <c r="O77" s="75"/>
      <c r="P77" s="75"/>
      <c r="Q77" s="75"/>
      <c r="R77" s="75"/>
      <c r="S77" s="75"/>
      <c r="T77" s="75"/>
      <c r="U77" s="75"/>
      <c r="V77" s="75"/>
      <c r="W77" s="75"/>
      <c r="X77" s="75"/>
      <c r="Y77" s="75"/>
      <c r="Z77" s="75"/>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c r="BF77" s="75"/>
      <c r="BG77" s="75"/>
      <c r="BH77" s="75"/>
      <c r="BI77" s="75"/>
    </row>
    <row r="78" spans="1:61">
      <c r="A78" s="75"/>
      <c r="B78" s="75"/>
      <c r="C78" s="75"/>
      <c r="D78" s="75"/>
      <c r="E78" s="75"/>
      <c r="F78" s="75"/>
      <c r="G78" s="75"/>
      <c r="H78" s="75"/>
      <c r="I78" s="75"/>
      <c r="J78" s="75"/>
      <c r="K78" s="596"/>
      <c r="L78" s="596"/>
      <c r="M78" s="75"/>
      <c r="N78" s="75"/>
      <c r="O78" s="75"/>
      <c r="P78" s="75"/>
      <c r="Q78" s="75"/>
      <c r="R78" s="75"/>
      <c r="S78" s="75"/>
      <c r="T78" s="75"/>
      <c r="U78" s="75"/>
      <c r="V78" s="75"/>
      <c r="W78" s="75"/>
      <c r="X78" s="75"/>
      <c r="Y78" s="75"/>
      <c r="Z78" s="75"/>
      <c r="AA78" s="75"/>
      <c r="AB78" s="75"/>
      <c r="AC78" s="75"/>
      <c r="AD78" s="75"/>
      <c r="AE78" s="75"/>
      <c r="AF78" s="75"/>
      <c r="AG78" s="75"/>
      <c r="AH78" s="75"/>
      <c r="AI78" s="75"/>
      <c r="AJ78" s="75"/>
      <c r="AK78" s="75"/>
      <c r="AL78" s="75"/>
      <c r="AM78" s="75"/>
      <c r="AN78" s="75"/>
      <c r="AO78" s="75"/>
      <c r="AP78" s="75"/>
      <c r="AQ78" s="75"/>
      <c r="AR78" s="75"/>
      <c r="AS78" s="75"/>
      <c r="AT78" s="75"/>
      <c r="AU78" s="75"/>
      <c r="AV78" s="75"/>
      <c r="AW78" s="75"/>
      <c r="AX78" s="75"/>
      <c r="AY78" s="75"/>
      <c r="AZ78" s="75"/>
      <c r="BA78" s="75"/>
      <c r="BB78" s="75"/>
      <c r="BC78" s="75"/>
      <c r="BD78" s="75"/>
      <c r="BE78" s="75"/>
      <c r="BF78" s="75"/>
      <c r="BG78" s="75"/>
      <c r="BH78" s="75"/>
      <c r="BI78" s="75"/>
    </row>
    <row r="79" spans="1:61">
      <c r="A79" s="75"/>
      <c r="B79" s="75"/>
      <c r="C79" s="75"/>
      <c r="D79" s="75"/>
      <c r="E79" s="75"/>
      <c r="F79" s="75"/>
      <c r="G79" s="75"/>
      <c r="H79" s="75"/>
      <c r="I79" s="75"/>
      <c r="J79" s="75"/>
      <c r="K79" s="596"/>
      <c r="L79" s="596"/>
      <c r="M79" s="75"/>
      <c r="N79" s="75"/>
      <c r="O79" s="75"/>
      <c r="P79" s="75"/>
      <c r="Q79" s="75"/>
      <c r="R79" s="75"/>
      <c r="S79" s="75"/>
      <c r="T79" s="75"/>
      <c r="U79" s="75"/>
      <c r="V79" s="75"/>
      <c r="W79" s="75"/>
      <c r="X79" s="75"/>
      <c r="Y79" s="75"/>
      <c r="Z79" s="75"/>
      <c r="AA79" s="75"/>
      <c r="AB79" s="75"/>
      <c r="AC79" s="75"/>
      <c r="AD79" s="75"/>
      <c r="AE79" s="75"/>
      <c r="AF79" s="75"/>
      <c r="AG79" s="75"/>
      <c r="AH79" s="75"/>
      <c r="AI79" s="75"/>
      <c r="AJ79" s="75"/>
      <c r="AK79" s="75"/>
      <c r="AL79" s="75"/>
      <c r="AM79" s="75"/>
      <c r="AN79" s="75"/>
      <c r="AO79" s="75"/>
      <c r="AP79" s="75"/>
      <c r="AQ79" s="75"/>
      <c r="AR79" s="75"/>
      <c r="AS79" s="75"/>
      <c r="AT79" s="75"/>
      <c r="AU79" s="75"/>
      <c r="AV79" s="75"/>
      <c r="AW79" s="75"/>
      <c r="AX79" s="75"/>
      <c r="AY79" s="75"/>
      <c r="AZ79" s="75"/>
      <c r="BA79" s="75"/>
      <c r="BB79" s="75"/>
      <c r="BC79" s="75"/>
      <c r="BD79" s="75"/>
      <c r="BE79" s="75"/>
      <c r="BF79" s="75"/>
      <c r="BG79" s="75"/>
      <c r="BH79" s="75"/>
      <c r="BI79" s="75"/>
    </row>
    <row r="80" spans="1:61">
      <c r="A80" s="75"/>
      <c r="B80" s="75"/>
      <c r="C80" s="75"/>
      <c r="D80" s="75"/>
      <c r="E80" s="75"/>
      <c r="F80" s="75"/>
      <c r="G80" s="75"/>
      <c r="H80" s="75"/>
      <c r="I80" s="75"/>
      <c r="J80" s="75"/>
      <c r="K80" s="596"/>
      <c r="L80" s="596"/>
      <c r="M80" s="75"/>
      <c r="N80" s="75"/>
      <c r="O80" s="75"/>
      <c r="P80" s="75"/>
      <c r="Q80" s="75"/>
      <c r="R80" s="75"/>
      <c r="S80" s="75"/>
      <c r="T80" s="75"/>
      <c r="U80" s="75"/>
      <c r="V80" s="75"/>
      <c r="W80" s="75"/>
      <c r="X80" s="75"/>
      <c r="Y80" s="75"/>
      <c r="Z80" s="75"/>
      <c r="AA80" s="75"/>
      <c r="AB80" s="75"/>
      <c r="AC80" s="75"/>
      <c r="AD80" s="75"/>
      <c r="AE80" s="75"/>
      <c r="AF80" s="75"/>
      <c r="AG80" s="75"/>
      <c r="AH80" s="75"/>
      <c r="AI80" s="75"/>
      <c r="AJ80" s="75"/>
      <c r="AK80" s="75"/>
      <c r="AL80" s="75"/>
      <c r="AM80" s="75"/>
      <c r="AN80" s="75"/>
      <c r="AO80" s="75"/>
      <c r="AP80" s="75"/>
      <c r="AQ80" s="75"/>
      <c r="AR80" s="75"/>
      <c r="AS80" s="75"/>
      <c r="AT80" s="75"/>
      <c r="AU80" s="75"/>
      <c r="AV80" s="75"/>
      <c r="AW80" s="75"/>
      <c r="AX80" s="75"/>
      <c r="AY80" s="75"/>
      <c r="AZ80" s="75"/>
      <c r="BA80" s="75"/>
      <c r="BB80" s="75"/>
      <c r="BC80" s="75"/>
      <c r="BD80" s="75"/>
      <c r="BE80" s="75"/>
      <c r="BF80" s="75"/>
      <c r="BG80" s="75"/>
      <c r="BH80" s="75"/>
      <c r="BI80" s="75"/>
    </row>
    <row r="81" spans="1:61">
      <c r="A81" s="75"/>
      <c r="B81" s="75"/>
      <c r="C81" s="75"/>
      <c r="D81" s="75"/>
      <c r="E81" s="75"/>
      <c r="F81" s="75"/>
      <c r="G81" s="75"/>
      <c r="H81" s="75"/>
      <c r="I81" s="75"/>
      <c r="J81" s="75"/>
      <c r="K81" s="596"/>
      <c r="L81" s="596"/>
      <c r="M81" s="75"/>
      <c r="N81" s="75"/>
      <c r="O81" s="75"/>
      <c r="P81" s="75"/>
      <c r="Q81" s="75"/>
      <c r="R81" s="75"/>
      <c r="S81" s="75"/>
      <c r="T81" s="75"/>
      <c r="U81" s="75"/>
      <c r="V81" s="75"/>
      <c r="W81" s="75"/>
      <c r="X81" s="75"/>
      <c r="Y81" s="75"/>
      <c r="Z81" s="75"/>
      <c r="AA81" s="75"/>
      <c r="AB81" s="75"/>
      <c r="AC81" s="75"/>
      <c r="AD81" s="75"/>
      <c r="AE81" s="75"/>
      <c r="AF81" s="75"/>
      <c r="AG81" s="75"/>
      <c r="AH81" s="75"/>
      <c r="AI81" s="75"/>
      <c r="AJ81" s="75"/>
      <c r="AK81" s="75"/>
      <c r="AL81" s="75"/>
      <c r="AM81" s="75"/>
      <c r="AN81" s="75"/>
      <c r="AO81" s="75"/>
      <c r="AP81" s="75"/>
      <c r="AQ81" s="75"/>
      <c r="AR81" s="75"/>
      <c r="AS81" s="75"/>
      <c r="AT81" s="75"/>
      <c r="AU81" s="75"/>
      <c r="AV81" s="75"/>
      <c r="AW81" s="75"/>
      <c r="AX81" s="75"/>
      <c r="AY81" s="75"/>
      <c r="AZ81" s="75"/>
      <c r="BA81" s="75"/>
      <c r="BB81" s="75"/>
      <c r="BC81" s="75"/>
      <c r="BD81" s="75"/>
      <c r="BE81" s="75"/>
      <c r="BF81" s="75"/>
      <c r="BG81" s="75"/>
      <c r="BH81" s="75"/>
      <c r="BI81" s="75"/>
    </row>
    <row r="82" spans="1:61">
      <c r="A82" s="75"/>
      <c r="B82" s="75"/>
      <c r="C82" s="75"/>
      <c r="D82" s="75"/>
      <c r="E82" s="75"/>
      <c r="F82" s="75"/>
      <c r="G82" s="75"/>
      <c r="H82" s="75"/>
      <c r="I82" s="75"/>
      <c r="J82" s="75"/>
      <c r="K82" s="596"/>
      <c r="L82" s="596"/>
      <c r="M82" s="75"/>
      <c r="N82" s="75"/>
      <c r="O82" s="75"/>
      <c r="P82" s="75"/>
      <c r="Q82" s="75"/>
      <c r="R82" s="75"/>
      <c r="S82" s="75"/>
      <c r="T82" s="75"/>
      <c r="U82" s="75"/>
      <c r="V82" s="75"/>
      <c r="W82" s="75"/>
      <c r="X82" s="75"/>
      <c r="Y82" s="75"/>
      <c r="Z82" s="75"/>
      <c r="AA82" s="75"/>
      <c r="AB82" s="75"/>
      <c r="AC82" s="75"/>
      <c r="AD82" s="75"/>
      <c r="AE82" s="75"/>
      <c r="AF82" s="75"/>
      <c r="AG82" s="75"/>
      <c r="AH82" s="75"/>
      <c r="AI82" s="75"/>
      <c r="AJ82" s="75"/>
      <c r="AK82" s="75"/>
      <c r="AL82" s="75"/>
      <c r="AM82" s="75"/>
      <c r="AN82" s="75"/>
      <c r="AO82" s="75"/>
      <c r="AP82" s="75"/>
      <c r="AQ82" s="75"/>
      <c r="AR82" s="75"/>
      <c r="AS82" s="75"/>
      <c r="AT82" s="75"/>
      <c r="AU82" s="75"/>
      <c r="AV82" s="75"/>
      <c r="AW82" s="75"/>
      <c r="AX82" s="75"/>
      <c r="AY82" s="75"/>
      <c r="AZ82" s="75"/>
      <c r="BA82" s="75"/>
      <c r="BB82" s="75"/>
      <c r="BC82" s="75"/>
      <c r="BD82" s="75"/>
      <c r="BE82" s="75"/>
      <c r="BF82" s="75"/>
      <c r="BG82" s="75"/>
      <c r="BH82" s="75"/>
      <c r="BI82" s="75"/>
    </row>
    <row r="83" spans="1:61">
      <c r="A83" s="75"/>
      <c r="B83" s="75"/>
      <c r="C83" s="75"/>
      <c r="D83" s="75"/>
      <c r="E83" s="75"/>
      <c r="F83" s="75"/>
      <c r="G83" s="75"/>
      <c r="H83" s="75"/>
      <c r="I83" s="75"/>
      <c r="J83" s="75"/>
      <c r="K83" s="596"/>
      <c r="L83" s="596"/>
      <c r="M83" s="75"/>
      <c r="N83" s="75"/>
      <c r="O83" s="75"/>
      <c r="P83" s="75"/>
      <c r="Q83" s="75"/>
      <c r="R83" s="75"/>
      <c r="S83" s="75"/>
      <c r="T83" s="75"/>
      <c r="U83" s="75"/>
      <c r="V83" s="75"/>
      <c r="W83" s="75"/>
      <c r="X83" s="75"/>
      <c r="Y83" s="75"/>
      <c r="Z83" s="75"/>
      <c r="AA83" s="75"/>
      <c r="AB83" s="75"/>
      <c r="AC83" s="75"/>
      <c r="AD83" s="75"/>
      <c r="AE83" s="75"/>
      <c r="AF83" s="75"/>
      <c r="AG83" s="75"/>
      <c r="AH83" s="75"/>
      <c r="AI83" s="75"/>
      <c r="AJ83" s="75"/>
      <c r="AK83" s="75"/>
      <c r="AL83" s="75"/>
      <c r="AM83" s="75"/>
      <c r="AN83" s="75"/>
      <c r="AO83" s="75"/>
      <c r="AP83" s="75"/>
      <c r="AQ83" s="75"/>
      <c r="AR83" s="75"/>
      <c r="AS83" s="75"/>
      <c r="AT83" s="75"/>
      <c r="AU83" s="75"/>
      <c r="AV83" s="75"/>
      <c r="AW83" s="75"/>
      <c r="AX83" s="75"/>
      <c r="AY83" s="75"/>
      <c r="AZ83" s="75"/>
      <c r="BA83" s="75"/>
      <c r="BB83" s="75"/>
      <c r="BC83" s="75"/>
      <c r="BD83" s="75"/>
      <c r="BE83" s="75"/>
      <c r="BF83" s="75"/>
      <c r="BG83" s="75"/>
      <c r="BH83" s="75"/>
      <c r="BI83" s="75"/>
    </row>
    <row r="84" spans="1:61">
      <c r="A84" s="75"/>
      <c r="B84" s="75"/>
      <c r="C84" s="75"/>
      <c r="D84" s="75"/>
      <c r="E84" s="75"/>
      <c r="F84" s="75"/>
      <c r="G84" s="75"/>
      <c r="H84" s="75"/>
      <c r="I84" s="75"/>
      <c r="J84" s="75"/>
      <c r="K84" s="596"/>
      <c r="L84" s="596"/>
      <c r="M84" s="75"/>
      <c r="N84" s="75"/>
      <c r="O84" s="75"/>
      <c r="P84" s="75"/>
      <c r="Q84" s="75"/>
      <c r="R84" s="75"/>
      <c r="S84" s="75"/>
      <c r="T84" s="75"/>
      <c r="U84" s="75"/>
      <c r="V84" s="75"/>
      <c r="W84" s="75"/>
      <c r="X84" s="75"/>
      <c r="Y84" s="75"/>
      <c r="Z84" s="75"/>
      <c r="AA84" s="75"/>
      <c r="AB84" s="75"/>
      <c r="AC84" s="75"/>
      <c r="AD84" s="75"/>
      <c r="AE84" s="75"/>
      <c r="AF84" s="75"/>
      <c r="AG84" s="75"/>
      <c r="AH84" s="75"/>
      <c r="AI84" s="75"/>
      <c r="AJ84" s="75"/>
      <c r="AK84" s="75"/>
      <c r="AL84" s="75"/>
      <c r="AM84" s="75"/>
      <c r="AN84" s="75"/>
      <c r="AO84" s="75"/>
      <c r="AP84" s="75"/>
      <c r="AQ84" s="75"/>
      <c r="AR84" s="75"/>
      <c r="AS84" s="75"/>
      <c r="AT84" s="75"/>
      <c r="AU84" s="75"/>
      <c r="AV84" s="75"/>
      <c r="AW84" s="75"/>
      <c r="AX84" s="75"/>
      <c r="AY84" s="75"/>
      <c r="AZ84" s="75"/>
      <c r="BA84" s="75"/>
      <c r="BB84" s="75"/>
      <c r="BC84" s="75"/>
      <c r="BD84" s="75"/>
      <c r="BE84" s="75"/>
      <c r="BF84" s="75"/>
      <c r="BG84" s="75"/>
      <c r="BH84" s="75"/>
      <c r="BI84" s="75"/>
    </row>
    <row r="85" spans="1:61">
      <c r="A85" s="75"/>
      <c r="B85" s="75"/>
      <c r="C85" s="75"/>
      <c r="D85" s="75"/>
      <c r="E85" s="75"/>
      <c r="F85" s="75"/>
      <c r="G85" s="75"/>
      <c r="H85" s="75"/>
      <c r="I85" s="75"/>
      <c r="J85" s="75"/>
      <c r="K85" s="596"/>
      <c r="L85" s="596"/>
      <c r="M85" s="75"/>
      <c r="N85" s="75"/>
      <c r="O85" s="75"/>
      <c r="P85" s="75"/>
      <c r="Q85" s="75"/>
      <c r="R85" s="75"/>
      <c r="S85" s="75"/>
      <c r="T85" s="75"/>
      <c r="U85" s="75"/>
      <c r="V85" s="75"/>
      <c r="W85" s="75"/>
      <c r="X85" s="75"/>
      <c r="Y85" s="75"/>
      <c r="Z85" s="75"/>
      <c r="AA85" s="75"/>
      <c r="AB85" s="75"/>
      <c r="AC85" s="75"/>
      <c r="AD85" s="75"/>
      <c r="AE85" s="75"/>
      <c r="AF85" s="75"/>
      <c r="AG85" s="75"/>
      <c r="AH85" s="75"/>
      <c r="AI85" s="75"/>
      <c r="AJ85" s="75"/>
      <c r="AK85" s="75"/>
      <c r="AL85" s="75"/>
      <c r="AM85" s="75"/>
      <c r="AN85" s="75"/>
      <c r="AO85" s="75"/>
      <c r="AP85" s="75"/>
      <c r="AQ85" s="75"/>
      <c r="AR85" s="75"/>
      <c r="AS85" s="75"/>
      <c r="AT85" s="75"/>
      <c r="AU85" s="75"/>
      <c r="AV85" s="75"/>
      <c r="AW85" s="75"/>
      <c r="AX85" s="75"/>
      <c r="AY85" s="75"/>
      <c r="AZ85" s="75"/>
      <c r="BA85" s="75"/>
      <c r="BB85" s="75"/>
      <c r="BC85" s="75"/>
      <c r="BD85" s="75"/>
      <c r="BE85" s="75"/>
      <c r="BF85" s="75"/>
      <c r="BG85" s="75"/>
      <c r="BH85" s="75"/>
      <c r="BI85" s="75"/>
    </row>
    <row r="86" spans="1:61">
      <c r="A86" s="75"/>
      <c r="B86" s="75"/>
      <c r="C86" s="75"/>
      <c r="D86" s="75"/>
      <c r="E86" s="75"/>
      <c r="F86" s="75"/>
      <c r="G86" s="75"/>
      <c r="H86" s="75"/>
      <c r="I86" s="75"/>
      <c r="J86" s="75"/>
      <c r="K86" s="596"/>
      <c r="L86" s="596"/>
      <c r="M86" s="75"/>
      <c r="N86" s="75"/>
      <c r="O86" s="75"/>
      <c r="P86" s="75"/>
      <c r="Q86" s="75"/>
      <c r="R86" s="75"/>
      <c r="S86" s="75"/>
      <c r="T86" s="75"/>
      <c r="U86" s="75"/>
      <c r="V86" s="75"/>
      <c r="W86" s="75"/>
      <c r="X86" s="75"/>
      <c r="Y86" s="75"/>
      <c r="Z86" s="75"/>
      <c r="AA86" s="75"/>
      <c r="AB86" s="75"/>
      <c r="AC86" s="75"/>
      <c r="AD86" s="75"/>
      <c r="AE86" s="75"/>
      <c r="AF86" s="75"/>
      <c r="AG86" s="75"/>
      <c r="AH86" s="75"/>
      <c r="AI86" s="75"/>
      <c r="AJ86" s="75"/>
      <c r="AK86" s="75"/>
      <c r="AL86" s="75"/>
      <c r="AM86" s="75"/>
      <c r="AN86" s="75"/>
      <c r="AO86" s="75"/>
      <c r="AP86" s="75"/>
      <c r="AQ86" s="75"/>
      <c r="AR86" s="75"/>
      <c r="AS86" s="75"/>
      <c r="AT86" s="75"/>
      <c r="AU86" s="75"/>
      <c r="AV86" s="75"/>
      <c r="AW86" s="75"/>
      <c r="AX86" s="75"/>
      <c r="AY86" s="75"/>
      <c r="AZ86" s="75"/>
      <c r="BA86" s="75"/>
      <c r="BB86" s="75"/>
      <c r="BC86" s="75"/>
      <c r="BD86" s="75"/>
      <c r="BE86" s="75"/>
      <c r="BF86" s="75"/>
      <c r="BG86" s="75"/>
      <c r="BH86" s="75"/>
      <c r="BI86" s="75"/>
    </row>
    <row r="87" spans="1:61">
      <c r="A87" s="75"/>
      <c r="B87" s="75"/>
      <c r="C87" s="75"/>
      <c r="D87" s="75"/>
      <c r="E87" s="75"/>
      <c r="F87" s="75"/>
      <c r="G87" s="75"/>
      <c r="H87" s="75"/>
      <c r="I87" s="75"/>
      <c r="J87" s="75"/>
      <c r="K87" s="596"/>
      <c r="L87" s="596"/>
      <c r="M87" s="75"/>
      <c r="N87" s="75"/>
      <c r="O87" s="75"/>
      <c r="P87" s="75"/>
      <c r="Q87" s="75"/>
      <c r="R87" s="75"/>
      <c r="S87" s="75"/>
      <c r="T87" s="75"/>
      <c r="U87" s="75"/>
      <c r="V87" s="75"/>
      <c r="W87" s="75"/>
      <c r="X87" s="75"/>
      <c r="Y87" s="75"/>
      <c r="Z87" s="75"/>
      <c r="AA87" s="75"/>
      <c r="AB87" s="75"/>
      <c r="AC87" s="75"/>
      <c r="AD87" s="75"/>
      <c r="AE87" s="75"/>
      <c r="AF87" s="75"/>
      <c r="AG87" s="75"/>
      <c r="AH87" s="75"/>
      <c r="AI87" s="75"/>
      <c r="AJ87" s="75"/>
      <c r="AK87" s="75"/>
      <c r="AL87" s="75"/>
      <c r="AM87" s="75"/>
      <c r="AN87" s="75"/>
      <c r="AO87" s="75"/>
      <c r="AP87" s="75"/>
      <c r="AQ87" s="75"/>
      <c r="AR87" s="75"/>
      <c r="AS87" s="75"/>
      <c r="AT87" s="75"/>
      <c r="AU87" s="75"/>
      <c r="AV87" s="75"/>
      <c r="AW87" s="75"/>
      <c r="AX87" s="75"/>
      <c r="AY87" s="75"/>
      <c r="AZ87" s="75"/>
      <c r="BA87" s="75"/>
      <c r="BB87" s="75"/>
      <c r="BC87" s="75"/>
      <c r="BD87" s="75"/>
      <c r="BE87" s="75"/>
      <c r="BF87" s="75"/>
      <c r="BG87" s="75"/>
      <c r="BH87" s="75"/>
      <c r="BI87" s="75"/>
    </row>
    <row r="88" spans="1:61">
      <c r="A88" s="75"/>
      <c r="B88" s="75"/>
      <c r="C88" s="75"/>
      <c r="D88" s="75"/>
      <c r="E88" s="75"/>
      <c r="F88" s="75"/>
      <c r="G88" s="75"/>
      <c r="H88" s="75"/>
      <c r="I88" s="75"/>
      <c r="J88" s="75"/>
      <c r="K88" s="596"/>
      <c r="L88" s="596"/>
      <c r="M88" s="75"/>
      <c r="N88" s="75"/>
      <c r="O88" s="75"/>
      <c r="P88" s="75"/>
      <c r="Q88" s="75"/>
      <c r="R88" s="75"/>
      <c r="S88" s="75"/>
      <c r="T88" s="75"/>
      <c r="U88" s="75"/>
      <c r="V88" s="75"/>
      <c r="W88" s="75"/>
      <c r="X88" s="75"/>
      <c r="Y88" s="75"/>
      <c r="Z88" s="75"/>
      <c r="AA88" s="75"/>
      <c r="AB88" s="75"/>
      <c r="AC88" s="75"/>
      <c r="AD88" s="75"/>
      <c r="AE88" s="75"/>
      <c r="AF88" s="75"/>
      <c r="AG88" s="75"/>
      <c r="AH88" s="75"/>
      <c r="AI88" s="75"/>
      <c r="AJ88" s="75"/>
      <c r="AK88" s="75"/>
      <c r="AL88" s="75"/>
      <c r="AM88" s="75"/>
      <c r="AN88" s="75"/>
      <c r="AO88" s="75"/>
      <c r="AP88" s="75"/>
      <c r="AQ88" s="75"/>
      <c r="AR88" s="75"/>
      <c r="AS88" s="75"/>
      <c r="AT88" s="75"/>
      <c r="AU88" s="75"/>
      <c r="AV88" s="75"/>
      <c r="AW88" s="75"/>
      <c r="AX88" s="75"/>
      <c r="AY88" s="75"/>
      <c r="AZ88" s="75"/>
      <c r="BA88" s="75"/>
      <c r="BB88" s="75"/>
      <c r="BC88" s="75"/>
      <c r="BD88" s="75"/>
      <c r="BE88" s="75"/>
      <c r="BF88" s="75"/>
      <c r="BG88" s="75"/>
      <c r="BH88" s="75"/>
      <c r="BI88" s="75"/>
    </row>
    <row r="89" spans="1:61">
      <c r="A89" s="75"/>
      <c r="B89" s="75"/>
      <c r="C89" s="75"/>
      <c r="D89" s="75"/>
      <c r="E89" s="75"/>
      <c r="F89" s="75"/>
      <c r="G89" s="75"/>
      <c r="H89" s="75"/>
      <c r="I89" s="75"/>
      <c r="J89" s="75"/>
      <c r="K89" s="596"/>
      <c r="L89" s="596"/>
      <c r="M89" s="75"/>
      <c r="N89" s="75"/>
      <c r="O89" s="75"/>
      <c r="P89" s="75"/>
      <c r="Q89" s="75"/>
      <c r="R89" s="75"/>
      <c r="S89" s="75"/>
      <c r="T89" s="75"/>
      <c r="U89" s="75"/>
      <c r="V89" s="75"/>
      <c r="W89" s="75"/>
      <c r="X89" s="75"/>
      <c r="Y89" s="75"/>
      <c r="Z89" s="75"/>
      <c r="AA89" s="75"/>
      <c r="AB89" s="75"/>
      <c r="AC89" s="75"/>
      <c r="AD89" s="75"/>
      <c r="AE89" s="75"/>
      <c r="AF89" s="75"/>
      <c r="AG89" s="75"/>
      <c r="AH89" s="75"/>
      <c r="AI89" s="75"/>
      <c r="AJ89" s="75"/>
      <c r="AK89" s="75"/>
      <c r="AL89" s="75"/>
      <c r="AM89" s="75"/>
      <c r="AN89" s="75"/>
      <c r="AO89" s="75"/>
      <c r="AP89" s="75"/>
      <c r="AQ89" s="75"/>
      <c r="AR89" s="75"/>
      <c r="AS89" s="75"/>
      <c r="AT89" s="75"/>
      <c r="AU89" s="75"/>
      <c r="AV89" s="75"/>
      <c r="AW89" s="75"/>
      <c r="AX89" s="75"/>
      <c r="AY89" s="75"/>
      <c r="AZ89" s="75"/>
      <c r="BA89" s="75"/>
      <c r="BB89" s="75"/>
      <c r="BC89" s="75"/>
      <c r="BD89" s="75"/>
      <c r="BE89" s="75"/>
      <c r="BF89" s="75"/>
      <c r="BG89" s="75"/>
      <c r="BH89" s="75"/>
      <c r="BI89" s="75"/>
    </row>
    <row r="90" spans="1:61">
      <c r="A90" s="75"/>
      <c r="B90" s="75"/>
      <c r="C90" s="75"/>
      <c r="D90" s="75"/>
      <c r="E90" s="75"/>
      <c r="F90" s="75"/>
      <c r="G90" s="75"/>
      <c r="H90" s="75"/>
      <c r="I90" s="75"/>
      <c r="J90" s="75"/>
      <c r="K90" s="596"/>
      <c r="L90" s="596"/>
      <c r="M90" s="75"/>
      <c r="N90" s="75"/>
      <c r="O90" s="75"/>
      <c r="P90" s="75"/>
      <c r="Q90" s="75"/>
      <c r="R90" s="75"/>
      <c r="S90" s="75"/>
      <c r="T90" s="75"/>
      <c r="U90" s="75"/>
      <c r="V90" s="75"/>
      <c r="W90" s="75"/>
      <c r="X90" s="75"/>
      <c r="Y90" s="75"/>
      <c r="Z90" s="75"/>
      <c r="AA90" s="75"/>
      <c r="AB90" s="75"/>
      <c r="AC90" s="75"/>
      <c r="AD90" s="75"/>
      <c r="AE90" s="75"/>
      <c r="AF90" s="75"/>
      <c r="AG90" s="75"/>
      <c r="AH90" s="75"/>
      <c r="AI90" s="75"/>
      <c r="AJ90" s="75"/>
      <c r="AK90" s="75"/>
      <c r="AL90" s="75"/>
      <c r="AM90" s="75"/>
      <c r="AN90" s="75"/>
      <c r="AO90" s="75"/>
      <c r="AP90" s="75"/>
      <c r="AQ90" s="75"/>
      <c r="AR90" s="75"/>
      <c r="AS90" s="75"/>
      <c r="AT90" s="75"/>
      <c r="AU90" s="75"/>
      <c r="AV90" s="75"/>
      <c r="AW90" s="75"/>
      <c r="AX90" s="75"/>
      <c r="AY90" s="75"/>
      <c r="AZ90" s="75"/>
      <c r="BA90" s="75"/>
      <c r="BB90" s="75"/>
      <c r="BC90" s="75"/>
      <c r="BD90" s="75"/>
      <c r="BE90" s="75"/>
      <c r="BF90" s="75"/>
      <c r="BG90" s="75"/>
      <c r="BH90" s="75"/>
      <c r="BI90" s="75"/>
    </row>
    <row r="91" spans="1:61">
      <c r="A91" s="75"/>
      <c r="B91" s="75"/>
      <c r="C91" s="75"/>
      <c r="D91" s="75"/>
      <c r="E91" s="75"/>
      <c r="F91" s="75"/>
      <c r="G91" s="75"/>
      <c r="H91" s="75"/>
      <c r="I91" s="75"/>
      <c r="J91" s="75"/>
      <c r="K91" s="596"/>
      <c r="L91" s="596"/>
      <c r="M91" s="75"/>
      <c r="N91" s="75"/>
      <c r="O91" s="75"/>
      <c r="P91" s="75"/>
      <c r="Q91" s="75"/>
      <c r="R91" s="75"/>
      <c r="S91" s="75"/>
      <c r="T91" s="75"/>
      <c r="U91" s="75"/>
      <c r="V91" s="75"/>
      <c r="W91" s="75"/>
      <c r="X91" s="75"/>
      <c r="Y91" s="75"/>
      <c r="Z91" s="75"/>
      <c r="AA91" s="75"/>
      <c r="AB91" s="75"/>
      <c r="AC91" s="75"/>
      <c r="AD91" s="75"/>
      <c r="AE91" s="75"/>
      <c r="AF91" s="75"/>
      <c r="AG91" s="75"/>
      <c r="AH91" s="75"/>
      <c r="AI91" s="75"/>
      <c r="AJ91" s="75"/>
      <c r="AK91" s="75"/>
      <c r="AL91" s="75"/>
      <c r="AM91" s="75"/>
      <c r="AN91" s="75"/>
      <c r="AO91" s="75"/>
      <c r="AP91" s="75"/>
      <c r="AQ91" s="75"/>
      <c r="AR91" s="75"/>
      <c r="AS91" s="75"/>
      <c r="AT91" s="75"/>
      <c r="AU91" s="75"/>
      <c r="AV91" s="75"/>
      <c r="AW91" s="75"/>
      <c r="AX91" s="75"/>
      <c r="AY91" s="75"/>
      <c r="AZ91" s="75"/>
      <c r="BA91" s="75"/>
      <c r="BB91" s="75"/>
      <c r="BC91" s="75"/>
      <c r="BD91" s="75"/>
      <c r="BE91" s="75"/>
      <c r="BF91" s="75"/>
      <c r="BG91" s="75"/>
      <c r="BH91" s="75"/>
      <c r="BI91" s="75"/>
    </row>
    <row r="92" spans="1:61">
      <c r="A92" s="75"/>
      <c r="B92" s="75"/>
      <c r="C92" s="75"/>
      <c r="D92" s="75"/>
      <c r="E92" s="75"/>
      <c r="F92" s="75"/>
      <c r="G92" s="75"/>
      <c r="H92" s="75"/>
      <c r="I92" s="75"/>
      <c r="J92" s="75"/>
      <c r="K92" s="596"/>
      <c r="L92" s="596"/>
      <c r="M92" s="75"/>
      <c r="N92" s="75"/>
      <c r="O92" s="75"/>
      <c r="P92" s="75"/>
      <c r="Q92" s="75"/>
      <c r="R92" s="75"/>
      <c r="S92" s="75"/>
      <c r="T92" s="75"/>
      <c r="U92" s="75"/>
      <c r="V92" s="75"/>
      <c r="W92" s="75"/>
      <c r="X92" s="75"/>
      <c r="Y92" s="75"/>
      <c r="Z92" s="75"/>
      <c r="AA92" s="75"/>
      <c r="AB92" s="75"/>
      <c r="AC92" s="75"/>
      <c r="AD92" s="75"/>
      <c r="AE92" s="75"/>
      <c r="AF92" s="75"/>
      <c r="AG92" s="75"/>
      <c r="AH92" s="75"/>
      <c r="AI92" s="75"/>
      <c r="AJ92" s="75"/>
      <c r="AK92" s="75"/>
      <c r="AL92" s="75"/>
      <c r="AM92" s="75"/>
      <c r="AN92" s="75"/>
      <c r="AO92" s="75"/>
      <c r="AP92" s="75"/>
      <c r="AQ92" s="75"/>
      <c r="AR92" s="75"/>
      <c r="AS92" s="75"/>
      <c r="AT92" s="75"/>
      <c r="AU92" s="75"/>
      <c r="AV92" s="75"/>
      <c r="AW92" s="75"/>
      <c r="AX92" s="75"/>
      <c r="AY92" s="75"/>
      <c r="AZ92" s="75"/>
      <c r="BA92" s="75"/>
      <c r="BB92" s="75"/>
      <c r="BC92" s="75"/>
      <c r="BD92" s="75"/>
      <c r="BE92" s="75"/>
      <c r="BF92" s="75"/>
      <c r="BG92" s="75"/>
      <c r="BH92" s="75"/>
      <c r="BI92" s="75"/>
    </row>
    <row r="93" spans="1:61">
      <c r="A93" s="75"/>
      <c r="B93" s="75"/>
      <c r="C93" s="75"/>
      <c r="D93" s="75"/>
      <c r="E93" s="75"/>
      <c r="F93" s="75"/>
      <c r="G93" s="75"/>
      <c r="H93" s="75"/>
      <c r="I93" s="75"/>
      <c r="J93" s="75"/>
      <c r="K93" s="596"/>
      <c r="L93" s="596"/>
      <c r="M93" s="75"/>
      <c r="N93" s="75"/>
      <c r="O93" s="75"/>
      <c r="P93" s="75"/>
      <c r="Q93" s="75"/>
      <c r="R93" s="75"/>
      <c r="S93" s="75"/>
      <c r="T93" s="75"/>
      <c r="U93" s="75"/>
      <c r="V93" s="75"/>
      <c r="W93" s="75"/>
      <c r="X93" s="75"/>
      <c r="Y93" s="75"/>
      <c r="Z93" s="75"/>
      <c r="AA93" s="75"/>
      <c r="AB93" s="75"/>
      <c r="AC93" s="75"/>
      <c r="AD93" s="75"/>
      <c r="AE93" s="75"/>
      <c r="AF93" s="75"/>
      <c r="AG93" s="75"/>
      <c r="AH93" s="75"/>
      <c r="AI93" s="75"/>
      <c r="AJ93" s="75"/>
      <c r="AK93" s="75"/>
      <c r="AL93" s="75"/>
      <c r="AM93" s="75"/>
      <c r="AN93" s="75"/>
      <c r="AO93" s="75"/>
      <c r="AP93" s="75"/>
      <c r="AQ93" s="75"/>
      <c r="AR93" s="75"/>
      <c r="AS93" s="75"/>
      <c r="AT93" s="75"/>
      <c r="AU93" s="75"/>
      <c r="AV93" s="75"/>
      <c r="AW93" s="75"/>
      <c r="AX93" s="75"/>
      <c r="AY93" s="75"/>
      <c r="AZ93" s="75"/>
      <c r="BA93" s="75"/>
      <c r="BB93" s="75"/>
      <c r="BC93" s="75"/>
      <c r="BD93" s="75"/>
      <c r="BE93" s="75"/>
      <c r="BF93" s="75"/>
      <c r="BG93" s="75"/>
      <c r="BH93" s="75"/>
      <c r="BI93" s="75"/>
    </row>
    <row r="94" spans="1:61">
      <c r="A94" s="75"/>
      <c r="B94" s="75"/>
      <c r="C94" s="75"/>
      <c r="D94" s="75"/>
      <c r="E94" s="75"/>
      <c r="F94" s="75"/>
      <c r="G94" s="75"/>
      <c r="H94" s="75"/>
      <c r="I94" s="75"/>
      <c r="J94" s="75"/>
      <c r="K94" s="596"/>
      <c r="L94" s="596"/>
      <c r="M94" s="75"/>
      <c r="N94" s="75"/>
      <c r="O94" s="75"/>
      <c r="P94" s="75"/>
      <c r="Q94" s="75"/>
      <c r="R94" s="75"/>
      <c r="S94" s="75"/>
      <c r="T94" s="75"/>
      <c r="U94" s="75"/>
      <c r="V94" s="75"/>
      <c r="W94" s="75"/>
      <c r="X94" s="75"/>
      <c r="Y94" s="75"/>
      <c r="Z94" s="75"/>
      <c r="AA94" s="75"/>
      <c r="AB94" s="75"/>
      <c r="AC94" s="75"/>
      <c r="AD94" s="75"/>
      <c r="AE94" s="75"/>
      <c r="AF94" s="75"/>
      <c r="AG94" s="75"/>
      <c r="AH94" s="75"/>
      <c r="AI94" s="75"/>
      <c r="AJ94" s="75"/>
      <c r="AK94" s="75"/>
      <c r="AL94" s="75"/>
      <c r="AM94" s="75"/>
      <c r="AN94" s="75"/>
      <c r="AO94" s="75"/>
      <c r="AP94" s="75"/>
      <c r="AQ94" s="75"/>
      <c r="AR94" s="75"/>
      <c r="AS94" s="75"/>
      <c r="AT94" s="75"/>
      <c r="AU94" s="75"/>
      <c r="AV94" s="75"/>
      <c r="AW94" s="75"/>
      <c r="AX94" s="75"/>
      <c r="AY94" s="75"/>
      <c r="AZ94" s="75"/>
      <c r="BA94" s="75"/>
      <c r="BB94" s="75"/>
      <c r="BC94" s="75"/>
      <c r="BD94" s="75"/>
      <c r="BE94" s="75"/>
      <c r="BF94" s="75"/>
      <c r="BG94" s="75"/>
      <c r="BH94" s="75"/>
      <c r="BI94" s="75"/>
    </row>
    <row r="95" spans="1:61">
      <c r="A95" s="75"/>
      <c r="B95" s="75"/>
      <c r="C95" s="75"/>
      <c r="D95" s="75"/>
      <c r="E95" s="75"/>
      <c r="F95" s="75"/>
      <c r="G95" s="75"/>
      <c r="H95" s="75"/>
      <c r="I95" s="75"/>
      <c r="J95" s="75"/>
      <c r="K95" s="596"/>
      <c r="L95" s="596"/>
      <c r="M95" s="75"/>
      <c r="N95" s="75"/>
      <c r="O95" s="75"/>
      <c r="P95" s="75"/>
      <c r="Q95" s="75"/>
      <c r="R95" s="75"/>
      <c r="S95" s="75"/>
      <c r="T95" s="75"/>
      <c r="U95" s="75"/>
      <c r="V95" s="75"/>
      <c r="W95" s="75"/>
      <c r="X95" s="75"/>
      <c r="Y95" s="75"/>
      <c r="Z95" s="75"/>
      <c r="AA95" s="75"/>
      <c r="AB95" s="75"/>
      <c r="AC95" s="75"/>
      <c r="AD95" s="75"/>
      <c r="AE95" s="75"/>
      <c r="AF95" s="75"/>
      <c r="AG95" s="75"/>
      <c r="AH95" s="75"/>
      <c r="AI95" s="75"/>
      <c r="AJ95" s="75"/>
      <c r="AK95" s="75"/>
      <c r="AL95" s="75"/>
      <c r="AM95" s="75"/>
      <c r="AN95" s="75"/>
      <c r="AO95" s="75"/>
      <c r="AP95" s="75"/>
      <c r="AQ95" s="75"/>
      <c r="AR95" s="75"/>
      <c r="AS95" s="75"/>
      <c r="AT95" s="75"/>
      <c r="AU95" s="75"/>
      <c r="AV95" s="75"/>
      <c r="AW95" s="75"/>
      <c r="AX95" s="75"/>
      <c r="AY95" s="75"/>
      <c r="AZ95" s="75"/>
      <c r="BA95" s="75"/>
      <c r="BB95" s="75"/>
      <c r="BC95" s="75"/>
      <c r="BD95" s="75"/>
      <c r="BE95" s="75"/>
      <c r="BF95" s="75"/>
      <c r="BG95" s="75"/>
      <c r="BH95" s="75"/>
      <c r="BI95" s="75"/>
    </row>
    <row r="96" spans="1:61">
      <c r="A96" s="75"/>
      <c r="B96" s="75"/>
      <c r="C96" s="75"/>
      <c r="D96" s="75"/>
      <c r="E96" s="75"/>
      <c r="F96" s="75"/>
      <c r="G96" s="75"/>
      <c r="H96" s="75"/>
      <c r="I96" s="75"/>
      <c r="J96" s="75"/>
      <c r="K96" s="596"/>
      <c r="L96" s="596"/>
      <c r="M96" s="75"/>
      <c r="N96" s="75"/>
      <c r="O96" s="75"/>
      <c r="P96" s="75"/>
      <c r="Q96" s="75"/>
      <c r="R96" s="75"/>
      <c r="S96" s="75"/>
      <c r="T96" s="75"/>
      <c r="U96" s="75"/>
      <c r="V96" s="75"/>
      <c r="W96" s="75"/>
      <c r="X96" s="75"/>
      <c r="Y96" s="75"/>
      <c r="Z96" s="75"/>
      <c r="AA96" s="75"/>
      <c r="AB96" s="75"/>
      <c r="AC96" s="75"/>
      <c r="AD96" s="75"/>
      <c r="AE96" s="75"/>
      <c r="AF96" s="75"/>
      <c r="AG96" s="75"/>
      <c r="AH96" s="75"/>
      <c r="AI96" s="75"/>
      <c r="AJ96" s="75"/>
      <c r="AK96" s="75"/>
      <c r="AL96" s="75"/>
      <c r="AM96" s="75"/>
      <c r="AN96" s="75"/>
      <c r="AO96" s="75"/>
      <c r="AP96" s="75"/>
      <c r="AQ96" s="75"/>
      <c r="AR96" s="75"/>
      <c r="AS96" s="75"/>
      <c r="AT96" s="75"/>
      <c r="AU96" s="75"/>
      <c r="AV96" s="75"/>
      <c r="AW96" s="75"/>
      <c r="AX96" s="75"/>
      <c r="AY96" s="75"/>
      <c r="AZ96" s="75"/>
      <c r="BA96" s="75"/>
      <c r="BB96" s="75"/>
      <c r="BC96" s="75"/>
      <c r="BD96" s="75"/>
      <c r="BE96" s="75"/>
      <c r="BF96" s="75"/>
      <c r="BG96" s="75"/>
      <c r="BH96" s="75"/>
      <c r="BI96" s="75"/>
    </row>
    <row r="97" spans="1:61">
      <c r="A97" s="75"/>
      <c r="B97" s="75"/>
      <c r="C97" s="75"/>
      <c r="D97" s="75"/>
      <c r="E97" s="75"/>
      <c r="F97" s="75"/>
      <c r="G97" s="75"/>
      <c r="H97" s="75"/>
      <c r="I97" s="75"/>
      <c r="J97" s="75"/>
      <c r="K97" s="596"/>
      <c r="L97" s="596"/>
      <c r="M97" s="75"/>
      <c r="N97" s="75"/>
      <c r="O97" s="75"/>
      <c r="P97" s="75"/>
      <c r="Q97" s="75"/>
      <c r="R97" s="75"/>
      <c r="S97" s="75"/>
      <c r="T97" s="75"/>
      <c r="U97" s="75"/>
      <c r="V97" s="75"/>
      <c r="W97" s="75"/>
      <c r="X97" s="75"/>
      <c r="Y97" s="75"/>
      <c r="Z97" s="75"/>
      <c r="AA97" s="75"/>
      <c r="AB97" s="75"/>
      <c r="AC97" s="75"/>
      <c r="AD97" s="75"/>
      <c r="AE97" s="75"/>
      <c r="AF97" s="75"/>
      <c r="AG97" s="75"/>
      <c r="AH97" s="75"/>
      <c r="AI97" s="75"/>
      <c r="AJ97" s="75"/>
      <c r="AK97" s="75"/>
      <c r="AL97" s="75"/>
      <c r="AM97" s="75"/>
      <c r="AN97" s="75"/>
      <c r="AO97" s="75"/>
      <c r="AP97" s="75"/>
      <c r="AQ97" s="75"/>
      <c r="AR97" s="75"/>
      <c r="AS97" s="75"/>
      <c r="AT97" s="75"/>
      <c r="AU97" s="75"/>
      <c r="AV97" s="75"/>
      <c r="AW97" s="75"/>
      <c r="AX97" s="75"/>
      <c r="AY97" s="75"/>
      <c r="AZ97" s="75"/>
      <c r="BA97" s="75"/>
      <c r="BB97" s="75"/>
      <c r="BC97" s="75"/>
      <c r="BD97" s="75"/>
      <c r="BE97" s="75"/>
      <c r="BF97" s="75"/>
      <c r="BG97" s="75"/>
      <c r="BH97" s="75"/>
      <c r="BI97" s="75"/>
    </row>
    <row r="98" spans="1:61">
      <c r="A98" s="75"/>
      <c r="B98" s="75"/>
      <c r="C98" s="75"/>
      <c r="D98" s="75"/>
      <c r="E98" s="75"/>
      <c r="F98" s="75"/>
      <c r="G98" s="75"/>
      <c r="H98" s="75"/>
      <c r="I98" s="75"/>
      <c r="J98" s="75"/>
      <c r="K98" s="596"/>
      <c r="L98" s="596"/>
      <c r="M98" s="75"/>
      <c r="N98" s="75"/>
      <c r="O98" s="75"/>
      <c r="P98" s="75"/>
      <c r="Q98" s="75"/>
      <c r="R98" s="75"/>
      <c r="S98" s="75"/>
      <c r="T98" s="75"/>
      <c r="U98" s="75"/>
      <c r="V98" s="75"/>
      <c r="W98" s="75"/>
      <c r="X98" s="75"/>
      <c r="Y98" s="75"/>
      <c r="Z98" s="75"/>
      <c r="AA98" s="75"/>
      <c r="AB98" s="75"/>
      <c r="AC98" s="75"/>
      <c r="AD98" s="75"/>
      <c r="AE98" s="75"/>
      <c r="AF98" s="75"/>
      <c r="AG98" s="75"/>
      <c r="AH98" s="75"/>
      <c r="AI98" s="75"/>
      <c r="AJ98" s="75"/>
      <c r="AK98" s="75"/>
      <c r="AL98" s="75"/>
      <c r="AM98" s="75"/>
      <c r="AN98" s="75"/>
      <c r="AO98" s="75"/>
      <c r="AP98" s="75"/>
      <c r="AQ98" s="75"/>
      <c r="AR98" s="75"/>
      <c r="AS98" s="75"/>
      <c r="AT98" s="75"/>
      <c r="AU98" s="75"/>
      <c r="AV98" s="75"/>
      <c r="AW98" s="75"/>
      <c r="AX98" s="75"/>
      <c r="AY98" s="75"/>
      <c r="AZ98" s="75"/>
      <c r="BA98" s="75"/>
      <c r="BB98" s="75"/>
      <c r="BC98" s="75"/>
      <c r="BD98" s="75"/>
      <c r="BE98" s="75"/>
      <c r="BF98" s="75"/>
      <c r="BG98" s="75"/>
      <c r="BH98" s="75"/>
      <c r="BI98" s="75"/>
    </row>
    <row r="99" spans="1:61">
      <c r="A99" s="75"/>
      <c r="B99" s="75"/>
      <c r="C99" s="75"/>
      <c r="D99" s="75"/>
      <c r="E99" s="75"/>
      <c r="F99" s="75"/>
      <c r="G99" s="75"/>
      <c r="H99" s="75"/>
      <c r="I99" s="75"/>
      <c r="J99" s="75"/>
      <c r="K99" s="596"/>
      <c r="L99" s="596"/>
      <c r="M99" s="75"/>
      <c r="N99" s="75"/>
      <c r="O99" s="75"/>
      <c r="P99" s="75"/>
      <c r="Q99" s="75"/>
      <c r="R99" s="75"/>
      <c r="S99" s="75"/>
      <c r="T99" s="75"/>
      <c r="U99" s="75"/>
      <c r="V99" s="75"/>
      <c r="W99" s="75"/>
      <c r="X99" s="75"/>
      <c r="Y99" s="75"/>
      <c r="Z99" s="75"/>
      <c r="AA99" s="75"/>
      <c r="AB99" s="75"/>
      <c r="AC99" s="75"/>
      <c r="AD99" s="75"/>
      <c r="AE99" s="75"/>
      <c r="AF99" s="75"/>
      <c r="AG99" s="75"/>
      <c r="AH99" s="75"/>
      <c r="AI99" s="75"/>
      <c r="AJ99" s="75"/>
      <c r="AK99" s="75"/>
      <c r="AL99" s="75"/>
      <c r="AM99" s="75"/>
      <c r="AN99" s="75"/>
      <c r="AO99" s="75"/>
      <c r="AP99" s="75"/>
      <c r="AQ99" s="75"/>
      <c r="AR99" s="75"/>
      <c r="AS99" s="75"/>
      <c r="AT99" s="75"/>
      <c r="AU99" s="75"/>
      <c r="AV99" s="75"/>
      <c r="AW99" s="75"/>
      <c r="AX99" s="75"/>
      <c r="AY99" s="75"/>
      <c r="AZ99" s="75"/>
      <c r="BA99" s="75"/>
      <c r="BB99" s="75"/>
      <c r="BC99" s="75"/>
      <c r="BD99" s="75"/>
      <c r="BE99" s="75"/>
      <c r="BF99" s="75"/>
      <c r="BG99" s="75"/>
      <c r="BH99" s="75"/>
      <c r="BI99" s="75"/>
    </row>
    <row r="100" spans="1:61">
      <c r="A100" s="75"/>
      <c r="B100" s="75"/>
      <c r="C100" s="75"/>
      <c r="D100" s="75"/>
      <c r="E100" s="75"/>
      <c r="F100" s="75"/>
      <c r="G100" s="75"/>
      <c r="H100" s="75"/>
      <c r="I100" s="75"/>
      <c r="J100" s="75"/>
      <c r="K100" s="596"/>
      <c r="L100" s="596"/>
      <c r="M100" s="75"/>
      <c r="N100" s="75"/>
      <c r="O100" s="75"/>
      <c r="P100" s="75"/>
      <c r="Q100" s="75"/>
      <c r="R100" s="75"/>
      <c r="S100" s="75"/>
      <c r="T100" s="75"/>
      <c r="U100" s="75"/>
      <c r="V100" s="75"/>
      <c r="W100" s="75"/>
      <c r="X100" s="75"/>
      <c r="Y100" s="75"/>
      <c r="Z100" s="75"/>
      <c r="AA100" s="75"/>
      <c r="AB100" s="75"/>
      <c r="AC100" s="75"/>
      <c r="AD100" s="75"/>
      <c r="AE100" s="75"/>
      <c r="AF100" s="75"/>
      <c r="AG100" s="75"/>
      <c r="AH100" s="75"/>
      <c r="AI100" s="75"/>
      <c r="AJ100" s="75"/>
      <c r="AK100" s="75"/>
      <c r="AL100" s="75"/>
      <c r="AM100" s="75"/>
      <c r="AN100" s="75"/>
      <c r="AO100" s="75"/>
      <c r="AP100" s="75"/>
      <c r="AQ100" s="75"/>
      <c r="AR100" s="75"/>
      <c r="AS100" s="75"/>
      <c r="AT100" s="75"/>
      <c r="AU100" s="75"/>
      <c r="AV100" s="75"/>
      <c r="AW100" s="75"/>
      <c r="AX100" s="75"/>
      <c r="AY100" s="75"/>
      <c r="AZ100" s="75"/>
      <c r="BA100" s="75"/>
      <c r="BB100" s="75"/>
      <c r="BC100" s="75"/>
      <c r="BD100" s="75"/>
      <c r="BE100" s="75"/>
      <c r="BF100" s="75"/>
      <c r="BG100" s="75"/>
      <c r="BH100" s="75"/>
      <c r="BI100" s="75"/>
    </row>
    <row r="101" spans="1:61">
      <c r="A101" s="75"/>
      <c r="B101" s="75"/>
      <c r="C101" s="75"/>
      <c r="D101" s="75"/>
      <c r="E101" s="75"/>
      <c r="F101" s="75"/>
      <c r="G101" s="75"/>
      <c r="H101" s="75"/>
      <c r="I101" s="75"/>
      <c r="J101" s="75"/>
      <c r="K101" s="596"/>
      <c r="L101" s="596"/>
      <c r="M101" s="75"/>
      <c r="N101" s="75"/>
      <c r="O101" s="75"/>
      <c r="P101" s="75"/>
      <c r="Q101" s="75"/>
      <c r="R101" s="75"/>
      <c r="S101" s="75"/>
      <c r="T101" s="75"/>
      <c r="U101" s="75"/>
      <c r="V101" s="75"/>
      <c r="W101" s="75"/>
      <c r="X101" s="75"/>
      <c r="Y101" s="75"/>
      <c r="Z101" s="75"/>
      <c r="AA101" s="75"/>
      <c r="AB101" s="75"/>
      <c r="AC101" s="75"/>
      <c r="AD101" s="75"/>
      <c r="AE101" s="75"/>
      <c r="AF101" s="75"/>
      <c r="AG101" s="75"/>
      <c r="AH101" s="75"/>
      <c r="AI101" s="75"/>
      <c r="AJ101" s="75"/>
      <c r="AK101" s="75"/>
      <c r="AL101" s="75"/>
      <c r="AM101" s="75"/>
      <c r="AN101" s="75"/>
      <c r="AO101" s="75"/>
      <c r="AP101" s="75"/>
      <c r="AQ101" s="75"/>
      <c r="AR101" s="75"/>
      <c r="AS101" s="75"/>
      <c r="AT101" s="75"/>
      <c r="AU101" s="75"/>
      <c r="AV101" s="75"/>
      <c r="AW101" s="75"/>
      <c r="AX101" s="75"/>
      <c r="AY101" s="75"/>
      <c r="AZ101" s="75"/>
      <c r="BA101" s="75"/>
      <c r="BB101" s="75"/>
      <c r="BC101" s="75"/>
      <c r="BD101" s="75"/>
      <c r="BE101" s="75"/>
      <c r="BF101" s="75"/>
      <c r="BG101" s="75"/>
      <c r="BH101" s="75"/>
      <c r="BI101" s="75"/>
    </row>
    <row r="102" spans="1:61">
      <c r="A102" s="75"/>
      <c r="B102" s="75"/>
      <c r="C102" s="75"/>
      <c r="D102" s="75"/>
      <c r="E102" s="75"/>
      <c r="F102" s="75"/>
      <c r="G102" s="75"/>
      <c r="H102" s="75"/>
      <c r="I102" s="75"/>
      <c r="J102" s="75"/>
      <c r="K102" s="596"/>
      <c r="L102" s="596"/>
      <c r="M102" s="75"/>
      <c r="N102" s="75"/>
      <c r="O102" s="75"/>
      <c r="P102" s="75"/>
      <c r="Q102" s="75"/>
      <c r="R102" s="75"/>
      <c r="S102" s="75"/>
      <c r="T102" s="75"/>
      <c r="U102" s="75"/>
      <c r="V102" s="75"/>
      <c r="W102" s="75"/>
      <c r="X102" s="75"/>
      <c r="Y102" s="75"/>
      <c r="Z102" s="75"/>
      <c r="AA102" s="75"/>
      <c r="AB102" s="75"/>
      <c r="AC102" s="75"/>
      <c r="AD102" s="75"/>
      <c r="AE102" s="75"/>
      <c r="AF102" s="75"/>
      <c r="AG102" s="75"/>
      <c r="AH102" s="75"/>
      <c r="AI102" s="75"/>
      <c r="AJ102" s="75"/>
      <c r="AK102" s="75"/>
      <c r="AL102" s="75"/>
      <c r="AM102" s="75"/>
      <c r="AN102" s="75"/>
      <c r="AO102" s="75"/>
      <c r="AP102" s="75"/>
      <c r="AQ102" s="75"/>
      <c r="AR102" s="75"/>
      <c r="AS102" s="75"/>
      <c r="AT102" s="75"/>
      <c r="AU102" s="75"/>
      <c r="AV102" s="75"/>
      <c r="AW102" s="75"/>
      <c r="AX102" s="75"/>
      <c r="AY102" s="75"/>
      <c r="AZ102" s="75"/>
      <c r="BA102" s="75"/>
      <c r="BB102" s="75"/>
      <c r="BC102" s="75"/>
      <c r="BD102" s="75"/>
      <c r="BE102" s="75"/>
      <c r="BF102" s="75"/>
      <c r="BG102" s="75"/>
      <c r="BH102" s="75"/>
      <c r="BI102" s="75"/>
    </row>
    <row r="103" spans="1:61">
      <c r="A103" s="75"/>
      <c r="B103" s="75"/>
      <c r="C103" s="75"/>
      <c r="D103" s="75"/>
      <c r="E103" s="75"/>
      <c r="F103" s="75"/>
      <c r="G103" s="75"/>
      <c r="H103" s="75"/>
      <c r="I103" s="75"/>
      <c r="J103" s="75"/>
      <c r="K103" s="596"/>
      <c r="L103" s="596"/>
      <c r="M103" s="75"/>
      <c r="N103" s="75"/>
      <c r="O103" s="75"/>
      <c r="P103" s="75"/>
      <c r="Q103" s="75"/>
      <c r="R103" s="75"/>
      <c r="S103" s="75"/>
      <c r="T103" s="75"/>
      <c r="U103" s="75"/>
      <c r="V103" s="75"/>
      <c r="W103" s="75"/>
      <c r="X103" s="75"/>
      <c r="Y103" s="75"/>
      <c r="Z103" s="75"/>
      <c r="AA103" s="75"/>
      <c r="AB103" s="75"/>
      <c r="AC103" s="75"/>
      <c r="AD103" s="75"/>
      <c r="AE103" s="75"/>
      <c r="AF103" s="75"/>
      <c r="AG103" s="75"/>
      <c r="AH103" s="75"/>
      <c r="AI103" s="75"/>
      <c r="AJ103" s="75"/>
      <c r="AK103" s="75"/>
      <c r="AL103" s="75"/>
      <c r="AM103" s="75"/>
      <c r="AN103" s="75"/>
      <c r="AO103" s="75"/>
      <c r="AP103" s="75"/>
      <c r="AQ103" s="75"/>
      <c r="AR103" s="75"/>
      <c r="AS103" s="75"/>
      <c r="AT103" s="75"/>
      <c r="AU103" s="75"/>
      <c r="AV103" s="75"/>
      <c r="AW103" s="75"/>
      <c r="AX103" s="75"/>
      <c r="AY103" s="75"/>
      <c r="AZ103" s="75"/>
      <c r="BA103" s="75"/>
      <c r="BB103" s="75"/>
      <c r="BC103" s="75"/>
      <c r="BD103" s="75"/>
      <c r="BE103" s="75"/>
      <c r="BF103" s="75"/>
      <c r="BG103" s="75"/>
      <c r="BH103" s="75"/>
      <c r="BI103" s="75"/>
    </row>
    <row r="104" spans="1:61">
      <c r="A104" s="75"/>
      <c r="B104" s="75"/>
      <c r="C104" s="75"/>
      <c r="D104" s="75"/>
      <c r="E104" s="75"/>
      <c r="F104" s="75"/>
      <c r="G104" s="75"/>
      <c r="H104" s="75"/>
      <c r="I104" s="75"/>
      <c r="J104" s="75"/>
      <c r="K104" s="596"/>
      <c r="L104" s="596"/>
      <c r="M104" s="75"/>
      <c r="N104" s="75"/>
      <c r="O104" s="75"/>
      <c r="P104" s="75"/>
      <c r="Q104" s="75"/>
      <c r="R104" s="75"/>
      <c r="S104" s="75"/>
      <c r="T104" s="75"/>
      <c r="U104" s="75"/>
      <c r="V104" s="75"/>
      <c r="W104" s="75"/>
      <c r="X104" s="75"/>
      <c r="Y104" s="75"/>
      <c r="Z104" s="75"/>
      <c r="AA104" s="75"/>
      <c r="AB104" s="75"/>
      <c r="AC104" s="75"/>
      <c r="AD104" s="75"/>
      <c r="AE104" s="75"/>
      <c r="AF104" s="75"/>
      <c r="AG104" s="75"/>
      <c r="AH104" s="75"/>
      <c r="AI104" s="75"/>
      <c r="AJ104" s="75"/>
      <c r="AK104" s="75"/>
      <c r="AL104" s="75"/>
      <c r="AM104" s="75"/>
      <c r="AN104" s="75"/>
      <c r="AO104" s="75"/>
      <c r="AP104" s="75"/>
      <c r="AQ104" s="75"/>
      <c r="AR104" s="75"/>
      <c r="AS104" s="75"/>
      <c r="AT104" s="75"/>
      <c r="AU104" s="75"/>
      <c r="AV104" s="75"/>
      <c r="AW104" s="75"/>
      <c r="AX104" s="75"/>
      <c r="AY104" s="75"/>
      <c r="AZ104" s="75"/>
      <c r="BA104" s="75"/>
      <c r="BB104" s="75"/>
      <c r="BC104" s="75"/>
      <c r="BD104" s="75"/>
      <c r="BE104" s="75"/>
      <c r="BF104" s="75"/>
      <c r="BG104" s="75"/>
      <c r="BH104" s="75"/>
      <c r="BI104" s="75"/>
    </row>
    <row r="105" spans="1:61">
      <c r="A105" s="75"/>
      <c r="B105" s="75"/>
      <c r="C105" s="75"/>
      <c r="D105" s="75"/>
      <c r="E105" s="75"/>
      <c r="F105" s="75"/>
      <c r="G105" s="75"/>
      <c r="H105" s="75"/>
      <c r="I105" s="75"/>
      <c r="J105" s="75"/>
      <c r="K105" s="596"/>
      <c r="L105" s="596"/>
      <c r="M105" s="75"/>
      <c r="N105" s="75"/>
      <c r="O105" s="75"/>
      <c r="P105" s="75"/>
      <c r="Q105" s="75"/>
      <c r="R105" s="75"/>
      <c r="S105" s="75"/>
      <c r="T105" s="75"/>
      <c r="U105" s="75"/>
      <c r="V105" s="75"/>
      <c r="W105" s="75"/>
      <c r="X105" s="75"/>
      <c r="Y105" s="75"/>
      <c r="Z105" s="75"/>
      <c r="AA105" s="75"/>
      <c r="AB105" s="75"/>
      <c r="AC105" s="75"/>
      <c r="AD105" s="75"/>
      <c r="AE105" s="75"/>
      <c r="AF105" s="75"/>
      <c r="AG105" s="75"/>
      <c r="AH105" s="75"/>
      <c r="AI105" s="75"/>
      <c r="AJ105" s="75"/>
      <c r="AK105" s="75"/>
      <c r="AL105" s="75"/>
      <c r="AM105" s="75"/>
      <c r="AN105" s="75"/>
      <c r="AO105" s="75"/>
      <c r="AP105" s="75"/>
      <c r="AQ105" s="75"/>
      <c r="AR105" s="75"/>
      <c r="AS105" s="75"/>
      <c r="AT105" s="75"/>
      <c r="AU105" s="75"/>
      <c r="AV105" s="75"/>
      <c r="AW105" s="75"/>
      <c r="AX105" s="75"/>
      <c r="AY105" s="75"/>
      <c r="AZ105" s="75"/>
      <c r="BA105" s="75"/>
      <c r="BB105" s="75"/>
      <c r="BC105" s="75"/>
      <c r="BD105" s="75"/>
      <c r="BE105" s="75"/>
      <c r="BF105" s="75"/>
      <c r="BG105" s="75"/>
      <c r="BH105" s="75"/>
      <c r="BI105" s="75"/>
    </row>
    <row r="106" spans="1:61">
      <c r="A106" s="75"/>
      <c r="B106" s="75"/>
      <c r="C106" s="75"/>
      <c r="D106" s="75"/>
      <c r="E106" s="75"/>
      <c r="F106" s="75"/>
      <c r="G106" s="75"/>
      <c r="H106" s="75"/>
      <c r="I106" s="75"/>
      <c r="J106" s="75"/>
      <c r="K106" s="596"/>
      <c r="L106" s="596"/>
      <c r="M106" s="75"/>
      <c r="N106" s="75"/>
      <c r="O106" s="75"/>
      <c r="P106" s="75"/>
      <c r="Q106" s="75"/>
      <c r="R106" s="75"/>
      <c r="S106" s="75"/>
      <c r="T106" s="75"/>
      <c r="U106" s="75"/>
      <c r="V106" s="75"/>
      <c r="W106" s="75"/>
      <c r="X106" s="75"/>
      <c r="Y106" s="75"/>
      <c r="Z106" s="75"/>
      <c r="AA106" s="75"/>
      <c r="AB106" s="75"/>
      <c r="AC106" s="75"/>
      <c r="AD106" s="75"/>
      <c r="AE106" s="75"/>
      <c r="AF106" s="75"/>
      <c r="AG106" s="75"/>
      <c r="AH106" s="75"/>
      <c r="AI106" s="75"/>
      <c r="AJ106" s="75"/>
      <c r="AK106" s="75"/>
      <c r="AL106" s="75"/>
      <c r="AM106" s="75"/>
      <c r="AN106" s="75"/>
      <c r="AO106" s="75"/>
      <c r="AP106" s="75"/>
      <c r="AQ106" s="75"/>
      <c r="AR106" s="75"/>
      <c r="AS106" s="75"/>
      <c r="AT106" s="75"/>
      <c r="AU106" s="75"/>
      <c r="AV106" s="75"/>
      <c r="AW106" s="75"/>
      <c r="AX106" s="75"/>
      <c r="AY106" s="75"/>
      <c r="AZ106" s="75"/>
      <c r="BA106" s="75"/>
      <c r="BB106" s="75"/>
      <c r="BC106" s="75"/>
      <c r="BD106" s="75"/>
      <c r="BE106" s="75"/>
      <c r="BF106" s="75"/>
      <c r="BG106" s="75"/>
      <c r="BH106" s="75"/>
      <c r="BI106" s="75"/>
    </row>
    <row r="107" spans="1:61">
      <c r="A107" s="75"/>
      <c r="B107" s="75"/>
      <c r="C107" s="75"/>
      <c r="D107" s="75"/>
      <c r="E107" s="75"/>
      <c r="F107" s="75"/>
      <c r="G107" s="75"/>
      <c r="H107" s="75"/>
      <c r="I107" s="75"/>
      <c r="J107" s="75"/>
      <c r="K107" s="596"/>
      <c r="L107" s="596"/>
      <c r="M107" s="75"/>
      <c r="N107" s="75"/>
      <c r="O107" s="75"/>
      <c r="P107" s="75"/>
      <c r="Q107" s="75"/>
      <c r="R107" s="75"/>
      <c r="S107" s="75"/>
      <c r="T107" s="75"/>
      <c r="U107" s="75"/>
      <c r="V107" s="75"/>
      <c r="W107" s="75"/>
      <c r="X107" s="75"/>
      <c r="Y107" s="75"/>
      <c r="Z107" s="75"/>
      <c r="AA107" s="75"/>
      <c r="AB107" s="75"/>
      <c r="AC107" s="75"/>
      <c r="AD107" s="75"/>
      <c r="AE107" s="75"/>
      <c r="AF107" s="75"/>
      <c r="AG107" s="75"/>
      <c r="AH107" s="75"/>
      <c r="AI107" s="75"/>
      <c r="AJ107" s="75"/>
      <c r="AK107" s="75"/>
      <c r="AL107" s="75"/>
      <c r="AM107" s="75"/>
      <c r="AN107" s="75"/>
      <c r="AO107" s="75"/>
      <c r="AP107" s="75"/>
      <c r="AQ107" s="75"/>
      <c r="AR107" s="75"/>
      <c r="AS107" s="75"/>
      <c r="AT107" s="75"/>
      <c r="AU107" s="75"/>
      <c r="AV107" s="75"/>
      <c r="AW107" s="75"/>
      <c r="AX107" s="75"/>
      <c r="AY107" s="75"/>
      <c r="AZ107" s="75"/>
      <c r="BA107" s="75"/>
      <c r="BB107" s="75"/>
      <c r="BC107" s="75"/>
      <c r="BD107" s="75"/>
      <c r="BE107" s="75"/>
      <c r="BF107" s="75"/>
      <c r="BG107" s="75"/>
      <c r="BH107" s="75"/>
      <c r="BI107" s="75"/>
    </row>
    <row r="108" spans="1:61">
      <c r="A108" s="75"/>
      <c r="B108" s="75"/>
      <c r="C108" s="75"/>
      <c r="D108" s="75"/>
      <c r="E108" s="75"/>
      <c r="F108" s="75"/>
      <c r="G108" s="75"/>
      <c r="H108" s="75"/>
      <c r="I108" s="75"/>
      <c r="J108" s="75"/>
      <c r="K108" s="596"/>
      <c r="L108" s="596"/>
      <c r="M108" s="75"/>
      <c r="N108" s="75"/>
      <c r="O108" s="75"/>
      <c r="P108" s="75"/>
      <c r="Q108" s="75"/>
      <c r="R108" s="75"/>
      <c r="S108" s="75"/>
      <c r="T108" s="75"/>
      <c r="U108" s="75"/>
      <c r="V108" s="75"/>
      <c r="W108" s="75"/>
      <c r="X108" s="75"/>
      <c r="Y108" s="75"/>
      <c r="Z108" s="75"/>
      <c r="AA108" s="75"/>
      <c r="AB108" s="75"/>
      <c r="AC108" s="75"/>
      <c r="AD108" s="75"/>
      <c r="AE108" s="75"/>
      <c r="AF108" s="75"/>
      <c r="AG108" s="75"/>
      <c r="AH108" s="75"/>
      <c r="AI108" s="75"/>
      <c r="AJ108" s="75"/>
      <c r="AK108" s="75"/>
      <c r="AL108" s="75"/>
      <c r="AM108" s="75"/>
      <c r="AN108" s="75"/>
      <c r="AO108" s="75"/>
      <c r="AP108" s="75"/>
      <c r="AQ108" s="75"/>
      <c r="AR108" s="75"/>
      <c r="AS108" s="75"/>
      <c r="AT108" s="75"/>
      <c r="AU108" s="75"/>
      <c r="AV108" s="75"/>
      <c r="AW108" s="75"/>
      <c r="AX108" s="75"/>
      <c r="AY108" s="75"/>
      <c r="AZ108" s="75"/>
      <c r="BA108" s="75"/>
      <c r="BB108" s="75"/>
      <c r="BC108" s="75"/>
      <c r="BD108" s="75"/>
      <c r="BE108" s="75"/>
      <c r="BF108" s="75"/>
      <c r="BG108" s="75"/>
      <c r="BH108" s="75"/>
      <c r="BI108" s="75"/>
    </row>
    <row r="109" spans="1:61">
      <c r="A109" s="75"/>
      <c r="B109"/>
      <c r="C109"/>
      <c r="K109"/>
      <c r="L109"/>
      <c r="R109"/>
      <c r="S109"/>
      <c r="Y109"/>
      <c r="Z109"/>
      <c r="AF109"/>
      <c r="AG109"/>
      <c r="AH109"/>
      <c r="AI109"/>
      <c r="AJ109"/>
      <c r="AK109"/>
      <c r="AL109"/>
      <c r="AM109"/>
      <c r="AN109"/>
      <c r="AO109"/>
      <c r="AP109"/>
      <c r="AQ109"/>
      <c r="AR109"/>
      <c r="AS109"/>
      <c r="AT109"/>
      <c r="AU109"/>
      <c r="AV109"/>
      <c r="AW109"/>
      <c r="AX109"/>
      <c r="AY109"/>
      <c r="AZ109"/>
      <c r="BA109"/>
      <c r="BB109"/>
      <c r="BC109"/>
      <c r="BD109"/>
      <c r="BE109"/>
      <c r="BF109"/>
      <c r="BG109"/>
      <c r="BH109"/>
      <c r="BI109"/>
    </row>
    <row r="110" spans="1:61">
      <c r="A110" s="75"/>
      <c r="B110"/>
      <c r="C110"/>
      <c r="K110"/>
      <c r="L110"/>
      <c r="R110"/>
      <c r="S110"/>
      <c r="Y110"/>
      <c r="Z110"/>
      <c r="AF110"/>
      <c r="AG110"/>
      <c r="AH110"/>
      <c r="AI110"/>
      <c r="AJ110"/>
      <c r="AK110"/>
      <c r="AL110"/>
      <c r="AM110"/>
      <c r="AN110"/>
      <c r="AO110"/>
      <c r="AP110"/>
      <c r="AQ110"/>
      <c r="AR110"/>
      <c r="AS110"/>
      <c r="AT110"/>
      <c r="AU110"/>
      <c r="AV110"/>
      <c r="AW110"/>
      <c r="AX110"/>
      <c r="AY110"/>
      <c r="AZ110"/>
      <c r="BA110"/>
      <c r="BB110"/>
      <c r="BC110"/>
      <c r="BD110"/>
      <c r="BE110"/>
      <c r="BF110"/>
      <c r="BG110"/>
      <c r="BH110"/>
      <c r="BI110"/>
    </row>
  </sheetData>
  <mergeCells count="14">
    <mergeCell ref="AV2:BB2"/>
    <mergeCell ref="BC2:BI2"/>
    <mergeCell ref="F1:J1"/>
    <mergeCell ref="A4:C4"/>
    <mergeCell ref="A1:C1"/>
    <mergeCell ref="A2:C2"/>
    <mergeCell ref="T2:Z2"/>
    <mergeCell ref="AA2:AG2"/>
    <mergeCell ref="AH2:AN2"/>
    <mergeCell ref="AO2:AU2"/>
    <mergeCell ref="F2:L2"/>
    <mergeCell ref="M2:S2"/>
    <mergeCell ref="A3:C3"/>
    <mergeCell ref="N1:R1"/>
  </mergeCells>
  <conditionalFormatting sqref="F6:BI56">
    <cfRule type="expression" dxfId="11" priority="2">
      <formula>AND($B6&lt;=G$4,$C6&gt;=F$4)</formula>
    </cfRule>
  </conditionalFormatting>
  <pageMargins left="0.7" right="0.7" top="0.75" bottom="0.75" header="0.3" footer="0.3"/>
  <pageSetup paperSize="5" orientation="landscape" horizontalDpi="4294967293" r:id="rId1"/>
</worksheet>
</file>

<file path=xl/worksheets/sheet5.xml><?xml version="1.0" encoding="utf-8"?>
<worksheet xmlns="http://schemas.openxmlformats.org/spreadsheetml/2006/main" xmlns:r="http://schemas.openxmlformats.org/officeDocument/2006/relationships">
  <sheetPr codeName="Sheet4"/>
  <dimension ref="A1:V52"/>
  <sheetViews>
    <sheetView workbookViewId="0">
      <selection activeCell="B3" sqref="B3"/>
    </sheetView>
  </sheetViews>
  <sheetFormatPr defaultRowHeight="14.25"/>
  <cols>
    <col min="2" max="2" width="38.875" customWidth="1"/>
    <col min="3" max="3" width="18.375" customWidth="1"/>
    <col min="4" max="4" width="19.5" customWidth="1"/>
    <col min="5" max="5" width="12.75" customWidth="1"/>
    <col min="6" max="6" width="49.5" customWidth="1"/>
    <col min="7" max="7" width="7.625" customWidth="1"/>
    <col min="8" max="8" width="3.75" customWidth="1"/>
    <col min="9" max="9" width="1.25" customWidth="1"/>
    <col min="10" max="10" width="17.75" customWidth="1"/>
    <col min="11" max="11" width="36.625" customWidth="1"/>
    <col min="12" max="12" width="19.375" customWidth="1"/>
    <col min="14" max="14" width="68.125" customWidth="1"/>
  </cols>
  <sheetData>
    <row r="1" spans="1:22" ht="15.75">
      <c r="A1" s="75"/>
      <c r="B1" s="498" t="s">
        <v>285</v>
      </c>
      <c r="C1" s="212" t="s">
        <v>228</v>
      </c>
      <c r="D1" s="75"/>
      <c r="E1" s="75"/>
      <c r="F1" s="75"/>
      <c r="G1" s="75"/>
      <c r="H1" s="75"/>
      <c r="I1" s="75"/>
      <c r="J1" s="75"/>
      <c r="K1" s="75"/>
      <c r="L1" s="75"/>
      <c r="M1" s="75"/>
      <c r="N1" s="75"/>
    </row>
    <row r="2" spans="1:22" s="23" customFormat="1" ht="18.75">
      <c r="A2" s="75"/>
      <c r="B2" s="210" t="s">
        <v>792</v>
      </c>
      <c r="C2" s="210" t="s">
        <v>790</v>
      </c>
      <c r="D2" s="977" t="str">
        <f>HYPERLINK("\\deqhq1\Rule_Resources\i\4-AQPermittingProgramUpdates.pdf","i")</f>
        <v>i</v>
      </c>
      <c r="E2" s="75"/>
      <c r="F2" s="75"/>
      <c r="G2" s="75"/>
      <c r="H2" s="75"/>
      <c r="I2" s="75"/>
      <c r="J2" s="75"/>
      <c r="K2" s="75"/>
      <c r="L2" s="75"/>
      <c r="M2" s="75"/>
      <c r="N2" s="75"/>
    </row>
    <row r="3" spans="1:22">
      <c r="A3" s="75"/>
      <c r="B3" s="75"/>
      <c r="C3" s="75"/>
      <c r="D3" s="75"/>
      <c r="E3" s="75"/>
      <c r="F3" s="75"/>
      <c r="G3" s="75"/>
      <c r="H3" s="75"/>
      <c r="I3" s="75"/>
      <c r="J3" s="75"/>
      <c r="K3" s="75"/>
      <c r="L3" s="75"/>
      <c r="M3" s="75"/>
      <c r="N3" s="75"/>
    </row>
    <row r="4" spans="1:22" s="23" customFormat="1" ht="54.75" customHeight="1">
      <c r="A4" s="75"/>
      <c r="B4" s="1056" t="s">
        <v>485</v>
      </c>
      <c r="C4" s="1056"/>
      <c r="D4" s="1056"/>
      <c r="E4" s="1056"/>
      <c r="F4" s="1056"/>
      <c r="G4" s="1056"/>
      <c r="H4" s="1056"/>
      <c r="I4" s="75"/>
      <c r="J4" s="75"/>
      <c r="K4" s="75"/>
      <c r="L4"/>
      <c r="M4"/>
      <c r="N4"/>
      <c r="O4"/>
      <c r="P4"/>
      <c r="Q4"/>
      <c r="R4"/>
      <c r="S4"/>
      <c r="T4"/>
      <c r="U4"/>
      <c r="V4"/>
    </row>
    <row r="5" spans="1:22" ht="36" customHeight="1">
      <c r="A5" s="75"/>
      <c r="B5" s="75"/>
      <c r="C5" s="660" t="s">
        <v>480</v>
      </c>
      <c r="D5" s="660" t="s">
        <v>481</v>
      </c>
      <c r="E5" s="212" t="s">
        <v>361</v>
      </c>
      <c r="F5" s="212" t="s">
        <v>362</v>
      </c>
      <c r="G5" s="212" t="s">
        <v>633</v>
      </c>
      <c r="H5" s="75"/>
      <c r="I5" s="75"/>
      <c r="J5" s="75"/>
      <c r="K5" s="75"/>
    </row>
    <row r="6" spans="1:22" ht="18.75">
      <c r="A6" s="75"/>
      <c r="B6" s="211" t="s">
        <v>478</v>
      </c>
      <c r="C6" s="210" t="s">
        <v>784</v>
      </c>
      <c r="D6" s="210" t="s">
        <v>786</v>
      </c>
      <c r="E6" s="570" t="s">
        <v>364</v>
      </c>
      <c r="F6" s="570" t="s">
        <v>496</v>
      </c>
      <c r="G6" s="570" t="s">
        <v>634</v>
      </c>
      <c r="H6" s="75"/>
      <c r="I6" s="75"/>
      <c r="J6" s="75"/>
      <c r="K6" s="75"/>
    </row>
    <row r="7" spans="1:22" ht="18.75">
      <c r="A7" s="75"/>
      <c r="B7" s="211" t="s">
        <v>384</v>
      </c>
      <c r="C7" s="570" t="s">
        <v>785</v>
      </c>
      <c r="D7" s="570" t="s">
        <v>787</v>
      </c>
      <c r="E7" s="570" t="s">
        <v>364</v>
      </c>
      <c r="F7" s="570" t="s">
        <v>496</v>
      </c>
      <c r="G7" s="570" t="s">
        <v>634</v>
      </c>
      <c r="H7" s="75"/>
      <c r="I7" s="75"/>
      <c r="J7" s="75"/>
      <c r="K7" s="75"/>
    </row>
    <row r="8" spans="1:22" s="23" customFormat="1" ht="18.75">
      <c r="A8" s="75"/>
      <c r="B8" s="211" t="s">
        <v>391</v>
      </c>
      <c r="C8" s="210" t="s">
        <v>489</v>
      </c>
      <c r="D8" s="210" t="s">
        <v>497</v>
      </c>
      <c r="E8" s="210" t="s">
        <v>364</v>
      </c>
      <c r="F8" s="210" t="s">
        <v>498</v>
      </c>
      <c r="G8" s="210" t="s">
        <v>635</v>
      </c>
      <c r="H8" s="75"/>
      <c r="I8" s="75"/>
      <c r="J8" s="75"/>
      <c r="K8" s="75"/>
      <c r="L8"/>
      <c r="M8"/>
      <c r="N8"/>
      <c r="O8"/>
      <c r="P8"/>
      <c r="Q8"/>
      <c r="R8"/>
      <c r="S8"/>
      <c r="T8"/>
      <c r="U8"/>
      <c r="V8"/>
    </row>
    <row r="9" spans="1:22" ht="18.75">
      <c r="A9" s="75"/>
      <c r="B9" s="211" t="s">
        <v>482</v>
      </c>
      <c r="C9" s="570" t="s">
        <v>612</v>
      </c>
      <c r="D9" s="570" t="s">
        <v>779</v>
      </c>
      <c r="E9" s="570" t="s">
        <v>364</v>
      </c>
      <c r="F9" s="570" t="s">
        <v>365</v>
      </c>
      <c r="G9" s="570" t="s">
        <v>634</v>
      </c>
      <c r="H9" s="75"/>
      <c r="I9" s="75"/>
      <c r="J9" s="75"/>
      <c r="K9" s="75"/>
    </row>
    <row r="10" spans="1:22" ht="18.75">
      <c r="A10" s="75"/>
      <c r="B10" s="211" t="s">
        <v>483</v>
      </c>
      <c r="C10" s="210" t="s">
        <v>103</v>
      </c>
      <c r="D10" s="75"/>
      <c r="E10" s="75"/>
      <c r="F10" s="823"/>
      <c r="G10" s="75"/>
      <c r="H10" s="75"/>
      <c r="I10" s="75"/>
      <c r="J10" s="75"/>
    </row>
    <row r="11" spans="1:22" ht="19.5" thickBot="1">
      <c r="A11" s="75"/>
      <c r="B11" s="211" t="s">
        <v>630</v>
      </c>
      <c r="C11" s="570" t="s">
        <v>331</v>
      </c>
      <c r="D11" s="75"/>
      <c r="E11" s="75"/>
      <c r="F11" s="823"/>
      <c r="G11" s="75"/>
      <c r="H11" s="75"/>
      <c r="I11" s="75"/>
      <c r="J11" s="75"/>
      <c r="K11" s="75"/>
      <c r="L11" s="75"/>
      <c r="M11" s="75"/>
      <c r="N11" s="75"/>
    </row>
    <row r="12" spans="1:22" ht="18.75">
      <c r="A12" s="75"/>
      <c r="B12" s="211" t="s">
        <v>102</v>
      </c>
      <c r="C12" s="210" t="s">
        <v>611</v>
      </c>
      <c r="D12" s="75"/>
      <c r="E12" s="75"/>
      <c r="F12" s="824" t="s">
        <v>672</v>
      </c>
      <c r="G12" s="75"/>
      <c r="H12" s="75"/>
      <c r="I12" s="75"/>
      <c r="J12" s="75"/>
      <c r="K12" s="75"/>
      <c r="L12" s="75"/>
      <c r="M12" s="75"/>
      <c r="N12" s="75"/>
    </row>
    <row r="13" spans="1:22" ht="18.75">
      <c r="A13" s="75"/>
      <c r="B13" s="211" t="s">
        <v>302</v>
      </c>
      <c r="C13" s="570" t="s">
        <v>612</v>
      </c>
      <c r="D13" s="75"/>
      <c r="E13" s="75"/>
      <c r="F13" s="825" t="s">
        <v>674</v>
      </c>
      <c r="G13" s="75"/>
      <c r="H13" s="75"/>
      <c r="I13" s="75"/>
      <c r="J13" s="75"/>
      <c r="K13" s="75"/>
      <c r="L13" s="75"/>
      <c r="M13" s="75"/>
      <c r="N13" s="75"/>
    </row>
    <row r="14" spans="1:22" ht="18.75">
      <c r="A14" s="75"/>
      <c r="B14" s="211" t="s">
        <v>101</v>
      </c>
      <c r="C14" s="210" t="s">
        <v>294</v>
      </c>
      <c r="D14" s="75"/>
      <c r="E14" s="75"/>
      <c r="F14" s="826"/>
      <c r="G14" s="75"/>
      <c r="H14" s="75"/>
      <c r="I14" s="75"/>
      <c r="J14" s="75"/>
      <c r="K14" s="75"/>
      <c r="L14" s="75"/>
      <c r="M14" s="75"/>
      <c r="N14" s="75"/>
    </row>
    <row r="15" spans="1:22" ht="18.75">
      <c r="A15" s="75"/>
      <c r="B15" s="211" t="s">
        <v>344</v>
      </c>
      <c r="C15" s="570" t="s">
        <v>103</v>
      </c>
      <c r="D15" s="75"/>
      <c r="E15" s="75"/>
      <c r="F15" s="826" t="s">
        <v>673</v>
      </c>
      <c r="G15" s="75"/>
      <c r="H15" s="75"/>
      <c r="I15" s="75"/>
      <c r="J15" s="75"/>
      <c r="K15" s="75"/>
      <c r="L15" s="75"/>
      <c r="M15" s="75"/>
      <c r="N15" s="75"/>
    </row>
    <row r="16" spans="1:22" s="23" customFormat="1" ht="18.75">
      <c r="A16" s="75"/>
      <c r="B16" s="211" t="s">
        <v>173</v>
      </c>
      <c r="C16" s="210" t="s">
        <v>342</v>
      </c>
      <c r="D16" s="75"/>
      <c r="E16" s="75"/>
      <c r="F16" s="825" t="s">
        <v>683</v>
      </c>
      <c r="G16" s="75"/>
      <c r="H16" s="75"/>
      <c r="I16" s="75"/>
      <c r="J16" s="75"/>
      <c r="K16" s="75"/>
      <c r="L16" s="75"/>
      <c r="M16" s="75"/>
      <c r="N16" s="75"/>
    </row>
    <row r="17" spans="1:14" ht="18.75">
      <c r="A17" s="75"/>
      <c r="B17" s="211" t="s">
        <v>104</v>
      </c>
      <c r="C17" s="570" t="s">
        <v>493</v>
      </c>
      <c r="D17" s="75"/>
      <c r="E17" s="75"/>
      <c r="F17" s="825" t="s">
        <v>675</v>
      </c>
      <c r="G17" s="75"/>
      <c r="H17" s="75"/>
      <c r="I17" s="75"/>
      <c r="J17" s="75"/>
      <c r="K17" s="75"/>
      <c r="L17" s="75"/>
      <c r="M17" s="75"/>
      <c r="N17" s="75"/>
    </row>
    <row r="18" spans="1:14" ht="18.75">
      <c r="A18" s="75"/>
      <c r="B18" s="211" t="s">
        <v>303</v>
      </c>
      <c r="C18" s="210" t="s">
        <v>342</v>
      </c>
      <c r="D18" s="75"/>
      <c r="E18" s="23"/>
      <c r="F18" s="825" t="s">
        <v>678</v>
      </c>
      <c r="G18" s="75"/>
      <c r="H18" s="75"/>
      <c r="I18" s="75"/>
      <c r="J18" s="75"/>
      <c r="K18" s="75"/>
      <c r="L18" s="75"/>
      <c r="M18" s="75"/>
      <c r="N18" s="75"/>
    </row>
    <row r="19" spans="1:14" ht="18.75" customHeight="1">
      <c r="A19" s="75"/>
      <c r="B19" s="211" t="s">
        <v>105</v>
      </c>
      <c r="C19" s="570" t="s">
        <v>784</v>
      </c>
      <c r="D19" s="818" t="s">
        <v>484</v>
      </c>
      <c r="E19" s="819"/>
      <c r="F19" s="827" t="s">
        <v>676</v>
      </c>
      <c r="G19" s="75"/>
      <c r="H19" s="75"/>
      <c r="I19" s="75"/>
      <c r="J19" s="75"/>
      <c r="K19" s="75"/>
      <c r="L19" s="75"/>
      <c r="M19" s="75"/>
      <c r="N19" s="75"/>
    </row>
    <row r="20" spans="1:14" s="23" customFormat="1" ht="18.75">
      <c r="A20" s="75"/>
      <c r="B20" s="211" t="s">
        <v>106</v>
      </c>
      <c r="C20" s="210" t="s">
        <v>129</v>
      </c>
      <c r="D20" s="75"/>
      <c r="E20" s="639"/>
      <c r="F20" s="828" t="s">
        <v>677</v>
      </c>
      <c r="G20" s="75"/>
      <c r="H20" s="75"/>
      <c r="I20" s="75"/>
      <c r="J20" s="75"/>
      <c r="K20" s="75"/>
      <c r="L20" s="75"/>
      <c r="M20" s="75"/>
      <c r="N20" s="75"/>
    </row>
    <row r="21" spans="1:14" ht="18.75">
      <c r="A21" s="75"/>
      <c r="B21" s="211" t="s">
        <v>113</v>
      </c>
      <c r="C21" s="570" t="s">
        <v>114</v>
      </c>
      <c r="D21" s="75"/>
      <c r="E21" s="639"/>
      <c r="F21" s="827" t="s">
        <v>679</v>
      </c>
      <c r="G21" s="75"/>
      <c r="H21" s="75"/>
      <c r="I21" s="75"/>
      <c r="J21" s="75"/>
      <c r="K21" s="75"/>
      <c r="L21" s="75"/>
      <c r="M21" s="75"/>
      <c r="N21" s="75"/>
    </row>
    <row r="22" spans="1:14" ht="18.75">
      <c r="A22" s="75"/>
      <c r="B22" s="211" t="s">
        <v>128</v>
      </c>
      <c r="C22" s="210" t="s">
        <v>494</v>
      </c>
      <c r="D22" s="75"/>
      <c r="E22" s="75"/>
      <c r="F22" s="829" t="s">
        <v>682</v>
      </c>
      <c r="G22" s="75"/>
      <c r="H22" s="75"/>
      <c r="I22" s="75"/>
      <c r="J22" s="75"/>
      <c r="K22" s="75"/>
      <c r="L22" s="75"/>
      <c r="M22" s="75"/>
      <c r="N22" s="75"/>
    </row>
    <row r="23" spans="1:14" s="23" customFormat="1" ht="18.75">
      <c r="A23" s="75"/>
      <c r="B23" s="211" t="s">
        <v>533</v>
      </c>
      <c r="C23" s="570" t="s">
        <v>534</v>
      </c>
      <c r="D23" s="75"/>
      <c r="E23" s="75"/>
      <c r="F23" s="830" t="s">
        <v>680</v>
      </c>
      <c r="G23" s="75"/>
      <c r="H23" s="75"/>
      <c r="I23" s="75"/>
      <c r="J23" s="75"/>
      <c r="K23" s="75"/>
      <c r="L23" s="75"/>
      <c r="M23" s="75"/>
      <c r="N23" s="75"/>
    </row>
    <row r="24" spans="1:14" s="23" customFormat="1" ht="18.75">
      <c r="A24" s="75"/>
      <c r="B24" s="211" t="s">
        <v>532</v>
      </c>
      <c r="C24" s="570" t="s">
        <v>534</v>
      </c>
      <c r="D24" s="75"/>
      <c r="E24" s="75"/>
      <c r="F24" s="830" t="s">
        <v>681</v>
      </c>
      <c r="G24" s="75"/>
      <c r="H24" s="75"/>
      <c r="I24" s="75"/>
      <c r="J24" s="75"/>
      <c r="K24" s="75"/>
      <c r="L24" s="75"/>
      <c r="M24" s="75"/>
      <c r="N24" s="75"/>
    </row>
    <row r="25" spans="1:14" ht="18.75">
      <c r="A25" s="75"/>
      <c r="B25" s="211" t="s">
        <v>301</v>
      </c>
      <c r="C25" s="570" t="s">
        <v>495</v>
      </c>
      <c r="D25" s="75"/>
      <c r="E25" s="75"/>
      <c r="F25" s="826"/>
      <c r="G25" s="75"/>
      <c r="H25" s="75"/>
      <c r="I25" s="75"/>
      <c r="J25" s="75"/>
      <c r="K25" s="75"/>
      <c r="L25" s="75"/>
      <c r="M25" s="75"/>
      <c r="N25" s="75"/>
    </row>
    <row r="26" spans="1:14" ht="19.5" thickBot="1">
      <c r="A26" s="75"/>
      <c r="B26" s="211" t="s">
        <v>286</v>
      </c>
      <c r="C26" s="210" t="s">
        <v>352</v>
      </c>
      <c r="D26" s="75"/>
      <c r="E26" s="75"/>
      <c r="F26" s="831"/>
      <c r="G26" s="75"/>
      <c r="H26" s="75"/>
      <c r="I26" s="75"/>
      <c r="J26" s="75"/>
      <c r="K26" s="75"/>
      <c r="L26" s="75"/>
      <c r="M26" s="75"/>
      <c r="N26" s="75"/>
    </row>
    <row r="27" spans="1:14" ht="18.75">
      <c r="A27" s="75"/>
      <c r="B27" s="75"/>
      <c r="C27" s="75"/>
      <c r="D27" s="75"/>
      <c r="E27" s="75"/>
      <c r="F27" s="823"/>
      <c r="G27" s="75"/>
      <c r="H27" s="75"/>
      <c r="I27" s="75"/>
      <c r="J27" s="75"/>
      <c r="K27" s="75"/>
      <c r="L27" s="75"/>
      <c r="M27" s="75"/>
      <c r="N27" s="75"/>
    </row>
    <row r="28" spans="1:14" ht="18.75">
      <c r="A28" s="75"/>
      <c r="B28" s="75"/>
      <c r="C28" s="75"/>
      <c r="D28" s="75"/>
      <c r="E28" s="75"/>
      <c r="F28" s="823"/>
      <c r="G28" s="75"/>
      <c r="H28" s="75"/>
      <c r="I28" s="75"/>
      <c r="J28" s="75"/>
      <c r="K28" s="75"/>
      <c r="L28" s="75"/>
      <c r="M28" s="75"/>
      <c r="N28" s="75"/>
    </row>
    <row r="29" spans="1:14" s="23" customFormat="1" ht="18.75">
      <c r="A29" s="75"/>
      <c r="C29" s="75"/>
      <c r="D29" s="75"/>
      <c r="E29" s="75"/>
      <c r="F29" s="823"/>
      <c r="G29" s="75"/>
      <c r="H29" s="75"/>
      <c r="I29" s="75"/>
      <c r="J29" s="75"/>
      <c r="K29" s="75"/>
      <c r="L29" s="75"/>
      <c r="M29" s="75"/>
      <c r="N29" s="75"/>
    </row>
    <row r="30" spans="1:14" s="23" customFormat="1" ht="15" thickBot="1">
      <c r="A30" s="75"/>
      <c r="B30" s="75"/>
      <c r="C30" s="75"/>
      <c r="D30" s="75"/>
      <c r="E30" s="75"/>
      <c r="F30" s="75"/>
      <c r="G30" s="75"/>
      <c r="H30" s="75"/>
      <c r="I30" s="75"/>
      <c r="J30" s="75"/>
      <c r="K30" s="75"/>
      <c r="L30" s="75"/>
      <c r="M30" s="75"/>
      <c r="N30" s="75"/>
    </row>
    <row r="31" spans="1:14" ht="28.5" customHeight="1">
      <c r="A31" s="75"/>
      <c r="B31" s="1054" t="s">
        <v>343</v>
      </c>
      <c r="C31" s="1055"/>
      <c r="D31" s="75"/>
      <c r="E31" s="75"/>
      <c r="F31" s="75"/>
      <c r="G31" s="75"/>
      <c r="H31" s="75"/>
      <c r="I31" s="75"/>
      <c r="J31" s="75"/>
      <c r="K31" s="75"/>
      <c r="L31" s="817"/>
    </row>
    <row r="32" spans="1:14" ht="15.75">
      <c r="A32" s="75"/>
      <c r="B32" s="832" t="s">
        <v>487</v>
      </c>
      <c r="C32" s="833" t="s">
        <v>338</v>
      </c>
      <c r="D32" s="75"/>
      <c r="E32" s="75"/>
      <c r="F32" s="75"/>
      <c r="G32" s="75"/>
      <c r="H32" s="75"/>
      <c r="I32" s="75"/>
      <c r="J32" s="75"/>
      <c r="K32" s="75"/>
      <c r="L32" s="75"/>
    </row>
    <row r="33" spans="1:12" ht="15.75">
      <c r="A33" s="75"/>
      <c r="B33" s="832" t="s">
        <v>488</v>
      </c>
      <c r="C33" s="833" t="s">
        <v>340</v>
      </c>
      <c r="D33" s="75"/>
      <c r="E33" s="75"/>
      <c r="F33" s="75"/>
      <c r="G33" s="75"/>
      <c r="H33" s="75"/>
      <c r="I33" s="75"/>
      <c r="J33" s="75"/>
      <c r="K33" s="75"/>
      <c r="L33" s="75"/>
    </row>
    <row r="34" spans="1:12" ht="16.5" thickBot="1">
      <c r="A34" s="75"/>
      <c r="B34" s="834" t="s">
        <v>489</v>
      </c>
      <c r="C34" s="835" t="s">
        <v>341</v>
      </c>
      <c r="D34" s="75"/>
      <c r="E34" s="75"/>
      <c r="F34" s="75"/>
      <c r="G34" s="75"/>
      <c r="H34" s="75"/>
      <c r="I34" s="75"/>
      <c r="J34" s="75"/>
      <c r="K34" s="75"/>
    </row>
    <row r="35" spans="1:12" ht="15" thickBot="1">
      <c r="A35" s="75"/>
      <c r="B35" s="75"/>
      <c r="C35" s="75"/>
      <c r="D35" s="75"/>
      <c r="E35" s="75"/>
      <c r="F35" s="75"/>
      <c r="G35" s="75"/>
      <c r="H35" s="75"/>
      <c r="I35" s="75"/>
      <c r="J35" s="75"/>
      <c r="K35" s="75"/>
    </row>
    <row r="36" spans="1:12">
      <c r="A36" s="75"/>
      <c r="B36" s="1054" t="s">
        <v>345</v>
      </c>
      <c r="C36" s="1055"/>
      <c r="D36" s="75"/>
      <c r="E36" s="75"/>
      <c r="F36" s="75"/>
      <c r="G36" s="75"/>
      <c r="H36" s="75"/>
      <c r="I36" s="75"/>
      <c r="J36" s="75"/>
      <c r="K36" s="75"/>
    </row>
    <row r="37" spans="1:12" ht="15.75">
      <c r="A37" s="75"/>
      <c r="B37" s="832" t="s">
        <v>329</v>
      </c>
      <c r="C37" s="833" t="s">
        <v>338</v>
      </c>
      <c r="D37" s="75"/>
      <c r="E37" s="75"/>
      <c r="F37" s="75"/>
      <c r="G37" s="75"/>
      <c r="H37" s="75"/>
      <c r="I37" s="75"/>
      <c r="J37" s="75"/>
      <c r="K37" s="75"/>
    </row>
    <row r="38" spans="1:12" ht="15.75">
      <c r="A38" s="75"/>
      <c r="B38" s="832" t="s">
        <v>346</v>
      </c>
      <c r="C38" s="833" t="s">
        <v>340</v>
      </c>
      <c r="D38" s="75"/>
      <c r="E38" s="75"/>
      <c r="F38" s="75"/>
      <c r="G38" s="75"/>
      <c r="H38" s="75"/>
      <c r="I38" s="75"/>
      <c r="J38" s="75"/>
      <c r="K38" s="75"/>
    </row>
    <row r="39" spans="1:12" ht="16.5" thickBot="1">
      <c r="A39" s="75"/>
      <c r="B39" s="834" t="s">
        <v>342</v>
      </c>
      <c r="C39" s="835" t="s">
        <v>341</v>
      </c>
      <c r="D39" s="75"/>
      <c r="E39" s="75"/>
      <c r="F39" s="75"/>
      <c r="G39" s="75"/>
      <c r="H39" s="75"/>
      <c r="I39" s="75"/>
      <c r="J39" s="75"/>
      <c r="K39" s="75"/>
    </row>
    <row r="40" spans="1:12" ht="15" thickBot="1">
      <c r="A40" s="75"/>
      <c r="C40" s="75"/>
      <c r="D40" s="75"/>
      <c r="E40" s="75"/>
      <c r="F40" s="75"/>
      <c r="G40" s="75"/>
      <c r="H40" s="75"/>
      <c r="I40" s="75"/>
      <c r="J40" s="75"/>
      <c r="K40" s="75"/>
    </row>
    <row r="41" spans="1:12">
      <c r="A41" s="75"/>
      <c r="B41" s="836" t="s">
        <v>337</v>
      </c>
      <c r="C41" s="837"/>
      <c r="D41" s="75"/>
      <c r="E41" s="75"/>
      <c r="F41" s="75"/>
      <c r="G41" s="75"/>
      <c r="H41" s="75"/>
      <c r="I41" s="75"/>
      <c r="J41" s="75"/>
      <c r="K41" s="75"/>
    </row>
    <row r="42" spans="1:12" ht="15.75">
      <c r="A42" s="75"/>
      <c r="B42" s="832" t="s">
        <v>328</v>
      </c>
      <c r="C42" s="833" t="s">
        <v>338</v>
      </c>
      <c r="D42" s="75"/>
      <c r="E42" s="75"/>
      <c r="F42" s="75"/>
      <c r="G42" s="75"/>
      <c r="H42" s="75"/>
      <c r="I42" s="75"/>
      <c r="J42" s="75"/>
      <c r="K42" s="75"/>
    </row>
    <row r="43" spans="1:12" ht="15.75">
      <c r="A43" s="75"/>
      <c r="B43" s="832" t="s">
        <v>339</v>
      </c>
      <c r="C43" s="833" t="s">
        <v>340</v>
      </c>
      <c r="D43" s="75"/>
      <c r="E43" s="75"/>
      <c r="F43" s="75"/>
      <c r="G43" s="75"/>
      <c r="H43" s="75"/>
      <c r="I43" s="75"/>
      <c r="J43" s="75"/>
      <c r="K43" s="75"/>
    </row>
    <row r="44" spans="1:12" ht="16.5" thickBot="1">
      <c r="A44" s="75"/>
      <c r="B44" s="834" t="s">
        <v>342</v>
      </c>
      <c r="C44" s="835" t="s">
        <v>341</v>
      </c>
      <c r="D44" s="75"/>
      <c r="E44" s="75"/>
      <c r="F44" s="75"/>
      <c r="G44" s="75"/>
      <c r="H44" s="75"/>
      <c r="I44" s="75"/>
      <c r="J44" s="75"/>
      <c r="K44" s="75"/>
    </row>
    <row r="45" spans="1:12">
      <c r="A45" s="75"/>
      <c r="D45" s="75"/>
      <c r="E45" s="75"/>
      <c r="F45" s="75"/>
      <c r="G45" s="75"/>
      <c r="H45" s="75"/>
      <c r="I45" s="75"/>
      <c r="J45" s="75"/>
      <c r="K45" s="75"/>
    </row>
    <row r="46" spans="1:12">
      <c r="A46" s="75"/>
      <c r="B46" s="75"/>
      <c r="C46" s="75"/>
      <c r="D46" s="75"/>
      <c r="E46" s="75"/>
      <c r="F46" s="75"/>
      <c r="G46" s="75"/>
      <c r="H46" s="75"/>
      <c r="I46" s="75"/>
      <c r="J46" s="75"/>
      <c r="K46" s="75"/>
    </row>
    <row r="47" spans="1:12">
      <c r="A47" s="75"/>
      <c r="B47" s="75"/>
      <c r="C47" s="75"/>
      <c r="D47" s="75"/>
      <c r="E47" s="75"/>
      <c r="F47" s="75"/>
      <c r="G47" s="75"/>
      <c r="H47" s="75"/>
      <c r="I47" s="75"/>
      <c r="J47" s="75"/>
      <c r="K47" s="75"/>
    </row>
    <row r="48" spans="1:12">
      <c r="A48" s="75"/>
      <c r="B48" s="75"/>
      <c r="C48" s="75"/>
      <c r="D48" s="75"/>
      <c r="E48" s="75"/>
      <c r="F48" s="75"/>
      <c r="G48" s="75"/>
      <c r="H48" s="75"/>
      <c r="I48" s="75"/>
      <c r="J48" s="75"/>
      <c r="K48" s="75"/>
    </row>
    <row r="49" spans="2:11">
      <c r="B49" s="75"/>
      <c r="C49" s="75"/>
      <c r="D49" s="75"/>
      <c r="E49" s="75"/>
      <c r="F49" s="75"/>
      <c r="G49" s="75"/>
      <c r="H49" s="75"/>
      <c r="I49" s="75"/>
      <c r="J49" s="75"/>
      <c r="K49" s="75"/>
    </row>
    <row r="50" spans="2:11">
      <c r="B50" s="75"/>
      <c r="C50" s="75"/>
      <c r="D50" s="75"/>
      <c r="E50" s="75"/>
      <c r="F50" s="75"/>
      <c r="G50" s="75"/>
      <c r="H50" s="75"/>
      <c r="I50" s="75"/>
      <c r="J50" s="75"/>
      <c r="K50" s="75"/>
    </row>
    <row r="51" spans="2:11">
      <c r="F51" s="75"/>
      <c r="G51" s="75"/>
      <c r="H51" s="75"/>
      <c r="I51" s="75"/>
      <c r="J51" s="75"/>
      <c r="K51" s="75"/>
    </row>
    <row r="52" spans="2:11">
      <c r="F52" s="75"/>
    </row>
  </sheetData>
  <mergeCells count="3">
    <mergeCell ref="B36:C36"/>
    <mergeCell ref="B4:H4"/>
    <mergeCell ref="B31:C31"/>
  </mergeCells>
  <dataValidations xWindow="628" yWindow="713" count="4">
    <dataValidation allowBlank="1" showInputMessage="1" showErrorMessage="1" promptTitle="ENTER CODE NAME" prompt="Enter the code name that is 6 characters or less for this rulemaking." sqref="C29 C2"/>
    <dataValidation type="list" allowBlank="1" showInputMessage="1" showErrorMessage="1" promptTitle="Drop down list" prompt="Select name from drop down list" sqref="C18">
      <formula1>S.DDL.LegLiason</formula1>
    </dataValidation>
    <dataValidation type="list" allowBlank="1" showInputMessage="1" showErrorMessage="1" promptTitle="DROP DOWN LIST" prompt="Select a name from the droipdown list." sqref="C16">
      <formula1>S.DDL.BudgetAnalyst</formula1>
    </dataValidation>
    <dataValidation type="list" allowBlank="1" showInputMessage="1" showErrorMessage="1" sqref="C8">
      <formula1>S.DDL.MediaManager</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sheetPr codeName="Sheet6"/>
  <dimension ref="A1:O69"/>
  <sheetViews>
    <sheetView workbookViewId="0"/>
  </sheetViews>
  <sheetFormatPr defaultRowHeight="14.25"/>
  <cols>
    <col min="2" max="2" width="13.25" customWidth="1"/>
    <col min="3" max="3" width="12.5" customWidth="1"/>
    <col min="4" max="4" width="13" style="23" customWidth="1"/>
    <col min="5" max="5" width="14.625" style="23" customWidth="1"/>
    <col min="6" max="6" width="4.625" style="23" customWidth="1"/>
    <col min="7" max="7" width="58.25" customWidth="1"/>
    <col min="8" max="8" width="25.875" customWidth="1"/>
  </cols>
  <sheetData>
    <row r="1" spans="1:15">
      <c r="A1" s="75"/>
      <c r="B1" s="75"/>
      <c r="C1" s="75"/>
      <c r="D1" s="75"/>
      <c r="E1" s="75"/>
      <c r="F1" s="75"/>
      <c r="G1" s="75"/>
      <c r="H1" s="75"/>
      <c r="I1" s="75"/>
      <c r="J1" s="75"/>
      <c r="K1" s="75"/>
      <c r="L1" s="75"/>
      <c r="M1" s="75"/>
      <c r="N1" s="75"/>
      <c r="O1" s="75"/>
    </row>
    <row r="2" spans="1:15" s="23" customFormat="1" ht="33.75" customHeight="1">
      <c r="A2" s="75"/>
      <c r="B2" s="1060" t="str">
        <f>S.General.RulemakingTitle</f>
        <v>Grants Pass Limited Maintenance Plans for CO and PM10</v>
      </c>
      <c r="C2" s="1060"/>
      <c r="D2" s="1060"/>
      <c r="E2" s="1060"/>
      <c r="F2" s="75"/>
      <c r="G2" s="526">
        <f ca="1">TODAY()</f>
        <v>41773</v>
      </c>
      <c r="H2" s="75"/>
      <c r="I2" s="75"/>
      <c r="J2" s="75"/>
      <c r="K2" s="75"/>
      <c r="L2" s="75"/>
      <c r="M2" s="75"/>
      <c r="N2" s="75"/>
      <c r="O2" s="75"/>
    </row>
    <row r="3" spans="1:15" s="23" customFormat="1" ht="33.75" customHeight="1">
      <c r="A3" s="75"/>
      <c r="B3" s="791" t="s">
        <v>232</v>
      </c>
      <c r="C3" s="787"/>
      <c r="D3" s="787"/>
      <c r="E3" s="75"/>
      <c r="F3" s="75"/>
      <c r="G3" s="526"/>
      <c r="H3" s="75"/>
      <c r="I3" s="75"/>
      <c r="J3" s="75"/>
      <c r="K3" s="75"/>
      <c r="L3" s="75"/>
      <c r="M3" s="75"/>
      <c r="N3" s="75"/>
      <c r="O3" s="75"/>
    </row>
    <row r="4" spans="1:15" ht="18.75" thickBot="1">
      <c r="A4" s="75"/>
      <c r="B4" s="37"/>
      <c r="C4" s="777"/>
      <c r="D4" s="777"/>
      <c r="E4" s="1057" t="s">
        <v>128</v>
      </c>
      <c r="F4" s="75"/>
      <c r="G4" s="453" t="s">
        <v>233</v>
      </c>
      <c r="H4" s="75"/>
      <c r="I4" s="75"/>
      <c r="J4" s="75"/>
      <c r="K4" s="75"/>
      <c r="L4" s="75"/>
      <c r="M4" s="75"/>
      <c r="N4" s="75"/>
      <c r="O4" s="75"/>
    </row>
    <row r="5" spans="1:15" s="23" customFormat="1" ht="18.75" thickBot="1">
      <c r="A5" s="75"/>
      <c r="B5" s="792" t="s">
        <v>646</v>
      </c>
      <c r="C5" s="792" t="s">
        <v>569</v>
      </c>
      <c r="D5" s="792" t="s">
        <v>570</v>
      </c>
      <c r="E5" s="1058"/>
      <c r="F5" s="75"/>
      <c r="G5" s="778"/>
      <c r="H5" s="75"/>
      <c r="I5" s="75"/>
      <c r="J5" s="75"/>
      <c r="K5" s="75"/>
      <c r="L5" s="75"/>
      <c r="M5" s="75"/>
      <c r="N5" s="75"/>
      <c r="O5" s="75"/>
    </row>
    <row r="6" spans="1:15" ht="15" thickTop="1">
      <c r="A6" s="75"/>
      <c r="B6" s="451" t="str">
        <f>S.Hearing.1stCity</f>
        <v>Portland</v>
      </c>
      <c r="C6" s="788">
        <f>S.Hearing.1stDate</f>
        <v>41899</v>
      </c>
      <c r="D6" s="790" t="str">
        <f>S.Hearing.1stTime</f>
        <v>6 p.m.</v>
      </c>
      <c r="E6" s="790" t="str">
        <f>S.Hearing.1stTime</f>
        <v>6 p.m.</v>
      </c>
      <c r="F6" s="75"/>
      <c r="G6" s="499"/>
      <c r="H6" s="75"/>
      <c r="I6" s="75"/>
      <c r="J6" s="75"/>
      <c r="K6" s="75"/>
      <c r="L6" s="75"/>
      <c r="M6" s="75"/>
      <c r="N6" s="75"/>
      <c r="O6" s="75"/>
    </row>
    <row r="7" spans="1:15">
      <c r="A7" s="75"/>
      <c r="B7" s="451" t="str">
        <f>IF(S.Hearing.2ndInvolve="N","-blank -",S.Hearing.2ndCity)</f>
        <v>Grants Pass</v>
      </c>
      <c r="C7" s="789">
        <f>IF(S.Hearing.2ndInvolve="N","-blank -",S.Hearing.2ndDate)</f>
        <v>41899</v>
      </c>
      <c r="D7" s="789" t="str">
        <f>IF(S.Hearing.2ndInvolve="N","-blank -",S.Hearing.2ndTime)</f>
        <v>6 p.m.</v>
      </c>
      <c r="E7" s="789" t="str">
        <f>IF(S.Hearing.2ndInvolve="N","-blank -","DEQ Staff")</f>
        <v>DEQ Staff</v>
      </c>
      <c r="F7" s="75"/>
      <c r="G7" s="499"/>
      <c r="H7" s="75"/>
      <c r="I7" s="75"/>
      <c r="J7" s="75"/>
      <c r="K7" s="75"/>
      <c r="L7" s="75"/>
      <c r="M7" s="75"/>
      <c r="N7" s="75"/>
      <c r="O7" s="75"/>
    </row>
    <row r="8" spans="1:15">
      <c r="A8" s="75"/>
      <c r="B8" s="451" t="str">
        <f>IF(S.Hearing.3rdInvolve="N","-blank -",S.Hearing.3rdCity)</f>
        <v>-blank -</v>
      </c>
      <c r="C8" s="789" t="str">
        <f>IF(S.Hearing.3rdInvolve="N","-blank -",S.Hearing.3rdDate)</f>
        <v>-blank -</v>
      </c>
      <c r="D8" s="789" t="str">
        <f>IF(S.Hearing.3rdInvolve="N","-blank -",S.Hearing.3rdTime)</f>
        <v>-blank -</v>
      </c>
      <c r="E8" s="789" t="str">
        <f>IF(S.Hearing.3rdInvolve="N","-blank -","DEQ staff")</f>
        <v>-blank -</v>
      </c>
      <c r="F8" s="75"/>
      <c r="G8" s="499"/>
      <c r="H8" s="75"/>
      <c r="I8" s="75"/>
      <c r="J8" s="75"/>
      <c r="K8" s="75"/>
      <c r="L8" s="75"/>
      <c r="M8" s="75"/>
      <c r="N8" s="75"/>
      <c r="O8" s="75"/>
    </row>
    <row r="9" spans="1:15">
      <c r="A9" s="75"/>
      <c r="B9" s="451" t="str">
        <f>IF(S.Hearing.4thInvolve="N","-blank -",S.Hearing.4thCity)</f>
        <v>-blank -</v>
      </c>
      <c r="C9" s="789" t="str">
        <f>IF(S.Hearing.4thInvolve="N","-blank -",S.Hearing.4thDate)</f>
        <v>-blank -</v>
      </c>
      <c r="D9" s="789" t="str">
        <f>IF(S.Hearing.4thInvolve="N","-blank -",S.Hearing.4thTime)</f>
        <v>-blank -</v>
      </c>
      <c r="E9" s="789" t="str">
        <f>IF(S.Hearing.4thInvolve="N","-blank -","DEQ staff")</f>
        <v>-blank -</v>
      </c>
      <c r="F9" s="75"/>
      <c r="G9" s="499"/>
      <c r="H9" s="75"/>
      <c r="I9" s="75"/>
      <c r="J9" s="75"/>
      <c r="K9" s="75"/>
      <c r="L9" s="75"/>
      <c r="M9" s="75"/>
      <c r="N9" s="75"/>
      <c r="O9" s="75"/>
    </row>
    <row r="10" spans="1:15">
      <c r="A10" s="75"/>
      <c r="B10" s="451" t="str">
        <f>IF(S.Hearing.5thInvolve="N","-blank -",S.Hearing.5thCity)</f>
        <v>-blank -</v>
      </c>
      <c r="C10" s="789" t="str">
        <f>IF(S.Hearing.5thInvolve="N","-blank -",S.Hearing.5thDate)</f>
        <v>-blank -</v>
      </c>
      <c r="D10" s="789" t="str">
        <f>IF(S.Hearing.5thInvolve="N","-blank -",S.Hearing.5thTime)</f>
        <v>-blank -</v>
      </c>
      <c r="E10" s="789" t="str">
        <f>IF(S.Hearing.5thInvolve="N","-blank -","DEQ Staff")</f>
        <v>-blank -</v>
      </c>
      <c r="F10" s="75"/>
      <c r="G10" s="499"/>
      <c r="H10" s="75"/>
      <c r="I10" s="75"/>
      <c r="J10" s="75"/>
      <c r="K10" s="75"/>
      <c r="L10" s="75"/>
      <c r="M10" s="75"/>
      <c r="N10" s="75"/>
      <c r="O10" s="75"/>
    </row>
    <row r="11" spans="1:15">
      <c r="A11" s="75"/>
      <c r="B11" s="451" t="str">
        <f>IF(S.Hearing.6thInvolve="N","-blank -",S.Hearing.6thCity)</f>
        <v>-blank -</v>
      </c>
      <c r="C11" s="789" t="str">
        <f>IF(S.Hearing.6thInvolve="N","-blank -",S.Hearing.6thDate)</f>
        <v>-blank -</v>
      </c>
      <c r="D11" s="789" t="str">
        <f>IF(S.Hearing.6thInvolve="N","-blank -",S.Hearing.6thTime)</f>
        <v>-blank -</v>
      </c>
      <c r="E11" s="789" t="str">
        <f>IF(S.Hearing.6thInvolve="N","-blank -","DEQ Staff")</f>
        <v>-blank -</v>
      </c>
      <c r="F11" s="75"/>
      <c r="G11" s="499"/>
      <c r="H11" s="75"/>
      <c r="I11" s="75"/>
      <c r="J11" s="75"/>
      <c r="K11" s="75"/>
      <c r="L11" s="75"/>
      <c r="M11" s="75"/>
      <c r="N11" s="75"/>
      <c r="O11" s="75"/>
    </row>
    <row r="12" spans="1:15">
      <c r="A12" s="75"/>
      <c r="B12" s="451" t="str">
        <f>IF(S.Hearing.7thInvolve="N","-blank -",S.Hearing.7thCity)</f>
        <v>-blank -</v>
      </c>
      <c r="C12" s="789" t="str">
        <f>IF(S.Hearing.7thInvolve="N","-blank -",S.Hearing.7thDate)</f>
        <v>-blank -</v>
      </c>
      <c r="D12" s="789" t="str">
        <f>IF(S.Hearing.7thInvolve="N","-blank -",S.Hearing.7thTime)</f>
        <v>-blank -</v>
      </c>
      <c r="E12" s="789" t="str">
        <f>IF(S.Hearing.7thInvolve="N","-blank -","DEQ staff")</f>
        <v>-blank -</v>
      </c>
      <c r="F12" s="75"/>
      <c r="G12" s="499"/>
      <c r="H12" s="75"/>
      <c r="I12" s="75"/>
      <c r="J12" s="75"/>
      <c r="K12" s="75"/>
      <c r="L12" s="75"/>
      <c r="M12" s="75"/>
      <c r="N12" s="75"/>
      <c r="O12" s="75"/>
    </row>
    <row r="13" spans="1:15">
      <c r="A13" s="75"/>
      <c r="B13" s="451" t="str">
        <f>IF(S.Hearing.8thtInvolve="N","-blank -",S.Hearing.8thCity)</f>
        <v>-blank -</v>
      </c>
      <c r="C13" s="789" t="str">
        <f>IF(S.Hearing.8thtInvolve="N","-blank -",S.Hearing.8thDate)</f>
        <v>-blank -</v>
      </c>
      <c r="D13" s="789" t="str">
        <f>IF(S.Hearing.8thtInvolve="N","-blank -",S.Hearing.8thTime)</f>
        <v>-blank -</v>
      </c>
      <c r="E13" s="789" t="str">
        <f>IF(S.Hearing.8thtInvolve="N","-blank -","DEQ Staff")</f>
        <v>-blank -</v>
      </c>
      <c r="F13" s="75"/>
      <c r="G13" s="499"/>
      <c r="H13" s="75"/>
      <c r="I13" s="75"/>
      <c r="J13" s="75"/>
      <c r="K13" s="75"/>
      <c r="L13" s="75"/>
      <c r="M13" s="75"/>
      <c r="N13" s="75"/>
      <c r="O13" s="75"/>
    </row>
    <row r="14" spans="1:15">
      <c r="A14" s="75"/>
      <c r="B14" s="451"/>
      <c r="C14" s="451"/>
      <c r="D14" s="451"/>
      <c r="E14" s="75"/>
      <c r="F14" s="75"/>
      <c r="G14" s="454"/>
      <c r="H14" s="75"/>
      <c r="I14" s="75"/>
      <c r="J14" s="75"/>
      <c r="K14" s="75"/>
      <c r="L14" s="75"/>
      <c r="M14" s="75"/>
      <c r="N14" s="75"/>
      <c r="O14" s="75"/>
    </row>
    <row r="15" spans="1:15">
      <c r="A15" s="75"/>
      <c r="B15" s="451"/>
      <c r="C15" s="451"/>
      <c r="D15" s="451"/>
      <c r="E15" s="75"/>
      <c r="F15" s="75"/>
      <c r="G15" s="454"/>
      <c r="H15" s="75"/>
      <c r="I15" s="75"/>
      <c r="J15" s="75"/>
      <c r="K15" s="75"/>
      <c r="L15" s="75"/>
      <c r="M15" s="75"/>
      <c r="N15" s="75"/>
      <c r="O15" s="75"/>
    </row>
    <row r="16" spans="1:15">
      <c r="A16" s="75"/>
      <c r="B16" s="451"/>
      <c r="C16" s="451"/>
      <c r="D16" s="451"/>
      <c r="E16" s="75"/>
      <c r="F16" s="75"/>
      <c r="G16" s="454"/>
      <c r="H16" s="75"/>
      <c r="I16" s="75"/>
      <c r="J16" s="75"/>
      <c r="K16" s="75"/>
      <c r="L16" s="75"/>
      <c r="M16" s="75"/>
      <c r="N16" s="75"/>
      <c r="O16" s="75"/>
    </row>
    <row r="17" spans="1:15" ht="18.75" thickBot="1">
      <c r="A17" s="75"/>
      <c r="B17" s="1059" t="s">
        <v>231</v>
      </c>
      <c r="C17" s="1059"/>
      <c r="D17" s="778"/>
      <c r="E17" s="75"/>
      <c r="F17" s="75"/>
      <c r="G17" s="454"/>
      <c r="H17" s="75"/>
      <c r="I17" s="75"/>
      <c r="J17" s="75"/>
      <c r="K17" s="75"/>
      <c r="L17" s="75"/>
      <c r="M17" s="75"/>
      <c r="N17" s="75"/>
      <c r="O17" s="75"/>
    </row>
    <row r="18" spans="1:15">
      <c r="A18" s="75"/>
      <c r="B18" s="451" t="str">
        <f>S.Notice.AD.PubID1</f>
        <v>NOTICE.AD1Oregonian</v>
      </c>
      <c r="C18" s="788">
        <f>S.Notice.AD.PubDate1</f>
        <v>41869</v>
      </c>
      <c r="D18" s="452"/>
      <c r="E18" s="75"/>
      <c r="F18" s="75"/>
      <c r="G18" s="499"/>
      <c r="H18" s="75"/>
      <c r="I18" s="75"/>
      <c r="J18" s="75"/>
      <c r="K18" s="75"/>
      <c r="L18" s="75"/>
      <c r="M18" s="75"/>
      <c r="N18" s="75"/>
      <c r="O18" s="75"/>
    </row>
    <row r="19" spans="1:15">
      <c r="A19" s="75"/>
      <c r="B19" s="451" t="str">
        <f>S.Notice.AD.PubID2</f>
        <v>NOTICE.AD2JournalOfCommerce</v>
      </c>
      <c r="C19" s="788">
        <f>S.Notice.AD.PubDate2</f>
        <v>41869</v>
      </c>
      <c r="D19" s="452"/>
      <c r="E19" s="75"/>
      <c r="F19" s="75"/>
      <c r="G19" s="499"/>
      <c r="H19" s="75"/>
      <c r="I19" s="75"/>
      <c r="J19" s="75"/>
      <c r="K19" s="75"/>
      <c r="L19" s="75"/>
      <c r="M19" s="75"/>
      <c r="N19" s="75"/>
      <c r="O19" s="75"/>
    </row>
    <row r="20" spans="1:15">
      <c r="A20" s="75"/>
      <c r="B20" s="451" t="str">
        <f>S.Notice.AD.PubID3</f>
        <v>NOTICE.AD3None</v>
      </c>
      <c r="C20" s="788">
        <f>S.Notice.AD.PubDate3</f>
        <v>41869</v>
      </c>
      <c r="D20" s="452"/>
      <c r="E20" s="75"/>
      <c r="F20" s="75"/>
      <c r="G20" s="499"/>
      <c r="H20" s="75"/>
      <c r="I20" s="75"/>
      <c r="J20" s="75"/>
      <c r="K20" s="75"/>
      <c r="L20" s="75"/>
      <c r="M20" s="75"/>
      <c r="N20" s="75"/>
      <c r="O20" s="75"/>
    </row>
    <row r="21" spans="1:15">
      <c r="A21" s="75"/>
      <c r="B21" s="451" t="str">
        <f>S.Notice.AD.PubID4</f>
        <v>NOTICE.AD4None</v>
      </c>
      <c r="C21" s="788">
        <f>S.Notice.AD.PubDate4</f>
        <v>41869</v>
      </c>
      <c r="D21" s="452"/>
      <c r="E21" s="75"/>
      <c r="F21" s="75"/>
      <c r="G21" s="499"/>
      <c r="H21" s="75"/>
      <c r="I21" s="75"/>
      <c r="J21" s="75"/>
      <c r="K21" s="75"/>
      <c r="L21" s="75"/>
      <c r="M21" s="75"/>
      <c r="N21" s="75"/>
      <c r="O21" s="75"/>
    </row>
    <row r="22" spans="1:15">
      <c r="A22" s="75"/>
      <c r="B22" s="451" t="str">
        <f>S.Notice.AD.PubID5</f>
        <v>NOTICE.AD5None</v>
      </c>
      <c r="C22" s="788">
        <f>S.Notice.AD.PubDate5</f>
        <v>41869</v>
      </c>
      <c r="D22" s="452"/>
      <c r="E22" s="75"/>
      <c r="F22" s="75"/>
      <c r="G22" s="499"/>
      <c r="H22" s="75"/>
      <c r="I22" s="75"/>
      <c r="J22" s="75"/>
      <c r="K22" s="75"/>
      <c r="L22" s="75"/>
      <c r="M22" s="75"/>
      <c r="N22" s="75"/>
      <c r="O22" s="75"/>
    </row>
    <row r="23" spans="1:15">
      <c r="A23" s="75"/>
      <c r="B23" s="451" t="str">
        <f>S.Notice.AD.PubID6</f>
        <v>NOTICE.AD6None</v>
      </c>
      <c r="C23" s="788">
        <f>S.Notice.AD.PubDate6</f>
        <v>41869</v>
      </c>
      <c r="D23" s="452"/>
      <c r="E23" s="75"/>
      <c r="F23" s="75"/>
      <c r="G23" s="499"/>
      <c r="H23" s="75"/>
      <c r="I23" s="75"/>
      <c r="J23" s="75"/>
      <c r="K23" s="75"/>
      <c r="L23" s="75"/>
      <c r="M23" s="75"/>
      <c r="N23" s="75"/>
      <c r="O23" s="75"/>
    </row>
    <row r="24" spans="1:15">
      <c r="A24" s="75"/>
      <c r="B24" s="451" t="str">
        <f>S.Notice.AD.PubID7</f>
        <v>NOTICE.AD7None</v>
      </c>
      <c r="C24" s="788">
        <f>S.Notice.AD.PubDate7</f>
        <v>41869</v>
      </c>
      <c r="D24" s="452"/>
      <c r="E24" s="75"/>
      <c r="F24" s="75"/>
      <c r="G24" s="499"/>
      <c r="H24" s="75"/>
      <c r="I24" s="75"/>
      <c r="J24" s="75"/>
      <c r="K24" s="75"/>
      <c r="L24" s="75"/>
      <c r="M24" s="75"/>
      <c r="N24" s="75"/>
      <c r="O24" s="75"/>
    </row>
    <row r="25" spans="1:15">
      <c r="A25" s="75"/>
      <c r="B25" s="451" t="str">
        <f>S.Notice.AD.PubID8</f>
        <v>NOTICE.AD8None</v>
      </c>
      <c r="C25" s="788">
        <f>S.Notice.AD.PubDate8</f>
        <v>41869</v>
      </c>
      <c r="D25" s="452"/>
      <c r="E25" s="75"/>
      <c r="F25" s="75"/>
      <c r="G25" s="499"/>
      <c r="H25" s="75"/>
      <c r="I25" s="75"/>
      <c r="J25" s="75"/>
      <c r="K25" s="75"/>
      <c r="L25" s="75"/>
      <c r="M25" s="75"/>
      <c r="N25" s="75"/>
      <c r="O25" s="75"/>
    </row>
    <row r="26" spans="1:15">
      <c r="A26" s="75"/>
      <c r="B26" s="75"/>
      <c r="C26" s="75"/>
      <c r="D26" s="75"/>
      <c r="E26" s="75"/>
      <c r="F26" s="75"/>
      <c r="G26" s="75"/>
      <c r="H26" s="75"/>
      <c r="I26" s="75"/>
      <c r="J26" s="75"/>
      <c r="K26" s="75"/>
      <c r="L26" s="75"/>
      <c r="M26" s="75"/>
      <c r="N26" s="75"/>
      <c r="O26" s="75"/>
    </row>
    <row r="27" spans="1:15">
      <c r="A27" s="75"/>
      <c r="B27" s="75"/>
      <c r="C27" s="75"/>
      <c r="D27" s="75"/>
      <c r="E27" s="75"/>
      <c r="F27" s="75"/>
      <c r="G27" s="75"/>
      <c r="H27" s="75"/>
      <c r="I27" s="75"/>
      <c r="J27" s="75"/>
      <c r="K27" s="75"/>
      <c r="L27" s="75"/>
      <c r="M27" s="75"/>
      <c r="N27" s="75"/>
      <c r="O27" s="75"/>
    </row>
    <row r="28" spans="1:15">
      <c r="A28" s="75"/>
      <c r="B28" s="75"/>
      <c r="C28" s="75"/>
      <c r="D28" s="75"/>
      <c r="E28" s="75"/>
      <c r="F28" s="75"/>
      <c r="G28" s="75"/>
      <c r="H28" s="75"/>
      <c r="I28" s="75"/>
      <c r="J28" s="75"/>
      <c r="K28" s="75"/>
      <c r="L28" s="75"/>
      <c r="M28" s="75"/>
      <c r="N28" s="75"/>
      <c r="O28" s="75"/>
    </row>
    <row r="29" spans="1:15">
      <c r="A29" s="75"/>
      <c r="B29" s="75"/>
      <c r="C29" s="75"/>
      <c r="D29" s="75"/>
      <c r="E29" s="75"/>
      <c r="F29" s="75"/>
      <c r="G29" s="75"/>
      <c r="H29" s="75"/>
      <c r="I29" s="75"/>
      <c r="J29" s="75"/>
      <c r="K29" s="75"/>
      <c r="L29" s="75"/>
      <c r="M29" s="75"/>
      <c r="N29" s="75"/>
      <c r="O29" s="75"/>
    </row>
    <row r="30" spans="1:15">
      <c r="A30" s="75"/>
      <c r="B30" s="75"/>
      <c r="C30" s="75"/>
      <c r="D30" s="75"/>
      <c r="E30" s="75"/>
      <c r="F30" s="75"/>
      <c r="G30" s="75"/>
      <c r="H30" s="75"/>
      <c r="I30" s="75"/>
      <c r="J30" s="75"/>
      <c r="K30" s="75"/>
      <c r="L30" s="75"/>
      <c r="M30" s="75"/>
      <c r="N30" s="75"/>
      <c r="O30" s="75"/>
    </row>
    <row r="31" spans="1:15">
      <c r="A31" s="75"/>
      <c r="B31" s="75"/>
      <c r="C31" s="75"/>
      <c r="D31" s="75"/>
      <c r="E31" s="75"/>
      <c r="F31" s="75"/>
      <c r="G31" s="75"/>
      <c r="H31" s="75"/>
      <c r="I31" s="75"/>
      <c r="J31" s="75"/>
      <c r="K31" s="75"/>
      <c r="L31" s="75"/>
      <c r="M31" s="75"/>
      <c r="N31" s="75"/>
      <c r="O31" s="75"/>
    </row>
    <row r="32" spans="1:15">
      <c r="A32" s="75"/>
      <c r="B32" s="75"/>
      <c r="C32" s="75"/>
      <c r="D32" s="75"/>
      <c r="E32" s="75"/>
      <c r="F32" s="75"/>
      <c r="G32" s="75"/>
      <c r="H32" s="75"/>
      <c r="I32" s="75"/>
      <c r="J32" s="75"/>
      <c r="K32" s="75"/>
      <c r="L32" s="75"/>
      <c r="M32" s="75"/>
      <c r="N32" s="75"/>
      <c r="O32" s="75"/>
    </row>
    <row r="33" spans="1:15">
      <c r="A33" s="75"/>
      <c r="B33" s="75"/>
      <c r="C33" s="75"/>
      <c r="D33" s="75"/>
      <c r="E33" s="75"/>
      <c r="F33" s="75"/>
      <c r="G33" s="75"/>
      <c r="H33" s="75"/>
      <c r="I33" s="75"/>
      <c r="J33" s="75"/>
      <c r="K33" s="75"/>
      <c r="L33" s="75"/>
      <c r="M33" s="75"/>
      <c r="N33" s="75"/>
      <c r="O33" s="75"/>
    </row>
    <row r="34" spans="1:15">
      <c r="A34" s="75"/>
      <c r="B34" s="75"/>
      <c r="C34" s="75"/>
      <c r="D34" s="75"/>
      <c r="E34" s="75"/>
      <c r="F34" s="75"/>
      <c r="G34" s="75"/>
      <c r="H34" s="75"/>
      <c r="I34" s="75"/>
      <c r="J34" s="75"/>
      <c r="K34" s="75"/>
      <c r="L34" s="75"/>
      <c r="M34" s="75"/>
      <c r="N34" s="75"/>
      <c r="O34" s="75"/>
    </row>
    <row r="35" spans="1:15">
      <c r="A35" s="75"/>
      <c r="B35" s="75"/>
      <c r="C35" s="75"/>
      <c r="D35" s="75"/>
      <c r="E35" s="75"/>
      <c r="F35" s="75"/>
      <c r="G35" s="75"/>
      <c r="H35" s="75"/>
      <c r="I35" s="75"/>
      <c r="J35" s="75"/>
      <c r="K35" s="75"/>
      <c r="L35" s="75"/>
      <c r="M35" s="75"/>
      <c r="N35" s="75"/>
      <c r="O35" s="75"/>
    </row>
    <row r="36" spans="1:15">
      <c r="A36" s="75"/>
      <c r="B36" s="75"/>
      <c r="C36" s="75"/>
      <c r="D36" s="75"/>
      <c r="E36" s="75"/>
      <c r="F36" s="75"/>
      <c r="G36" s="75"/>
      <c r="H36" s="75"/>
      <c r="I36" s="75"/>
      <c r="J36" s="75"/>
      <c r="K36" s="75"/>
      <c r="L36" s="75"/>
      <c r="M36" s="75"/>
      <c r="N36" s="75"/>
      <c r="O36" s="75"/>
    </row>
    <row r="37" spans="1:15">
      <c r="A37" s="75"/>
      <c r="B37" s="75"/>
      <c r="C37" s="75"/>
      <c r="D37" s="75"/>
      <c r="E37" s="75"/>
      <c r="F37" s="75"/>
      <c r="G37" s="75"/>
      <c r="H37" s="75"/>
      <c r="I37" s="75"/>
      <c r="J37" s="75"/>
      <c r="K37" s="75"/>
      <c r="L37" s="75"/>
      <c r="M37" s="75"/>
      <c r="N37" s="75"/>
      <c r="O37" s="75"/>
    </row>
    <row r="38" spans="1:15">
      <c r="A38" s="75"/>
      <c r="B38" s="75"/>
      <c r="C38" s="75"/>
      <c r="D38" s="75"/>
      <c r="E38" s="75"/>
      <c r="F38" s="75"/>
      <c r="G38" s="75"/>
      <c r="H38" s="75"/>
      <c r="I38" s="75"/>
      <c r="J38" s="75"/>
      <c r="K38" s="75"/>
      <c r="L38" s="75"/>
      <c r="M38" s="75"/>
      <c r="N38" s="75"/>
      <c r="O38" s="75"/>
    </row>
    <row r="39" spans="1:15">
      <c r="A39" s="75"/>
      <c r="B39" s="75"/>
      <c r="C39" s="75"/>
      <c r="D39" s="75"/>
      <c r="E39" s="75"/>
      <c r="F39" s="75"/>
      <c r="G39" s="75"/>
      <c r="H39" s="75"/>
      <c r="I39" s="75"/>
      <c r="J39" s="75"/>
      <c r="K39" s="75"/>
      <c r="L39" s="75"/>
      <c r="M39" s="75"/>
      <c r="N39" s="75"/>
      <c r="O39" s="75"/>
    </row>
    <row r="40" spans="1:15">
      <c r="A40" s="75"/>
      <c r="B40" s="75"/>
      <c r="C40" s="75"/>
      <c r="D40" s="75"/>
      <c r="E40" s="75"/>
      <c r="F40" s="75"/>
      <c r="G40" s="75"/>
      <c r="H40" s="75"/>
      <c r="I40" s="75"/>
      <c r="J40" s="75"/>
      <c r="K40" s="75"/>
      <c r="L40" s="75"/>
      <c r="M40" s="75"/>
      <c r="N40" s="75"/>
      <c r="O40" s="75"/>
    </row>
    <row r="41" spans="1:15">
      <c r="A41" s="75"/>
      <c r="B41" s="75"/>
      <c r="C41" s="75"/>
      <c r="D41" s="75"/>
      <c r="E41" s="75"/>
      <c r="F41" s="75"/>
      <c r="G41" s="75"/>
      <c r="H41" s="75"/>
      <c r="I41" s="75"/>
      <c r="J41" s="75"/>
      <c r="K41" s="75"/>
      <c r="L41" s="75"/>
      <c r="M41" s="75"/>
      <c r="N41" s="75"/>
      <c r="O41" s="75"/>
    </row>
    <row r="42" spans="1:15">
      <c r="A42" s="75"/>
      <c r="B42" s="75"/>
      <c r="C42" s="75"/>
      <c r="D42" s="75"/>
      <c r="E42" s="75"/>
      <c r="F42" s="75"/>
      <c r="G42" s="75"/>
      <c r="H42" s="75"/>
      <c r="I42" s="75"/>
      <c r="J42" s="75"/>
      <c r="K42" s="75"/>
      <c r="L42" s="75"/>
      <c r="M42" s="75"/>
      <c r="N42" s="75"/>
      <c r="O42" s="75"/>
    </row>
    <row r="43" spans="1:15">
      <c r="A43" s="75"/>
      <c r="B43" s="75"/>
      <c r="C43" s="75"/>
      <c r="D43" s="75"/>
      <c r="E43" s="75"/>
      <c r="F43" s="75"/>
      <c r="G43" s="75"/>
      <c r="H43" s="75"/>
      <c r="I43" s="75"/>
      <c r="J43" s="75"/>
      <c r="K43" s="75"/>
      <c r="L43" s="75"/>
      <c r="M43" s="75"/>
      <c r="N43" s="75"/>
      <c r="O43" s="75"/>
    </row>
    <row r="44" spans="1:15">
      <c r="A44" s="75"/>
      <c r="B44" s="75"/>
      <c r="C44" s="75"/>
      <c r="D44" s="75"/>
      <c r="E44" s="75"/>
      <c r="F44" s="75"/>
      <c r="G44" s="75"/>
      <c r="H44" s="75"/>
      <c r="I44" s="75"/>
      <c r="J44" s="75"/>
      <c r="K44" s="75"/>
      <c r="L44" s="75"/>
      <c r="M44" s="75"/>
      <c r="N44" s="75"/>
      <c r="O44" s="75"/>
    </row>
    <row r="45" spans="1:15">
      <c r="A45" s="75"/>
      <c r="B45" s="75"/>
      <c r="C45" s="75"/>
      <c r="D45" s="75"/>
      <c r="E45" s="75"/>
      <c r="F45" s="75"/>
      <c r="G45" s="75"/>
      <c r="H45" s="75"/>
      <c r="I45" s="75"/>
      <c r="J45" s="75"/>
      <c r="K45" s="75"/>
      <c r="L45" s="75"/>
      <c r="M45" s="75"/>
      <c r="N45" s="75"/>
      <c r="O45" s="75"/>
    </row>
    <row r="46" spans="1:15">
      <c r="A46" s="75"/>
      <c r="B46" s="75"/>
      <c r="C46" s="75"/>
      <c r="D46" s="75"/>
      <c r="E46" s="75"/>
      <c r="F46" s="75"/>
      <c r="G46" s="75"/>
      <c r="H46" s="75"/>
      <c r="I46" s="75"/>
      <c r="J46" s="75"/>
      <c r="K46" s="75"/>
      <c r="L46" s="75"/>
      <c r="M46" s="75"/>
      <c r="N46" s="75"/>
      <c r="O46" s="75"/>
    </row>
    <row r="47" spans="1:15">
      <c r="A47" s="75"/>
      <c r="B47" s="75"/>
      <c r="C47" s="75"/>
      <c r="D47" s="75"/>
      <c r="E47" s="75"/>
      <c r="F47" s="75"/>
      <c r="G47" s="75"/>
      <c r="H47" s="75"/>
      <c r="I47" s="75"/>
      <c r="J47" s="75"/>
      <c r="K47" s="75"/>
      <c r="L47" s="75"/>
      <c r="M47" s="75"/>
      <c r="N47" s="75"/>
      <c r="O47" s="75"/>
    </row>
    <row r="48" spans="1:15">
      <c r="A48" s="75"/>
      <c r="B48" s="75"/>
      <c r="C48" s="75"/>
      <c r="D48" s="75"/>
      <c r="E48" s="75"/>
      <c r="F48" s="75"/>
      <c r="G48" s="75"/>
      <c r="H48" s="75"/>
      <c r="I48" s="75"/>
      <c r="J48" s="75"/>
      <c r="K48" s="75"/>
      <c r="L48" s="75"/>
      <c r="M48" s="75"/>
      <c r="N48" s="75"/>
      <c r="O48" s="75"/>
    </row>
    <row r="49" spans="1:15">
      <c r="A49" s="75"/>
      <c r="B49" s="75"/>
      <c r="C49" s="75"/>
      <c r="D49" s="75"/>
      <c r="E49" s="75"/>
      <c r="F49" s="75"/>
      <c r="G49" s="75"/>
      <c r="H49" s="75"/>
      <c r="I49" s="75"/>
      <c r="J49" s="75"/>
      <c r="K49" s="75"/>
      <c r="L49" s="75"/>
      <c r="M49" s="75"/>
      <c r="N49" s="75"/>
      <c r="O49" s="75"/>
    </row>
    <row r="50" spans="1:15">
      <c r="A50" s="75"/>
      <c r="B50" s="75"/>
      <c r="C50" s="75"/>
      <c r="D50" s="75"/>
      <c r="E50" s="75"/>
      <c r="F50" s="75"/>
      <c r="G50" s="75"/>
      <c r="H50" s="75"/>
      <c r="I50" s="75"/>
      <c r="J50" s="75"/>
      <c r="K50" s="75"/>
      <c r="L50" s="75"/>
      <c r="M50" s="75"/>
      <c r="N50" s="75"/>
      <c r="O50" s="75"/>
    </row>
    <row r="51" spans="1:15">
      <c r="A51" s="75"/>
      <c r="B51" s="75"/>
      <c r="C51" s="75"/>
      <c r="D51" s="75"/>
      <c r="E51" s="75"/>
      <c r="F51" s="75"/>
      <c r="G51" s="75"/>
      <c r="H51" s="75"/>
      <c r="I51" s="75"/>
      <c r="J51" s="75"/>
      <c r="K51" s="75"/>
      <c r="L51" s="75"/>
      <c r="M51" s="75"/>
      <c r="N51" s="75"/>
      <c r="O51" s="75"/>
    </row>
    <row r="52" spans="1:15">
      <c r="A52" s="75"/>
      <c r="B52" s="75"/>
      <c r="C52" s="75"/>
      <c r="D52" s="75"/>
      <c r="E52" s="75"/>
      <c r="F52" s="75"/>
      <c r="G52" s="75"/>
      <c r="H52" s="75"/>
      <c r="I52" s="75"/>
      <c r="J52" s="75"/>
      <c r="K52" s="75"/>
      <c r="L52" s="75"/>
      <c r="M52" s="75"/>
      <c r="N52" s="75"/>
      <c r="O52" s="75"/>
    </row>
    <row r="53" spans="1:15">
      <c r="A53" s="75"/>
      <c r="B53" s="75"/>
      <c r="C53" s="75"/>
      <c r="D53" s="75"/>
      <c r="E53" s="75"/>
      <c r="F53" s="75"/>
      <c r="G53" s="75"/>
      <c r="H53" s="75"/>
      <c r="I53" s="75"/>
      <c r="J53" s="75"/>
      <c r="K53" s="75"/>
      <c r="L53" s="75"/>
      <c r="M53" s="75"/>
      <c r="N53" s="75"/>
      <c r="O53" s="75"/>
    </row>
    <row r="54" spans="1:15">
      <c r="A54" s="75"/>
      <c r="B54" s="75"/>
      <c r="C54" s="75"/>
      <c r="D54" s="75"/>
      <c r="E54" s="75"/>
      <c r="F54" s="75"/>
      <c r="G54" s="75"/>
      <c r="H54" s="75"/>
      <c r="I54" s="75"/>
      <c r="J54" s="75"/>
      <c r="K54" s="75"/>
      <c r="L54" s="75"/>
      <c r="M54" s="75"/>
      <c r="N54" s="75"/>
      <c r="O54" s="75"/>
    </row>
    <row r="55" spans="1:15">
      <c r="A55" s="75"/>
      <c r="B55" s="75"/>
      <c r="C55" s="75"/>
      <c r="D55" s="75"/>
      <c r="E55" s="75"/>
      <c r="F55" s="75"/>
      <c r="G55" s="75"/>
      <c r="H55" s="75"/>
      <c r="I55" s="75"/>
      <c r="J55" s="75"/>
      <c r="K55" s="75"/>
      <c r="L55" s="75"/>
      <c r="M55" s="75"/>
      <c r="N55" s="75"/>
      <c r="O55" s="75"/>
    </row>
    <row r="56" spans="1:15">
      <c r="A56" s="75"/>
      <c r="B56" s="75"/>
      <c r="C56" s="75"/>
      <c r="D56" s="75"/>
      <c r="E56" s="75"/>
      <c r="F56" s="75"/>
      <c r="G56" s="75"/>
      <c r="H56" s="75"/>
      <c r="I56" s="75"/>
      <c r="J56" s="75"/>
      <c r="K56" s="75"/>
      <c r="L56" s="75"/>
      <c r="M56" s="75"/>
      <c r="N56" s="75"/>
      <c r="O56" s="75"/>
    </row>
    <row r="57" spans="1:15">
      <c r="A57" s="75"/>
      <c r="B57" s="75"/>
      <c r="C57" s="75"/>
      <c r="D57" s="75"/>
      <c r="E57" s="75"/>
      <c r="F57" s="75"/>
      <c r="G57" s="75"/>
      <c r="H57" s="75"/>
      <c r="I57" s="75"/>
      <c r="J57" s="75"/>
      <c r="K57" s="75"/>
      <c r="L57" s="75"/>
      <c r="M57" s="75"/>
      <c r="N57" s="75"/>
      <c r="O57" s="75"/>
    </row>
    <row r="58" spans="1:15">
      <c r="A58" s="75"/>
      <c r="B58" s="75"/>
      <c r="C58" s="75"/>
      <c r="D58" s="75"/>
      <c r="E58" s="75"/>
      <c r="F58" s="75"/>
      <c r="G58" s="75"/>
      <c r="H58" s="75"/>
      <c r="I58" s="75"/>
      <c r="J58" s="75"/>
      <c r="K58" s="75"/>
      <c r="L58" s="75"/>
      <c r="M58" s="75"/>
      <c r="N58" s="75"/>
      <c r="O58" s="75"/>
    </row>
    <row r="59" spans="1:15">
      <c r="A59" s="75"/>
      <c r="B59" s="75"/>
      <c r="C59" s="75"/>
      <c r="D59" s="75"/>
      <c r="E59" s="75"/>
      <c r="F59" s="75"/>
      <c r="G59" s="75"/>
      <c r="H59" s="75"/>
      <c r="I59" s="75"/>
      <c r="J59" s="75"/>
      <c r="K59" s="75"/>
      <c r="L59" s="75"/>
      <c r="M59" s="75"/>
      <c r="N59" s="75"/>
      <c r="O59" s="75"/>
    </row>
    <row r="60" spans="1:15">
      <c r="A60" s="75"/>
      <c r="B60" s="75"/>
      <c r="C60" s="75"/>
      <c r="D60" s="75"/>
      <c r="E60" s="75"/>
      <c r="F60" s="75"/>
      <c r="G60" s="75"/>
      <c r="H60" s="75"/>
      <c r="I60" s="75"/>
      <c r="J60" s="75"/>
      <c r="K60" s="75"/>
      <c r="L60" s="75"/>
      <c r="M60" s="75"/>
      <c r="N60" s="75"/>
      <c r="O60" s="75"/>
    </row>
    <row r="61" spans="1:15">
      <c r="A61" s="75"/>
      <c r="B61" s="75"/>
      <c r="C61" s="75"/>
      <c r="D61" s="75"/>
      <c r="E61" s="75"/>
      <c r="F61" s="75"/>
      <c r="G61" s="75"/>
      <c r="H61" s="75"/>
      <c r="I61" s="75"/>
      <c r="J61" s="75"/>
      <c r="K61" s="75"/>
      <c r="L61" s="75"/>
      <c r="M61" s="75"/>
      <c r="N61" s="75"/>
      <c r="O61" s="75"/>
    </row>
    <row r="62" spans="1:15">
      <c r="A62" s="75"/>
      <c r="B62" s="75"/>
      <c r="C62" s="75"/>
      <c r="D62" s="75"/>
      <c r="E62" s="75"/>
      <c r="F62" s="75"/>
      <c r="G62" s="75"/>
      <c r="H62" s="75"/>
      <c r="I62" s="75"/>
      <c r="J62" s="75"/>
      <c r="K62" s="75"/>
      <c r="L62" s="75"/>
      <c r="M62" s="75"/>
      <c r="N62" s="75"/>
      <c r="O62" s="75"/>
    </row>
    <row r="63" spans="1:15">
      <c r="A63" s="75"/>
      <c r="B63" s="75"/>
      <c r="C63" s="75"/>
      <c r="D63" s="75"/>
      <c r="E63" s="75"/>
      <c r="F63" s="75"/>
      <c r="G63" s="75"/>
      <c r="H63" s="75"/>
      <c r="I63" s="75"/>
      <c r="J63" s="75"/>
      <c r="K63" s="75"/>
      <c r="L63" s="75"/>
      <c r="M63" s="75"/>
      <c r="N63" s="75"/>
      <c r="O63" s="75"/>
    </row>
    <row r="64" spans="1:15">
      <c r="A64" s="75"/>
      <c r="B64" s="75"/>
      <c r="C64" s="75"/>
      <c r="D64" s="75"/>
      <c r="E64" s="75"/>
      <c r="F64" s="75"/>
      <c r="G64" s="75"/>
      <c r="H64" s="75"/>
      <c r="I64" s="75"/>
      <c r="J64" s="75"/>
      <c r="K64" s="75"/>
      <c r="L64" s="75"/>
      <c r="M64" s="75"/>
      <c r="N64" s="75"/>
      <c r="O64" s="75"/>
    </row>
    <row r="65" spans="1:15">
      <c r="A65" s="75"/>
      <c r="B65" s="75"/>
      <c r="C65" s="75"/>
      <c r="D65" s="75"/>
      <c r="E65" s="75"/>
      <c r="F65" s="75"/>
      <c r="G65" s="75"/>
      <c r="H65" s="75"/>
      <c r="I65" s="75"/>
      <c r="J65" s="75"/>
      <c r="K65" s="75"/>
      <c r="L65" s="75"/>
      <c r="M65" s="75"/>
      <c r="N65" s="75"/>
      <c r="O65" s="75"/>
    </row>
    <row r="66" spans="1:15">
      <c r="A66" s="75"/>
      <c r="B66" s="75"/>
      <c r="C66" s="75"/>
      <c r="D66" s="75"/>
      <c r="E66" s="75"/>
      <c r="F66" s="75"/>
      <c r="G66" s="75"/>
      <c r="H66" s="75"/>
      <c r="I66" s="75"/>
      <c r="J66" s="75"/>
      <c r="K66" s="75"/>
      <c r="L66" s="75"/>
      <c r="M66" s="75"/>
      <c r="N66" s="75"/>
      <c r="O66" s="75"/>
    </row>
    <row r="67" spans="1:15">
      <c r="A67" s="75"/>
      <c r="B67" s="75"/>
      <c r="C67" s="75"/>
      <c r="D67" s="75"/>
      <c r="E67" s="75"/>
      <c r="F67" s="75"/>
      <c r="G67" s="75"/>
      <c r="H67" s="75"/>
      <c r="I67" s="75"/>
      <c r="J67" s="75"/>
      <c r="K67" s="75"/>
      <c r="L67" s="75"/>
      <c r="M67" s="75"/>
      <c r="N67" s="75"/>
      <c r="O67" s="75"/>
    </row>
    <row r="68" spans="1:15">
      <c r="A68" s="75"/>
      <c r="B68" s="75"/>
      <c r="C68" s="75"/>
      <c r="D68" s="75"/>
      <c r="E68" s="75"/>
      <c r="F68" s="75"/>
      <c r="G68" s="75"/>
      <c r="H68" s="75"/>
      <c r="I68" s="75"/>
      <c r="J68" s="75"/>
      <c r="K68" s="75"/>
      <c r="L68" s="75"/>
      <c r="M68" s="75"/>
      <c r="N68" s="75"/>
      <c r="O68" s="75"/>
    </row>
    <row r="69" spans="1:15">
      <c r="A69" s="75"/>
      <c r="B69" s="75"/>
      <c r="C69" s="75"/>
      <c r="D69" s="75"/>
    </row>
  </sheetData>
  <mergeCells count="3">
    <mergeCell ref="E4:E5"/>
    <mergeCell ref="B17:C17"/>
    <mergeCell ref="B2:E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sheetPr codeName="Sheet2"/>
  <dimension ref="A1:T1307"/>
  <sheetViews>
    <sheetView topLeftCell="A181" workbookViewId="0">
      <selection activeCell="B195" sqref="B195"/>
    </sheetView>
  </sheetViews>
  <sheetFormatPr defaultColWidth="9" defaultRowHeight="15.75"/>
  <cols>
    <col min="1" max="1" width="17.75" style="17" customWidth="1"/>
    <col min="2" max="2" width="20.25" style="17" customWidth="1"/>
    <col min="3" max="3" width="32" style="1" customWidth="1"/>
    <col min="4" max="4" width="13.75" style="1" customWidth="1"/>
    <col min="5" max="6" width="14.5" style="52" customWidth="1"/>
    <col min="7" max="7" width="14" style="52" customWidth="1"/>
    <col min="8" max="8" width="14.5" style="52" customWidth="1"/>
    <col min="9" max="9" width="14.75" style="1" customWidth="1"/>
    <col min="10" max="10" width="40" style="1" customWidth="1"/>
    <col min="11" max="11" width="12" style="1" customWidth="1"/>
    <col min="12" max="12" width="12.625" style="1" customWidth="1"/>
    <col min="13" max="15" width="9.625" style="1" customWidth="1"/>
    <col min="16" max="16" width="9.625" style="54" customWidth="1"/>
    <col min="17" max="17" width="21" style="54" customWidth="1"/>
    <col min="18" max="18" width="37.75" style="1" customWidth="1"/>
    <col min="19" max="19" width="30.875" style="1" customWidth="1"/>
    <col min="20" max="20" width="30.625" style="1" customWidth="1"/>
    <col min="21" max="16384" width="9" style="1"/>
  </cols>
  <sheetData>
    <row r="1" spans="1:20" ht="22.5">
      <c r="A1" s="16" t="s">
        <v>18</v>
      </c>
      <c r="B1" s="3"/>
      <c r="C1" s="2"/>
      <c r="D1" s="575" t="s">
        <v>0</v>
      </c>
      <c r="E1" s="51"/>
      <c r="F1" s="51"/>
      <c r="G1" s="51"/>
      <c r="H1" s="51"/>
      <c r="I1" s="2"/>
      <c r="J1" s="2"/>
      <c r="K1" s="2"/>
      <c r="L1" s="2"/>
      <c r="M1" s="2"/>
      <c r="N1" s="2"/>
      <c r="O1" s="2"/>
      <c r="P1" s="53"/>
      <c r="Q1" s="53"/>
      <c r="R1" s="2"/>
      <c r="S1" s="2"/>
      <c r="T1" s="2"/>
    </row>
    <row r="2" spans="1:20">
      <c r="A2" s="50">
        <v>1</v>
      </c>
      <c r="B2" s="50">
        <v>2</v>
      </c>
      <c r="C2" s="112">
        <v>3</v>
      </c>
      <c r="D2" s="50">
        <v>4</v>
      </c>
      <c r="E2" s="50">
        <v>5</v>
      </c>
      <c r="F2" s="50">
        <v>6</v>
      </c>
      <c r="G2" s="48"/>
      <c r="H2" s="48"/>
      <c r="I2" s="48"/>
      <c r="J2" s="48"/>
      <c r="K2" s="48"/>
      <c r="L2" s="48"/>
      <c r="M2" s="2"/>
      <c r="N2" s="2"/>
      <c r="O2" s="2"/>
      <c r="P2" s="1"/>
      <c r="Q2" s="1"/>
    </row>
    <row r="3" spans="1:20">
      <c r="A3" s="4" t="s">
        <v>11</v>
      </c>
      <c r="B3" s="4" t="s">
        <v>14</v>
      </c>
      <c r="C3" s="4" t="s">
        <v>15</v>
      </c>
      <c r="D3" s="110" t="s">
        <v>61</v>
      </c>
      <c r="E3" s="133" t="s">
        <v>56</v>
      </c>
      <c r="F3" s="133" t="s">
        <v>66</v>
      </c>
      <c r="G3" s="48"/>
      <c r="H3" s="48"/>
      <c r="I3" s="48"/>
      <c r="J3" s="48"/>
      <c r="K3" s="48"/>
      <c r="L3" s="48"/>
      <c r="M3" s="2"/>
      <c r="N3" s="2"/>
      <c r="O3" s="2"/>
      <c r="P3"/>
      <c r="Q3"/>
      <c r="R3"/>
      <c r="S3"/>
    </row>
    <row r="4" spans="1:20" ht="18.75" customHeight="1">
      <c r="A4" s="107">
        <v>41353</v>
      </c>
      <c r="B4" s="107">
        <v>41316</v>
      </c>
      <c r="C4" s="107">
        <v>41346</v>
      </c>
      <c r="D4" s="111">
        <f>A5-A4</f>
        <v>91</v>
      </c>
      <c r="E4" s="107">
        <f>A4+D4</f>
        <v>41444</v>
      </c>
      <c r="F4" s="107">
        <v>41259</v>
      </c>
      <c r="G4" s="1062" t="s">
        <v>350</v>
      </c>
      <c r="H4" s="1062"/>
      <c r="I4" s="1062"/>
      <c r="J4" s="48"/>
      <c r="K4" s="48"/>
      <c r="L4" s="48"/>
      <c r="M4" s="48"/>
      <c r="N4" s="48"/>
      <c r="O4" s="48"/>
      <c r="P4" s="23"/>
      <c r="Q4" s="23"/>
      <c r="R4" s="23"/>
      <c r="S4" s="23"/>
    </row>
    <row r="5" spans="1:20" ht="18.75" customHeight="1">
      <c r="A5" s="107">
        <v>41444</v>
      </c>
      <c r="B5" s="107">
        <v>41404</v>
      </c>
      <c r="C5" s="107">
        <v>41437</v>
      </c>
      <c r="D5" s="111">
        <f t="shared" ref="D5:D7" si="0">A6-A5</f>
        <v>63</v>
      </c>
      <c r="E5" s="107">
        <f t="shared" ref="E5:E8" si="1">A5+D5</f>
        <v>41507</v>
      </c>
      <c r="F5" s="107">
        <f>A5-D4</f>
        <v>41353</v>
      </c>
      <c r="G5" s="1062"/>
      <c r="H5" s="1062"/>
      <c r="I5" s="1062"/>
      <c r="J5" s="48"/>
      <c r="K5" s="48"/>
      <c r="L5" s="48"/>
      <c r="M5" s="48"/>
      <c r="N5" s="48"/>
      <c r="O5" s="48"/>
      <c r="P5" s="23"/>
      <c r="Q5" s="23"/>
      <c r="R5" s="23"/>
      <c r="S5" s="23"/>
    </row>
    <row r="6" spans="1:20" ht="18.75" customHeight="1">
      <c r="A6" s="107">
        <v>41507</v>
      </c>
      <c r="B6" s="107">
        <v>41471</v>
      </c>
      <c r="C6" s="107">
        <v>41500</v>
      </c>
      <c r="D6" s="111">
        <f t="shared" si="0"/>
        <v>56</v>
      </c>
      <c r="E6" s="107">
        <f t="shared" si="1"/>
        <v>41563</v>
      </c>
      <c r="F6" s="107">
        <f t="shared" ref="F6:F8" si="2">A6-D5</f>
        <v>41444</v>
      </c>
      <c r="G6" s="1062"/>
      <c r="H6" s="1062"/>
      <c r="I6" s="1062"/>
      <c r="J6" s="48"/>
      <c r="K6" s="48"/>
      <c r="L6" s="48"/>
      <c r="M6" s="48"/>
      <c r="N6" s="48"/>
      <c r="O6" s="48"/>
      <c r="P6" s="23"/>
      <c r="Q6" s="23"/>
      <c r="R6" s="23"/>
      <c r="S6" s="23"/>
    </row>
    <row r="7" spans="1:20">
      <c r="A7" s="107">
        <v>41563</v>
      </c>
      <c r="B7" s="107">
        <v>41527</v>
      </c>
      <c r="C7" s="107">
        <v>41556</v>
      </c>
      <c r="D7" s="111">
        <f t="shared" si="0"/>
        <v>56</v>
      </c>
      <c r="E7" s="107">
        <f t="shared" si="1"/>
        <v>41619</v>
      </c>
      <c r="F7" s="107">
        <f t="shared" si="2"/>
        <v>41507</v>
      </c>
      <c r="G7" s="1062"/>
      <c r="H7" s="1062"/>
      <c r="I7" s="1062"/>
      <c r="J7" s="48"/>
      <c r="K7" s="48"/>
      <c r="L7" s="48"/>
      <c r="M7" s="48"/>
      <c r="N7" s="48"/>
      <c r="O7" s="48"/>
      <c r="P7" s="23"/>
      <c r="Q7" s="23"/>
      <c r="R7" s="23"/>
      <c r="S7" s="23"/>
    </row>
    <row r="8" spans="1:20">
      <c r="A8" s="107">
        <v>41619</v>
      </c>
      <c r="B8" s="107">
        <v>41579</v>
      </c>
      <c r="C8" s="107">
        <v>41612</v>
      </c>
      <c r="D8" s="111">
        <f>A9-A8</f>
        <v>99</v>
      </c>
      <c r="E8" s="107">
        <f t="shared" si="1"/>
        <v>41718</v>
      </c>
      <c r="F8" s="107">
        <f t="shared" si="2"/>
        <v>41563</v>
      </c>
      <c r="G8" s="48"/>
      <c r="H8" s="48"/>
      <c r="I8" s="48"/>
      <c r="J8" s="48"/>
      <c r="K8" s="48"/>
      <c r="L8" s="48"/>
      <c r="M8" s="48"/>
      <c r="N8" s="48"/>
      <c r="O8" s="48"/>
      <c r="P8" s="23"/>
      <c r="Q8" s="23"/>
      <c r="R8" s="23"/>
      <c r="S8" s="23"/>
    </row>
    <row r="9" spans="1:20" ht="18.75" customHeight="1">
      <c r="A9" s="107">
        <v>41718</v>
      </c>
      <c r="B9" s="107">
        <v>41683</v>
      </c>
      <c r="C9" s="107">
        <v>41694</v>
      </c>
      <c r="D9" s="111">
        <f>A13-A9</f>
        <v>272</v>
      </c>
      <c r="E9" s="107">
        <f>A9+D9</f>
        <v>41990</v>
      </c>
      <c r="F9" s="107">
        <v>41259</v>
      </c>
      <c r="G9" s="48"/>
      <c r="H9" s="567">
        <v>41663</v>
      </c>
      <c r="I9" s="48"/>
      <c r="J9" s="48"/>
      <c r="K9" s="48"/>
      <c r="L9" s="48"/>
      <c r="M9" s="48"/>
      <c r="N9" s="48"/>
      <c r="O9" s="48"/>
      <c r="P9" s="23"/>
      <c r="Q9" s="23"/>
      <c r="R9" s="23"/>
      <c r="S9" s="23"/>
    </row>
    <row r="10" spans="1:20" ht="18.75" customHeight="1">
      <c r="A10" s="107">
        <v>41808</v>
      </c>
      <c r="B10" s="107">
        <v>41771</v>
      </c>
      <c r="C10" s="107">
        <v>41785</v>
      </c>
      <c r="D10" s="111">
        <f t="shared" ref="D10:D19" si="3">A11-A10</f>
        <v>63</v>
      </c>
      <c r="E10" s="107">
        <f t="shared" ref="E10:E24" si="4">A10+D10</f>
        <v>41871</v>
      </c>
      <c r="F10" s="107">
        <f>A10-D9</f>
        <v>41536</v>
      </c>
      <c r="G10" s="48"/>
      <c r="H10" s="567">
        <v>41718</v>
      </c>
      <c r="I10" s="48"/>
      <c r="J10" s="48"/>
      <c r="K10" s="48"/>
      <c r="L10" s="48"/>
      <c r="M10" s="48"/>
      <c r="N10" s="48"/>
      <c r="O10" s="48"/>
      <c r="P10"/>
      <c r="Q10"/>
      <c r="R10"/>
      <c r="S10"/>
    </row>
    <row r="11" spans="1:20" ht="18.75" customHeight="1">
      <c r="A11" s="107">
        <v>41871</v>
      </c>
      <c r="B11" s="107">
        <v>41837</v>
      </c>
      <c r="C11" s="107">
        <v>41848</v>
      </c>
      <c r="D11" s="111">
        <f t="shared" si="3"/>
        <v>63</v>
      </c>
      <c r="E11" s="107">
        <f t="shared" si="4"/>
        <v>41934</v>
      </c>
      <c r="F11" s="107">
        <f t="shared" ref="F11:F24" si="5">A11-D10</f>
        <v>41808</v>
      </c>
      <c r="G11" s="48"/>
      <c r="H11" s="567">
        <v>41808</v>
      </c>
      <c r="I11" s="48"/>
      <c r="J11" s="48"/>
      <c r="K11" s="48"/>
      <c r="L11" s="48"/>
      <c r="M11" s="48"/>
      <c r="N11" s="48"/>
      <c r="O11" s="48"/>
      <c r="P11"/>
      <c r="Q11"/>
      <c r="R11"/>
      <c r="S11"/>
    </row>
    <row r="12" spans="1:20">
      <c r="A12" s="107">
        <v>41934</v>
      </c>
      <c r="B12" s="107">
        <v>41899</v>
      </c>
      <c r="C12" s="107">
        <v>41911</v>
      </c>
      <c r="D12" s="111">
        <f t="shared" si="3"/>
        <v>56</v>
      </c>
      <c r="E12" s="107">
        <f t="shared" si="4"/>
        <v>41990</v>
      </c>
      <c r="F12" s="107">
        <f t="shared" si="5"/>
        <v>41871</v>
      </c>
      <c r="G12" s="48"/>
      <c r="H12" s="567">
        <v>41871</v>
      </c>
      <c r="I12" s="48"/>
      <c r="J12" s="48"/>
      <c r="K12" s="48"/>
      <c r="L12" s="48"/>
      <c r="M12" s="48"/>
      <c r="N12" s="48"/>
      <c r="O12" s="48"/>
      <c r="P12"/>
      <c r="Q12"/>
      <c r="R12"/>
      <c r="S12"/>
    </row>
    <row r="13" spans="1:20">
      <c r="A13" s="107">
        <v>41990</v>
      </c>
      <c r="B13" s="107">
        <v>41955</v>
      </c>
      <c r="C13" s="107">
        <v>41967</v>
      </c>
      <c r="D13" s="111">
        <f t="shared" si="3"/>
        <v>88</v>
      </c>
      <c r="E13" s="107">
        <f t="shared" si="4"/>
        <v>42078</v>
      </c>
      <c r="F13" s="107">
        <f t="shared" si="5"/>
        <v>41934</v>
      </c>
      <c r="G13" s="48"/>
      <c r="H13" s="567">
        <v>41934</v>
      </c>
      <c r="I13" s="48"/>
      <c r="J13" s="48"/>
      <c r="K13" s="48"/>
      <c r="L13" s="48"/>
      <c r="M13" s="48"/>
      <c r="N13" s="48"/>
      <c r="O13" s="48"/>
      <c r="P13"/>
      <c r="Q13"/>
      <c r="R13"/>
      <c r="S13"/>
    </row>
    <row r="14" spans="1:20">
      <c r="A14" s="109">
        <v>42078</v>
      </c>
      <c r="B14" s="109">
        <f t="shared" ref="B14:B25" si="6">WORKDAY(A14-40,-1,S.DDL_DEQClosed)</f>
        <v>42037</v>
      </c>
      <c r="C14" s="109">
        <f t="shared" ref="C14:C25" si="7">WORKDAY(A14-9,-1,S.DDL_DEQClosed)</f>
        <v>42068</v>
      </c>
      <c r="D14" s="111">
        <f t="shared" si="3"/>
        <v>94</v>
      </c>
      <c r="E14" s="107">
        <f t="shared" si="4"/>
        <v>42172</v>
      </c>
      <c r="F14" s="107">
        <f t="shared" si="5"/>
        <v>41990</v>
      </c>
      <c r="G14" s="48"/>
      <c r="H14" s="567">
        <v>41990</v>
      </c>
      <c r="I14" s="48"/>
      <c r="J14" s="48"/>
      <c r="K14" s="48"/>
      <c r="L14" s="48"/>
      <c r="M14" s="48"/>
      <c r="N14" s="48"/>
      <c r="O14" s="48"/>
      <c r="P14"/>
      <c r="Q14"/>
      <c r="R14"/>
      <c r="S14"/>
    </row>
    <row r="15" spans="1:20">
      <c r="A15" s="109">
        <v>42172</v>
      </c>
      <c r="B15" s="109">
        <f t="shared" si="6"/>
        <v>42131</v>
      </c>
      <c r="C15" s="109">
        <f t="shared" si="7"/>
        <v>42160</v>
      </c>
      <c r="D15" s="111">
        <f t="shared" si="3"/>
        <v>63</v>
      </c>
      <c r="E15" s="107">
        <f t="shared" si="4"/>
        <v>42235</v>
      </c>
      <c r="F15" s="107">
        <f t="shared" si="5"/>
        <v>42078</v>
      </c>
      <c r="G15" s="48"/>
      <c r="H15" s="567">
        <v>42081</v>
      </c>
      <c r="I15" s="48"/>
      <c r="J15" s="48"/>
      <c r="K15" s="48"/>
      <c r="L15" s="48"/>
      <c r="M15" s="48"/>
      <c r="N15" s="48"/>
      <c r="O15" s="48"/>
      <c r="P15"/>
      <c r="Q15"/>
      <c r="R15"/>
      <c r="S15"/>
    </row>
    <row r="16" spans="1:20">
      <c r="A16" s="109">
        <v>42235</v>
      </c>
      <c r="B16" s="109">
        <f t="shared" si="6"/>
        <v>42194</v>
      </c>
      <c r="C16" s="109">
        <f t="shared" si="7"/>
        <v>42223</v>
      </c>
      <c r="D16" s="111">
        <f t="shared" si="3"/>
        <v>63</v>
      </c>
      <c r="E16" s="107">
        <f t="shared" si="4"/>
        <v>42298</v>
      </c>
      <c r="F16" s="107">
        <f t="shared" si="5"/>
        <v>42172</v>
      </c>
      <c r="G16" s="48"/>
      <c r="H16" s="567">
        <v>42172</v>
      </c>
      <c r="I16" s="48"/>
      <c r="J16" s="48"/>
      <c r="K16" s="48"/>
      <c r="L16" s="48"/>
      <c r="M16" s="48"/>
      <c r="N16" s="48"/>
      <c r="O16" s="48"/>
      <c r="P16"/>
      <c r="Q16"/>
      <c r="R16"/>
      <c r="S16"/>
    </row>
    <row r="17" spans="1:20">
      <c r="A17" s="109">
        <v>42298</v>
      </c>
      <c r="B17" s="109">
        <f t="shared" si="6"/>
        <v>42257</v>
      </c>
      <c r="C17" s="109">
        <f t="shared" si="7"/>
        <v>42286</v>
      </c>
      <c r="D17" s="111">
        <f t="shared" si="3"/>
        <v>56</v>
      </c>
      <c r="E17" s="107">
        <f t="shared" si="4"/>
        <v>42354</v>
      </c>
      <c r="F17" s="107">
        <f t="shared" si="5"/>
        <v>42235</v>
      </c>
      <c r="G17" s="48"/>
      <c r="H17" s="567">
        <v>42235</v>
      </c>
      <c r="I17" s="48"/>
      <c r="J17" s="48"/>
      <c r="K17" s="48"/>
      <c r="L17" s="48"/>
      <c r="M17" s="48"/>
      <c r="N17" s="48"/>
      <c r="O17" s="48"/>
      <c r="P17"/>
      <c r="Q17"/>
      <c r="R17"/>
      <c r="S17"/>
    </row>
    <row r="18" spans="1:20">
      <c r="A18" s="109">
        <v>42354</v>
      </c>
      <c r="B18" s="109">
        <f t="shared" si="6"/>
        <v>42313</v>
      </c>
      <c r="C18" s="109">
        <f t="shared" si="7"/>
        <v>42342</v>
      </c>
      <c r="D18" s="111">
        <f t="shared" si="3"/>
        <v>98</v>
      </c>
      <c r="E18" s="107">
        <f t="shared" si="4"/>
        <v>42452</v>
      </c>
      <c r="F18" s="107">
        <f t="shared" si="5"/>
        <v>42298</v>
      </c>
      <c r="G18" s="48"/>
      <c r="H18" s="567">
        <v>42298</v>
      </c>
      <c r="I18" s="48"/>
      <c r="J18" s="48"/>
      <c r="K18" s="48"/>
      <c r="L18" s="48"/>
      <c r="M18" s="48"/>
      <c r="N18" s="48"/>
      <c r="O18" s="48"/>
      <c r="P18"/>
      <c r="Q18"/>
      <c r="R18"/>
      <c r="S18"/>
    </row>
    <row r="19" spans="1:20">
      <c r="A19" s="109">
        <v>42452</v>
      </c>
      <c r="B19" s="109">
        <f t="shared" si="6"/>
        <v>42411</v>
      </c>
      <c r="C19" s="109">
        <f t="shared" si="7"/>
        <v>42440</v>
      </c>
      <c r="D19" s="111">
        <f t="shared" si="3"/>
        <v>91</v>
      </c>
      <c r="E19" s="107">
        <f t="shared" si="4"/>
        <v>42543</v>
      </c>
      <c r="F19" s="107">
        <f t="shared" si="5"/>
        <v>42354</v>
      </c>
      <c r="G19" s="2"/>
      <c r="H19" s="567">
        <v>42354</v>
      </c>
      <c r="I19" s="48"/>
      <c r="J19" s="48"/>
      <c r="K19" s="48"/>
      <c r="L19" s="48"/>
      <c r="M19" s="48"/>
      <c r="N19" s="48"/>
      <c r="O19" s="48"/>
      <c r="P19"/>
      <c r="Q19"/>
      <c r="R19"/>
      <c r="S19"/>
    </row>
    <row r="20" spans="1:20">
      <c r="A20" s="109">
        <v>42543</v>
      </c>
      <c r="B20" s="109">
        <f t="shared" si="6"/>
        <v>42502</v>
      </c>
      <c r="C20" s="109">
        <f t="shared" si="7"/>
        <v>42531</v>
      </c>
      <c r="D20" s="111">
        <f>A21-A20</f>
        <v>56</v>
      </c>
      <c r="E20" s="107">
        <f t="shared" si="4"/>
        <v>42599</v>
      </c>
      <c r="F20" s="107">
        <f t="shared" si="5"/>
        <v>42452</v>
      </c>
      <c r="G20" s="2"/>
      <c r="H20" s="567">
        <v>42452</v>
      </c>
      <c r="I20" s="2"/>
      <c r="J20" s="2"/>
      <c r="K20" s="53"/>
      <c r="L20" s="53"/>
      <c r="M20" s="2"/>
      <c r="N20" s="2"/>
      <c r="O20" s="2"/>
      <c r="P20" s="1"/>
      <c r="Q20" s="1"/>
    </row>
    <row r="21" spans="1:20">
      <c r="A21" s="109">
        <v>42599</v>
      </c>
      <c r="B21" s="109">
        <f t="shared" si="6"/>
        <v>42558</v>
      </c>
      <c r="C21" s="109">
        <f t="shared" si="7"/>
        <v>42587</v>
      </c>
      <c r="D21" s="111">
        <f>A22-A21</f>
        <v>63</v>
      </c>
      <c r="E21" s="107">
        <f t="shared" si="4"/>
        <v>42662</v>
      </c>
      <c r="F21" s="107">
        <f t="shared" si="5"/>
        <v>42543</v>
      </c>
      <c r="G21" s="2"/>
      <c r="H21" s="567">
        <v>42543</v>
      </c>
      <c r="I21" s="2"/>
      <c r="J21" s="2"/>
      <c r="K21" s="53"/>
      <c r="L21" s="53"/>
      <c r="M21" s="2"/>
      <c r="N21" s="2"/>
      <c r="O21" s="2"/>
      <c r="P21" s="1"/>
      <c r="Q21" s="1"/>
    </row>
    <row r="22" spans="1:20">
      <c r="A22" s="109">
        <v>42662</v>
      </c>
      <c r="B22" s="109">
        <f t="shared" si="6"/>
        <v>42621</v>
      </c>
      <c r="C22" s="109">
        <f t="shared" si="7"/>
        <v>42650</v>
      </c>
      <c r="D22" s="111">
        <f>A23-A22</f>
        <v>63</v>
      </c>
      <c r="E22" s="107">
        <f t="shared" si="4"/>
        <v>42725</v>
      </c>
      <c r="F22" s="107">
        <f t="shared" si="5"/>
        <v>42599</v>
      </c>
      <c r="G22" s="2"/>
      <c r="H22" s="2"/>
      <c r="I22" s="2"/>
      <c r="J22" s="2"/>
      <c r="K22" s="53"/>
      <c r="L22" s="53"/>
      <c r="M22" s="2"/>
      <c r="N22" s="2"/>
      <c r="O22" s="2"/>
      <c r="P22" s="1"/>
      <c r="Q22" s="1"/>
    </row>
    <row r="23" spans="1:20">
      <c r="A23" s="109">
        <v>42725</v>
      </c>
      <c r="B23" s="109">
        <f t="shared" si="6"/>
        <v>42684</v>
      </c>
      <c r="C23" s="109">
        <f t="shared" si="7"/>
        <v>42713</v>
      </c>
      <c r="D23" s="111">
        <f>A24-A23</f>
        <v>91</v>
      </c>
      <c r="E23" s="107">
        <f t="shared" si="4"/>
        <v>42816</v>
      </c>
      <c r="F23" s="107">
        <f t="shared" si="5"/>
        <v>42662</v>
      </c>
      <c r="G23" s="2"/>
      <c r="H23" s="2"/>
      <c r="I23" s="2"/>
      <c r="J23" s="2"/>
      <c r="K23" s="53"/>
      <c r="L23" s="53"/>
      <c r="M23" s="2"/>
      <c r="N23" s="2"/>
      <c r="O23" s="2"/>
      <c r="P23" s="1"/>
      <c r="Q23" s="1"/>
    </row>
    <row r="24" spans="1:20">
      <c r="A24" s="109">
        <v>42816</v>
      </c>
      <c r="B24" s="109">
        <f t="shared" si="6"/>
        <v>42775</v>
      </c>
      <c r="C24" s="109">
        <f t="shared" si="7"/>
        <v>42804</v>
      </c>
      <c r="D24" s="111">
        <f>A25-A24</f>
        <v>91</v>
      </c>
      <c r="E24" s="107">
        <f t="shared" si="4"/>
        <v>42907</v>
      </c>
      <c r="F24" s="107">
        <f t="shared" si="5"/>
        <v>42725</v>
      </c>
      <c r="G24" s="2"/>
      <c r="H24" s="2"/>
      <c r="I24" s="2"/>
      <c r="J24" s="2"/>
      <c r="K24" s="53"/>
      <c r="L24" s="53"/>
      <c r="M24" s="2"/>
      <c r="N24" s="2"/>
      <c r="O24" s="2"/>
      <c r="P24" s="1"/>
      <c r="Q24" s="1"/>
    </row>
    <row r="25" spans="1:20">
      <c r="A25" s="109">
        <v>42907</v>
      </c>
      <c r="B25" s="109">
        <f t="shared" si="6"/>
        <v>42866</v>
      </c>
      <c r="C25" s="109">
        <f t="shared" si="7"/>
        <v>42895</v>
      </c>
      <c r="D25" s="130">
        <f>D24</f>
        <v>91</v>
      </c>
      <c r="E25" s="2"/>
      <c r="F25" s="2"/>
      <c r="G25" s="2"/>
      <c r="H25" s="2"/>
      <c r="I25" s="2"/>
      <c r="J25" s="2"/>
      <c r="K25" s="53"/>
      <c r="L25" s="53"/>
      <c r="M25" s="2"/>
      <c r="N25" s="2"/>
      <c r="O25" s="2"/>
      <c r="P25" s="1"/>
      <c r="Q25" s="1"/>
    </row>
    <row r="26" spans="1:20">
      <c r="A26" s="8"/>
      <c r="B26" s="8"/>
      <c r="C26" s="9"/>
      <c r="D26" s="9"/>
      <c r="E26" s="55"/>
      <c r="F26" s="55"/>
      <c r="G26" s="55"/>
      <c r="H26" s="55"/>
      <c r="I26" s="2"/>
      <c r="J26" s="31" t="s">
        <v>35</v>
      </c>
      <c r="K26" s="2"/>
      <c r="L26" s="9"/>
      <c r="M26" s="9"/>
      <c r="N26" s="48"/>
      <c r="O26" s="48"/>
      <c r="P26" s="53"/>
      <c r="Q26" s="53"/>
      <c r="R26" s="2"/>
      <c r="S26" s="2"/>
      <c r="T26" s="2"/>
    </row>
    <row r="27" spans="1:20">
      <c r="A27" s="10" t="s">
        <v>19</v>
      </c>
      <c r="B27" s="10"/>
      <c r="C27" s="9"/>
      <c r="D27" s="9"/>
      <c r="E27" s="55"/>
      <c r="F27" s="55"/>
      <c r="G27" s="55"/>
      <c r="H27" s="55"/>
      <c r="I27" s="2"/>
      <c r="J27" s="1061" t="s">
        <v>34</v>
      </c>
      <c r="K27" s="1061"/>
      <c r="L27" s="1061"/>
      <c r="M27" s="1061"/>
      <c r="N27" s="1061"/>
      <c r="O27" s="1061"/>
      <c r="P27" s="1061"/>
      <c r="Q27" s="53"/>
      <c r="R27" s="2"/>
      <c r="S27" s="2"/>
      <c r="T27" s="2"/>
    </row>
    <row r="28" spans="1:20">
      <c r="A28" s="22">
        <v>41275</v>
      </c>
      <c r="B28" s="20" t="s">
        <v>5</v>
      </c>
      <c r="C28" s="30">
        <f>A28</f>
        <v>41275</v>
      </c>
      <c r="D28" s="30"/>
      <c r="E28" s="55"/>
      <c r="F28" s="55"/>
      <c r="G28" s="55"/>
      <c r="H28" s="55"/>
      <c r="I28" s="2"/>
      <c r="J28" s="1061"/>
      <c r="K28" s="1061"/>
      <c r="L28" s="1061"/>
      <c r="M28" s="1061"/>
      <c r="N28" s="1061"/>
      <c r="O28" s="1061"/>
      <c r="P28" s="1061"/>
      <c r="Q28" s="53"/>
      <c r="R28" s="2"/>
      <c r="S28" s="2"/>
      <c r="T28" s="2"/>
    </row>
    <row r="29" spans="1:20">
      <c r="A29" s="22">
        <v>41292</v>
      </c>
      <c r="B29" s="20" t="s">
        <v>3</v>
      </c>
      <c r="C29" s="30">
        <f t="shared" ref="C29:C76" si="8">A29</f>
        <v>41292</v>
      </c>
      <c r="D29" s="30"/>
      <c r="E29" s="55"/>
      <c r="F29" s="55"/>
      <c r="G29" s="55"/>
      <c r="H29" s="55"/>
      <c r="I29" s="2"/>
      <c r="J29" s="1061"/>
      <c r="K29" s="1061"/>
      <c r="L29" s="1061"/>
      <c r="M29" s="1061"/>
      <c r="N29" s="1061"/>
      <c r="O29" s="1061"/>
      <c r="P29" s="1061"/>
      <c r="Q29" s="53"/>
      <c r="R29" s="2"/>
      <c r="S29" s="2"/>
      <c r="T29" s="2"/>
    </row>
    <row r="30" spans="1:20">
      <c r="A30" s="22">
        <v>41295</v>
      </c>
      <c r="B30" s="20" t="s">
        <v>6</v>
      </c>
      <c r="C30" s="30">
        <f t="shared" si="8"/>
        <v>41295</v>
      </c>
      <c r="D30" s="30"/>
      <c r="E30" s="55"/>
      <c r="F30" s="55"/>
      <c r="G30" s="55"/>
      <c r="H30" s="55"/>
      <c r="I30" s="2"/>
      <c r="J30" s="1061"/>
      <c r="K30" s="1061"/>
      <c r="L30" s="1061"/>
      <c r="M30" s="1061"/>
      <c r="N30" s="1061"/>
      <c r="O30" s="1061"/>
      <c r="P30" s="1061"/>
      <c r="Q30" s="53"/>
      <c r="R30" s="2"/>
      <c r="S30" s="2"/>
      <c r="T30" s="2"/>
    </row>
    <row r="31" spans="1:20">
      <c r="A31" s="22">
        <v>41323</v>
      </c>
      <c r="B31" s="20" t="s">
        <v>7</v>
      </c>
      <c r="C31" s="30">
        <f t="shared" si="8"/>
        <v>41323</v>
      </c>
      <c r="D31" s="30"/>
      <c r="E31" s="55"/>
      <c r="F31" s="55"/>
      <c r="G31" s="55"/>
      <c r="H31" s="55"/>
      <c r="I31" s="2"/>
      <c r="J31" s="1061"/>
      <c r="K31" s="1061"/>
      <c r="L31" s="1061"/>
      <c r="M31" s="1061"/>
      <c r="N31" s="1061"/>
      <c r="O31" s="1061"/>
      <c r="P31" s="1061"/>
      <c r="Q31" s="53"/>
      <c r="R31" s="2"/>
      <c r="S31" s="2"/>
      <c r="T31" s="2"/>
    </row>
    <row r="32" spans="1:20">
      <c r="A32" s="22">
        <v>41383</v>
      </c>
      <c r="B32" s="20" t="s">
        <v>3</v>
      </c>
      <c r="C32" s="30">
        <f t="shared" si="8"/>
        <v>41383</v>
      </c>
      <c r="D32" s="30"/>
      <c r="E32" s="55"/>
      <c r="F32" s="55"/>
      <c r="G32" s="55"/>
      <c r="H32" s="55"/>
      <c r="I32" s="2"/>
      <c r="J32" s="1061"/>
      <c r="K32" s="1061"/>
      <c r="L32" s="1061"/>
      <c r="M32" s="1061"/>
      <c r="N32" s="1061"/>
      <c r="O32" s="1061"/>
      <c r="P32" s="1061"/>
      <c r="Q32" s="53"/>
      <c r="R32" s="2"/>
      <c r="S32" s="2"/>
      <c r="T32" s="2"/>
    </row>
    <row r="33" spans="1:20">
      <c r="A33" s="22">
        <v>41418</v>
      </c>
      <c r="B33" s="20" t="s">
        <v>3</v>
      </c>
      <c r="C33" s="30">
        <f t="shared" si="8"/>
        <v>41418</v>
      </c>
      <c r="D33" s="30"/>
      <c r="E33" s="55"/>
      <c r="F33" s="55"/>
      <c r="G33" s="55"/>
      <c r="H33" s="55"/>
      <c r="I33" s="2"/>
      <c r="J33" s="1061"/>
      <c r="K33" s="1061"/>
      <c r="L33" s="1061"/>
      <c r="M33" s="1061"/>
      <c r="N33" s="1061"/>
      <c r="O33" s="1061"/>
      <c r="P33" s="1061"/>
      <c r="Q33" s="53"/>
      <c r="R33" s="2"/>
      <c r="S33" s="2"/>
      <c r="T33" s="2"/>
    </row>
    <row r="34" spans="1:20">
      <c r="A34" s="22">
        <v>41421</v>
      </c>
      <c r="B34" s="20" t="s">
        <v>8</v>
      </c>
      <c r="C34" s="30">
        <f t="shared" si="8"/>
        <v>41421</v>
      </c>
      <c r="D34" s="30"/>
      <c r="E34" s="55"/>
      <c r="F34" s="55"/>
      <c r="G34" s="55"/>
      <c r="H34" s="55"/>
      <c r="I34" s="2"/>
      <c r="J34" s="1061"/>
      <c r="K34" s="1061"/>
      <c r="L34" s="1061"/>
      <c r="M34" s="1061"/>
      <c r="N34" s="1061"/>
      <c r="O34" s="1061"/>
      <c r="P34" s="1061"/>
      <c r="Q34" s="53"/>
      <c r="R34" s="2"/>
      <c r="S34" s="2"/>
      <c r="T34" s="2"/>
    </row>
    <row r="35" spans="1:20">
      <c r="A35" s="22">
        <v>41459</v>
      </c>
      <c r="B35" s="20" t="s">
        <v>9</v>
      </c>
      <c r="C35" s="30">
        <f t="shared" si="8"/>
        <v>41459</v>
      </c>
      <c r="D35" s="30"/>
      <c r="E35" s="55"/>
      <c r="F35" s="55"/>
      <c r="G35" s="55"/>
      <c r="H35" s="55"/>
      <c r="I35" s="2"/>
      <c r="J35" s="1061"/>
      <c r="K35" s="1061"/>
      <c r="L35" s="1061"/>
      <c r="M35" s="1061"/>
      <c r="N35" s="1061"/>
      <c r="O35" s="1061"/>
      <c r="P35" s="1061"/>
      <c r="Q35" s="53"/>
      <c r="R35" s="2"/>
      <c r="S35" s="2"/>
      <c r="T35" s="2"/>
    </row>
    <row r="36" spans="1:20">
      <c r="A36" s="22">
        <v>41519</v>
      </c>
      <c r="B36" s="20" t="s">
        <v>10</v>
      </c>
      <c r="C36" s="30">
        <f t="shared" si="8"/>
        <v>41519</v>
      </c>
      <c r="D36" s="30"/>
      <c r="E36" s="55"/>
      <c r="F36" s="55"/>
      <c r="G36" s="55"/>
      <c r="H36" s="55"/>
      <c r="I36" s="2"/>
      <c r="J36" s="1061"/>
      <c r="K36" s="1061"/>
      <c r="L36" s="1061"/>
      <c r="M36" s="1061"/>
      <c r="N36" s="1061"/>
      <c r="O36" s="1061"/>
      <c r="P36" s="1061"/>
      <c r="Q36" s="53"/>
      <c r="R36" s="2"/>
      <c r="S36" s="2"/>
      <c r="T36" s="2"/>
    </row>
    <row r="37" spans="1:20">
      <c r="A37" s="22">
        <v>41589</v>
      </c>
      <c r="B37" s="20" t="s">
        <v>1</v>
      </c>
      <c r="C37" s="30">
        <f t="shared" si="8"/>
        <v>41589</v>
      </c>
      <c r="D37" s="30"/>
      <c r="E37" s="55"/>
      <c r="F37" s="55"/>
      <c r="G37" s="55"/>
      <c r="H37" s="55"/>
      <c r="I37" s="2"/>
      <c r="J37" s="1061"/>
      <c r="K37" s="1061"/>
      <c r="L37" s="1061"/>
      <c r="M37" s="1061"/>
      <c r="N37" s="1061"/>
      <c r="O37" s="1061"/>
      <c r="P37" s="1061"/>
      <c r="Q37" s="53"/>
      <c r="R37" s="2"/>
      <c r="S37" s="2"/>
      <c r="T37" s="2"/>
    </row>
    <row r="38" spans="1:20">
      <c r="A38" s="22">
        <v>41606</v>
      </c>
      <c r="B38" s="20" t="s">
        <v>2</v>
      </c>
      <c r="C38" s="30">
        <f t="shared" si="8"/>
        <v>41606</v>
      </c>
      <c r="D38" s="30"/>
      <c r="E38" s="55"/>
      <c r="F38" s="55"/>
      <c r="G38" s="55"/>
      <c r="H38" s="55"/>
      <c r="I38" s="2"/>
      <c r="J38" s="1061"/>
      <c r="K38" s="1061"/>
      <c r="L38" s="1061"/>
      <c r="M38" s="1061"/>
      <c r="N38" s="1061"/>
      <c r="O38" s="1061"/>
      <c r="P38" s="1061"/>
      <c r="Q38" s="53"/>
      <c r="R38" s="2"/>
      <c r="S38" s="2"/>
      <c r="T38" s="2"/>
    </row>
    <row r="39" spans="1:20">
      <c r="A39" s="22">
        <v>41633</v>
      </c>
      <c r="B39" s="20" t="s">
        <v>4</v>
      </c>
      <c r="C39" s="30">
        <f t="shared" si="8"/>
        <v>41633</v>
      </c>
      <c r="D39" s="30"/>
      <c r="E39" s="55"/>
      <c r="F39" s="55"/>
      <c r="G39" s="55"/>
      <c r="H39" s="55"/>
      <c r="I39" s="2"/>
      <c r="J39" s="1061"/>
      <c r="K39" s="1061"/>
      <c r="L39" s="1061"/>
      <c r="M39" s="1061"/>
      <c r="N39" s="1061"/>
      <c r="O39" s="1061"/>
      <c r="P39" s="1061"/>
      <c r="Q39" s="53"/>
      <c r="R39" s="2"/>
      <c r="S39" s="2"/>
      <c r="T39" s="2"/>
    </row>
    <row r="40" spans="1:20">
      <c r="A40" s="22">
        <v>41640</v>
      </c>
      <c r="B40" s="20" t="s">
        <v>5</v>
      </c>
      <c r="C40" s="30">
        <f t="shared" si="8"/>
        <v>41640</v>
      </c>
      <c r="D40" s="30"/>
      <c r="E40" s="55"/>
      <c r="F40" s="55"/>
      <c r="G40" s="55"/>
      <c r="H40" s="55"/>
      <c r="I40" s="2"/>
      <c r="J40" s="1061"/>
      <c r="K40" s="1061"/>
      <c r="L40" s="1061"/>
      <c r="M40" s="1061"/>
      <c r="N40" s="1061"/>
      <c r="O40" s="1061"/>
      <c r="P40" s="1061"/>
      <c r="Q40" s="53"/>
      <c r="R40" s="2"/>
      <c r="S40" s="2"/>
      <c r="T40" s="2"/>
    </row>
    <row r="41" spans="1:20">
      <c r="A41" s="22">
        <v>41659</v>
      </c>
      <c r="B41" s="20" t="s">
        <v>6</v>
      </c>
      <c r="C41" s="30">
        <f t="shared" si="8"/>
        <v>41659</v>
      </c>
      <c r="D41" s="30"/>
      <c r="E41" s="55"/>
      <c r="F41" s="55"/>
      <c r="G41" s="55"/>
      <c r="H41" s="55"/>
      <c r="I41" s="2"/>
      <c r="J41" s="1061"/>
      <c r="K41" s="1061"/>
      <c r="L41" s="1061"/>
      <c r="M41" s="1061"/>
      <c r="N41" s="1061"/>
      <c r="O41" s="1061"/>
      <c r="P41" s="1061"/>
      <c r="Q41" s="53"/>
      <c r="R41" s="2"/>
      <c r="S41" s="2"/>
      <c r="T41" s="2"/>
    </row>
    <row r="42" spans="1:20">
      <c r="A42" s="22">
        <v>41687</v>
      </c>
      <c r="B42" s="20" t="s">
        <v>7</v>
      </c>
      <c r="C42" s="30">
        <f t="shared" si="8"/>
        <v>41687</v>
      </c>
      <c r="D42" s="30"/>
      <c r="E42" s="55"/>
      <c r="F42" s="55"/>
      <c r="G42" s="55"/>
      <c r="H42" s="55"/>
      <c r="I42" s="2"/>
      <c r="J42" s="1061"/>
      <c r="K42" s="1061"/>
      <c r="L42" s="1061"/>
      <c r="M42" s="1061"/>
      <c r="N42" s="1061"/>
      <c r="O42" s="1061"/>
      <c r="P42" s="1061"/>
      <c r="Q42" s="53"/>
      <c r="R42" s="2"/>
      <c r="S42" s="2"/>
      <c r="T42" s="2"/>
    </row>
    <row r="43" spans="1:20">
      <c r="A43" s="22">
        <v>41785</v>
      </c>
      <c r="B43" s="20" t="s">
        <v>8</v>
      </c>
      <c r="C43" s="30">
        <f t="shared" si="8"/>
        <v>41785</v>
      </c>
      <c r="D43" s="30"/>
      <c r="E43" s="55"/>
      <c r="F43" s="55"/>
      <c r="G43" s="55"/>
      <c r="H43" s="55"/>
      <c r="I43" s="2"/>
      <c r="J43" s="1061"/>
      <c r="K43" s="1061"/>
      <c r="L43" s="1061"/>
      <c r="M43" s="1061"/>
      <c r="N43" s="1061"/>
      <c r="O43" s="1061"/>
      <c r="P43" s="1061"/>
      <c r="Q43" s="53"/>
      <c r="R43" s="2"/>
      <c r="S43" s="2"/>
      <c r="T43" s="2"/>
    </row>
    <row r="44" spans="1:20">
      <c r="A44" s="22">
        <v>41824</v>
      </c>
      <c r="B44" s="20" t="s">
        <v>9</v>
      </c>
      <c r="C44" s="30">
        <f t="shared" si="8"/>
        <v>41824</v>
      </c>
      <c r="D44" s="30"/>
      <c r="E44" s="55"/>
      <c r="F44" s="55"/>
      <c r="G44" s="55"/>
      <c r="H44" s="55"/>
      <c r="I44" s="2"/>
      <c r="J44" s="1061"/>
      <c r="K44" s="1061"/>
      <c r="L44" s="1061"/>
      <c r="M44" s="1061"/>
      <c r="N44" s="1061"/>
      <c r="O44" s="1061"/>
      <c r="P44" s="1061"/>
      <c r="Q44" s="53"/>
      <c r="R44" s="2"/>
      <c r="S44" s="2"/>
      <c r="T44" s="2"/>
    </row>
    <row r="45" spans="1:20">
      <c r="A45" s="22">
        <v>41884</v>
      </c>
      <c r="B45" s="20" t="s">
        <v>10</v>
      </c>
      <c r="C45" s="30">
        <f t="shared" si="8"/>
        <v>41884</v>
      </c>
      <c r="D45" s="30"/>
      <c r="E45" s="55"/>
      <c r="F45" s="55"/>
      <c r="G45" s="55"/>
      <c r="H45" s="55"/>
      <c r="I45" s="2"/>
      <c r="J45" s="1061"/>
      <c r="K45" s="1061"/>
      <c r="L45" s="1061"/>
      <c r="M45" s="1061"/>
      <c r="N45" s="1061"/>
      <c r="O45" s="1061"/>
      <c r="P45" s="1061"/>
      <c r="Q45" s="53"/>
      <c r="R45" s="2"/>
      <c r="S45" s="2"/>
      <c r="T45" s="2"/>
    </row>
    <row r="46" spans="1:20">
      <c r="A46" s="22">
        <v>41954</v>
      </c>
      <c r="B46" s="20" t="s">
        <v>1</v>
      </c>
      <c r="C46" s="30">
        <f t="shared" si="8"/>
        <v>41954</v>
      </c>
      <c r="D46" s="30"/>
      <c r="E46" s="55"/>
      <c r="F46" s="55"/>
      <c r="G46" s="55"/>
      <c r="H46" s="55"/>
      <c r="I46" s="2"/>
      <c r="J46" s="1061"/>
      <c r="K46" s="1061"/>
      <c r="L46" s="1061"/>
      <c r="M46" s="1061"/>
      <c r="N46" s="1061"/>
      <c r="O46" s="1061"/>
      <c r="P46" s="1061"/>
      <c r="Q46" s="53"/>
      <c r="R46" s="2"/>
      <c r="S46" s="2"/>
      <c r="T46" s="2"/>
    </row>
    <row r="47" spans="1:20">
      <c r="A47" s="22">
        <v>41970</v>
      </c>
      <c r="B47" s="20" t="s">
        <v>2</v>
      </c>
      <c r="C47" s="30">
        <f t="shared" si="8"/>
        <v>41970</v>
      </c>
      <c r="D47" s="30"/>
      <c r="E47" s="55"/>
      <c r="F47" s="55"/>
      <c r="G47" s="55"/>
      <c r="H47" s="55"/>
      <c r="I47" s="2"/>
      <c r="J47" s="1061"/>
      <c r="K47" s="1061"/>
      <c r="L47" s="1061"/>
      <c r="M47" s="1061"/>
      <c r="N47" s="1061"/>
      <c r="O47" s="1061"/>
      <c r="P47" s="1061"/>
      <c r="Q47" s="53"/>
      <c r="R47" s="2"/>
      <c r="S47" s="2"/>
      <c r="T47" s="2"/>
    </row>
    <row r="48" spans="1:20">
      <c r="A48" s="22">
        <v>41998</v>
      </c>
      <c r="B48" s="20" t="s">
        <v>4</v>
      </c>
      <c r="C48" s="30">
        <f t="shared" si="8"/>
        <v>41998</v>
      </c>
      <c r="D48" s="30"/>
      <c r="E48" s="55"/>
      <c r="F48" s="55"/>
      <c r="G48" s="55"/>
      <c r="H48" s="55"/>
      <c r="I48" s="2"/>
      <c r="J48" s="1061"/>
      <c r="K48" s="1061"/>
      <c r="L48" s="1061"/>
      <c r="M48" s="1061"/>
      <c r="N48" s="1061"/>
      <c r="O48" s="1061"/>
      <c r="P48" s="1061"/>
      <c r="Q48" s="53"/>
      <c r="R48" s="2"/>
      <c r="S48" s="2"/>
      <c r="T48" s="2"/>
    </row>
    <row r="49" spans="1:20">
      <c r="A49" s="22">
        <v>42005</v>
      </c>
      <c r="B49" s="20" t="s">
        <v>5</v>
      </c>
      <c r="C49" s="30">
        <f t="shared" si="8"/>
        <v>42005</v>
      </c>
      <c r="D49" s="30"/>
      <c r="E49" s="55"/>
      <c r="F49" s="55"/>
      <c r="G49" s="55"/>
      <c r="H49" s="55"/>
      <c r="I49" s="2"/>
      <c r="J49" s="1061"/>
      <c r="K49" s="1061"/>
      <c r="L49" s="1061"/>
      <c r="M49" s="1061"/>
      <c r="N49" s="1061"/>
      <c r="O49" s="1061"/>
      <c r="P49" s="1061"/>
      <c r="Q49" s="53"/>
      <c r="R49" s="2"/>
      <c r="S49" s="2"/>
      <c r="T49" s="2"/>
    </row>
    <row r="50" spans="1:20">
      <c r="A50" s="22">
        <v>42023</v>
      </c>
      <c r="B50" s="20" t="s">
        <v>6</v>
      </c>
      <c r="C50" s="30">
        <f t="shared" si="8"/>
        <v>42023</v>
      </c>
      <c r="D50" s="30"/>
      <c r="E50" s="55"/>
      <c r="F50" s="55"/>
      <c r="G50" s="55"/>
      <c r="H50" s="55"/>
      <c r="I50" s="2"/>
      <c r="J50" s="1061"/>
      <c r="K50" s="1061"/>
      <c r="L50" s="1061"/>
      <c r="M50" s="1061"/>
      <c r="N50" s="1061"/>
      <c r="O50" s="1061"/>
      <c r="P50" s="1061"/>
      <c r="Q50" s="53"/>
      <c r="R50" s="2"/>
      <c r="S50" s="2"/>
      <c r="T50" s="2"/>
    </row>
    <row r="51" spans="1:20">
      <c r="A51" s="22">
        <v>42051</v>
      </c>
      <c r="B51" s="20" t="s">
        <v>7</v>
      </c>
      <c r="C51" s="30">
        <f t="shared" si="8"/>
        <v>42051</v>
      </c>
      <c r="D51" s="30"/>
      <c r="E51" s="55"/>
      <c r="F51" s="55"/>
      <c r="G51" s="55"/>
      <c r="H51" s="55"/>
      <c r="I51" s="2"/>
      <c r="J51" s="1061"/>
      <c r="K51" s="1061"/>
      <c r="L51" s="1061"/>
      <c r="M51" s="1061"/>
      <c r="N51" s="1061"/>
      <c r="O51" s="1061"/>
      <c r="P51" s="1061"/>
      <c r="Q51" s="53"/>
      <c r="R51" s="2"/>
      <c r="S51" s="2"/>
      <c r="T51" s="2"/>
    </row>
    <row r="52" spans="1:20">
      <c r="A52" s="22">
        <v>42149</v>
      </c>
      <c r="B52" s="20" t="s">
        <v>8</v>
      </c>
      <c r="C52" s="30">
        <f t="shared" si="8"/>
        <v>42149</v>
      </c>
      <c r="D52" s="30"/>
      <c r="E52" s="55"/>
      <c r="F52" s="55"/>
      <c r="G52" s="55"/>
      <c r="H52" s="55"/>
      <c r="I52" s="2"/>
      <c r="J52" s="1061"/>
      <c r="K52" s="1061"/>
      <c r="L52" s="1061"/>
      <c r="M52" s="1061"/>
      <c r="N52" s="1061"/>
      <c r="O52" s="1061"/>
      <c r="P52" s="1061"/>
      <c r="Q52" s="53"/>
      <c r="R52" s="2"/>
      <c r="S52" s="2"/>
      <c r="T52" s="2"/>
    </row>
    <row r="53" spans="1:20">
      <c r="A53" s="22">
        <v>42188</v>
      </c>
      <c r="B53" s="20" t="s">
        <v>9</v>
      </c>
      <c r="C53" s="30">
        <f t="shared" si="8"/>
        <v>42188</v>
      </c>
      <c r="D53" s="30"/>
      <c r="E53" s="55"/>
      <c r="F53" s="55"/>
      <c r="G53" s="55"/>
      <c r="H53" s="55"/>
      <c r="I53" s="2"/>
      <c r="J53" s="1061"/>
      <c r="K53" s="1061"/>
      <c r="L53" s="1061"/>
      <c r="M53" s="1061"/>
      <c r="N53" s="1061"/>
      <c r="O53" s="1061"/>
      <c r="P53" s="1061"/>
      <c r="Q53" s="53"/>
      <c r="R53" s="2"/>
      <c r="S53" s="2"/>
      <c r="T53" s="2"/>
    </row>
    <row r="54" spans="1:20">
      <c r="A54" s="22">
        <v>42254</v>
      </c>
      <c r="B54" s="20" t="s">
        <v>10</v>
      </c>
      <c r="C54" s="30">
        <f t="shared" si="8"/>
        <v>42254</v>
      </c>
      <c r="D54" s="30"/>
      <c r="E54" s="55"/>
      <c r="F54" s="55"/>
      <c r="G54" s="55"/>
      <c r="H54" s="55"/>
      <c r="I54" s="2"/>
      <c r="J54" s="1061"/>
      <c r="K54" s="1061"/>
      <c r="L54" s="1061"/>
      <c r="M54" s="1061"/>
      <c r="N54" s="1061"/>
      <c r="O54" s="1061"/>
      <c r="P54" s="1061"/>
      <c r="Q54" s="53"/>
      <c r="R54" s="2"/>
      <c r="S54" s="2"/>
      <c r="T54" s="2"/>
    </row>
    <row r="55" spans="1:20">
      <c r="A55" s="22">
        <v>42319</v>
      </c>
      <c r="B55" s="20" t="s">
        <v>1</v>
      </c>
      <c r="C55" s="30">
        <f t="shared" si="8"/>
        <v>42319</v>
      </c>
      <c r="D55" s="30"/>
      <c r="E55" s="55"/>
      <c r="F55" s="55"/>
      <c r="G55" s="55"/>
      <c r="H55" s="55"/>
      <c r="I55" s="2"/>
      <c r="J55" s="1061"/>
      <c r="K55" s="1061"/>
      <c r="L55" s="1061"/>
      <c r="M55" s="1061"/>
      <c r="N55" s="1061"/>
      <c r="O55" s="1061"/>
      <c r="P55" s="1061"/>
      <c r="Q55" s="53"/>
      <c r="R55" s="2"/>
      <c r="S55" s="2"/>
      <c r="T55" s="2"/>
    </row>
    <row r="56" spans="1:20">
      <c r="A56" s="22">
        <v>42334</v>
      </c>
      <c r="B56" s="20" t="s">
        <v>2</v>
      </c>
      <c r="C56" s="30">
        <f t="shared" si="8"/>
        <v>42334</v>
      </c>
      <c r="D56" s="30"/>
      <c r="E56" s="55"/>
      <c r="F56" s="55"/>
      <c r="G56" s="55"/>
      <c r="H56" s="55"/>
      <c r="I56" s="2"/>
      <c r="J56" s="1061"/>
      <c r="K56" s="1061"/>
      <c r="L56" s="1061"/>
      <c r="M56" s="1061"/>
      <c r="N56" s="1061"/>
      <c r="O56" s="1061"/>
      <c r="P56" s="1061"/>
      <c r="Q56" s="53"/>
      <c r="R56" s="2"/>
      <c r="S56" s="2"/>
      <c r="T56" s="2"/>
    </row>
    <row r="57" spans="1:20">
      <c r="A57" s="22">
        <v>42363</v>
      </c>
      <c r="B57" s="20" t="s">
        <v>4</v>
      </c>
      <c r="C57" s="30">
        <f t="shared" si="8"/>
        <v>42363</v>
      </c>
      <c r="D57" s="30"/>
      <c r="E57" s="55"/>
      <c r="F57" s="55"/>
      <c r="G57" s="55"/>
      <c r="H57" s="55"/>
      <c r="I57" s="2"/>
      <c r="J57" s="1061"/>
      <c r="K57" s="1061"/>
      <c r="L57" s="1061"/>
      <c r="M57" s="1061"/>
      <c r="N57" s="1061"/>
      <c r="O57" s="1061"/>
      <c r="P57" s="1061"/>
      <c r="Q57" s="53"/>
      <c r="R57" s="2"/>
      <c r="S57" s="2"/>
      <c r="T57" s="2"/>
    </row>
    <row r="58" spans="1:20">
      <c r="A58" s="22">
        <v>42370</v>
      </c>
      <c r="B58" s="20" t="s">
        <v>5</v>
      </c>
      <c r="C58" s="30">
        <f t="shared" ref="C58:C66" si="9">A58</f>
        <v>42370</v>
      </c>
      <c r="D58" s="30"/>
      <c r="E58" s="55"/>
      <c r="F58" s="55"/>
      <c r="G58" s="55"/>
      <c r="H58" s="55"/>
      <c r="I58" s="2"/>
      <c r="J58" s="1061"/>
      <c r="K58" s="1061"/>
      <c r="L58" s="1061"/>
      <c r="M58" s="1061"/>
      <c r="N58" s="1061"/>
      <c r="O58" s="1061"/>
      <c r="P58" s="1061"/>
      <c r="Q58" s="53"/>
      <c r="R58" s="2"/>
      <c r="S58" s="2"/>
      <c r="T58" s="2"/>
    </row>
    <row r="59" spans="1:20">
      <c r="A59" s="22">
        <v>42387</v>
      </c>
      <c r="B59" s="20" t="s">
        <v>6</v>
      </c>
      <c r="C59" s="30">
        <f t="shared" si="9"/>
        <v>42387</v>
      </c>
      <c r="D59" s="30"/>
      <c r="E59" s="55"/>
      <c r="F59" s="55"/>
      <c r="G59" s="55"/>
      <c r="H59" s="55"/>
      <c r="I59" s="2"/>
      <c r="J59" s="1061"/>
      <c r="K59" s="1061"/>
      <c r="L59" s="1061"/>
      <c r="M59" s="1061"/>
      <c r="N59" s="1061"/>
      <c r="O59" s="1061"/>
      <c r="P59" s="1061"/>
      <c r="Q59" s="53"/>
      <c r="R59" s="2"/>
      <c r="S59" s="2"/>
      <c r="T59" s="2"/>
    </row>
    <row r="60" spans="1:20">
      <c r="A60" s="22">
        <v>42415</v>
      </c>
      <c r="B60" s="20" t="s">
        <v>7</v>
      </c>
      <c r="C60" s="30">
        <f t="shared" si="9"/>
        <v>42415</v>
      </c>
      <c r="D60" s="30"/>
      <c r="E60" s="55"/>
      <c r="F60" s="55"/>
      <c r="G60" s="55"/>
      <c r="H60" s="55"/>
      <c r="I60" s="2"/>
      <c r="J60" s="1061"/>
      <c r="K60" s="1061"/>
      <c r="L60" s="1061"/>
      <c r="M60" s="1061"/>
      <c r="N60" s="1061"/>
      <c r="O60" s="1061"/>
      <c r="P60" s="1061"/>
      <c r="Q60" s="53"/>
      <c r="R60" s="2"/>
      <c r="S60" s="2"/>
      <c r="T60" s="2"/>
    </row>
    <row r="61" spans="1:20">
      <c r="A61" s="22">
        <v>42520</v>
      </c>
      <c r="B61" s="20" t="s">
        <v>8</v>
      </c>
      <c r="C61" s="30">
        <f t="shared" si="9"/>
        <v>42520</v>
      </c>
      <c r="D61" s="30"/>
      <c r="E61" s="55"/>
      <c r="F61" s="55"/>
      <c r="G61" s="55"/>
      <c r="H61" s="55"/>
      <c r="I61" s="2"/>
      <c r="J61" s="1061"/>
      <c r="K61" s="1061"/>
      <c r="L61" s="1061"/>
      <c r="M61" s="1061"/>
      <c r="N61" s="1061"/>
      <c r="O61" s="1061"/>
      <c r="P61" s="1061"/>
      <c r="Q61" s="53"/>
      <c r="R61" s="2"/>
      <c r="S61" s="2"/>
      <c r="T61" s="2"/>
    </row>
    <row r="62" spans="1:20">
      <c r="A62" s="22">
        <v>42555</v>
      </c>
      <c r="B62" s="20" t="s">
        <v>9</v>
      </c>
      <c r="C62" s="30">
        <f t="shared" si="9"/>
        <v>42555</v>
      </c>
      <c r="D62" s="30"/>
      <c r="E62" s="55"/>
      <c r="F62" s="55"/>
      <c r="G62" s="55"/>
      <c r="H62" s="55"/>
      <c r="I62" s="2"/>
      <c r="J62" s="1061"/>
      <c r="K62" s="1061"/>
      <c r="L62" s="1061"/>
      <c r="M62" s="1061"/>
      <c r="N62" s="1061"/>
      <c r="O62" s="1061"/>
      <c r="P62" s="1061"/>
      <c r="Q62" s="53"/>
      <c r="R62" s="2"/>
      <c r="S62" s="2"/>
      <c r="T62" s="2"/>
    </row>
    <row r="63" spans="1:20">
      <c r="A63" s="22">
        <v>42618</v>
      </c>
      <c r="B63" s="20" t="s">
        <v>10</v>
      </c>
      <c r="C63" s="30">
        <f t="shared" si="9"/>
        <v>42618</v>
      </c>
      <c r="D63" s="30"/>
      <c r="E63" s="55"/>
      <c r="F63" s="55"/>
      <c r="G63" s="55"/>
      <c r="H63" s="55"/>
      <c r="I63" s="2"/>
      <c r="J63" s="1061"/>
      <c r="K63" s="1061"/>
      <c r="L63" s="1061"/>
      <c r="M63" s="1061"/>
      <c r="N63" s="1061"/>
      <c r="O63" s="1061"/>
      <c r="P63" s="1061"/>
      <c r="Q63" s="53"/>
      <c r="R63" s="2"/>
      <c r="S63" s="2"/>
      <c r="T63" s="2"/>
    </row>
    <row r="64" spans="1:20">
      <c r="A64" s="22">
        <v>42685</v>
      </c>
      <c r="B64" s="20" t="s">
        <v>1</v>
      </c>
      <c r="C64" s="30">
        <f t="shared" si="9"/>
        <v>42685</v>
      </c>
      <c r="D64" s="30"/>
      <c r="E64" s="55"/>
      <c r="F64" s="55"/>
      <c r="G64" s="55"/>
      <c r="H64" s="55"/>
      <c r="I64" s="2"/>
      <c r="J64" s="1061"/>
      <c r="K64" s="1061"/>
      <c r="L64" s="1061"/>
      <c r="M64" s="1061"/>
      <c r="N64" s="1061"/>
      <c r="O64" s="1061"/>
      <c r="P64" s="1061"/>
      <c r="Q64" s="53"/>
      <c r="R64" s="2"/>
      <c r="S64" s="2"/>
      <c r="T64" s="2"/>
    </row>
    <row r="65" spans="1:20">
      <c r="A65" s="22">
        <v>42698</v>
      </c>
      <c r="B65" s="20" t="s">
        <v>2</v>
      </c>
      <c r="C65" s="30">
        <f t="shared" si="9"/>
        <v>42698</v>
      </c>
      <c r="D65" s="30"/>
      <c r="E65" s="55"/>
      <c r="F65" s="55"/>
      <c r="G65" s="55"/>
      <c r="H65" s="55"/>
      <c r="I65" s="2"/>
      <c r="J65" s="1061"/>
      <c r="K65" s="1061"/>
      <c r="L65" s="1061"/>
      <c r="M65" s="1061"/>
      <c r="N65" s="1061"/>
      <c r="O65" s="1061"/>
      <c r="P65" s="1061"/>
      <c r="Q65" s="53"/>
      <c r="R65" s="2"/>
      <c r="S65" s="2"/>
      <c r="T65" s="2"/>
    </row>
    <row r="66" spans="1:20">
      <c r="A66" s="22">
        <v>42730</v>
      </c>
      <c r="B66" s="20" t="s">
        <v>4</v>
      </c>
      <c r="C66" s="30">
        <f t="shared" si="9"/>
        <v>42730</v>
      </c>
      <c r="D66" s="30"/>
      <c r="E66" s="55"/>
      <c r="F66" s="55"/>
      <c r="G66" s="55"/>
      <c r="H66" s="55"/>
      <c r="I66" s="2"/>
      <c r="J66" s="1061"/>
      <c r="K66" s="1061"/>
      <c r="L66" s="1061"/>
      <c r="M66" s="1061"/>
      <c r="N66" s="1061"/>
      <c r="O66" s="1061"/>
      <c r="P66" s="1061"/>
      <c r="Q66" s="53"/>
      <c r="R66" s="2"/>
      <c r="S66" s="2"/>
      <c r="T66" s="2"/>
    </row>
    <row r="67" spans="1:20">
      <c r="A67" s="22">
        <v>42737</v>
      </c>
      <c r="B67" s="20" t="s">
        <v>5</v>
      </c>
      <c r="C67" s="30">
        <f t="shared" ref="C67:C75" si="10">A67</f>
        <v>42737</v>
      </c>
      <c r="D67" s="30"/>
      <c r="E67" s="55"/>
      <c r="F67" s="55"/>
      <c r="G67" s="55"/>
      <c r="H67" s="55"/>
      <c r="I67" s="2"/>
      <c r="J67" s="1061"/>
      <c r="K67" s="1061"/>
      <c r="L67" s="1061"/>
      <c r="M67" s="1061"/>
      <c r="N67" s="1061"/>
      <c r="O67" s="1061"/>
      <c r="P67" s="1061"/>
      <c r="Q67" s="53"/>
      <c r="R67" s="2"/>
      <c r="S67" s="2"/>
      <c r="T67" s="2"/>
    </row>
    <row r="68" spans="1:20">
      <c r="A68" s="22">
        <v>42751</v>
      </c>
      <c r="B68" s="20" t="s">
        <v>6</v>
      </c>
      <c r="C68" s="30">
        <f t="shared" si="10"/>
        <v>42751</v>
      </c>
      <c r="D68" s="30"/>
      <c r="E68" s="55"/>
      <c r="F68" s="55"/>
      <c r="G68" s="55"/>
      <c r="H68" s="55"/>
      <c r="I68" s="2"/>
      <c r="J68" s="1061"/>
      <c r="K68" s="1061"/>
      <c r="L68" s="1061"/>
      <c r="M68" s="1061"/>
      <c r="N68" s="1061"/>
      <c r="O68" s="1061"/>
      <c r="P68" s="1061"/>
      <c r="Q68" s="53"/>
      <c r="R68" s="2"/>
      <c r="S68" s="2"/>
      <c r="T68" s="2"/>
    </row>
    <row r="69" spans="1:20">
      <c r="A69" s="22">
        <v>42786</v>
      </c>
      <c r="B69" s="20" t="s">
        <v>7</v>
      </c>
      <c r="C69" s="30">
        <f t="shared" si="10"/>
        <v>42786</v>
      </c>
      <c r="D69" s="30"/>
      <c r="E69" s="55"/>
      <c r="F69" s="55"/>
      <c r="G69" s="55"/>
      <c r="H69" s="55"/>
      <c r="I69" s="2"/>
      <c r="J69" s="1061"/>
      <c r="K69" s="1061"/>
      <c r="L69" s="1061"/>
      <c r="M69" s="1061"/>
      <c r="N69" s="1061"/>
      <c r="O69" s="1061"/>
      <c r="P69" s="1061"/>
      <c r="Q69" s="53"/>
      <c r="R69" s="2"/>
      <c r="S69" s="2"/>
      <c r="T69" s="2"/>
    </row>
    <row r="70" spans="1:20">
      <c r="A70" s="22">
        <v>42884</v>
      </c>
      <c r="B70" s="20" t="s">
        <v>8</v>
      </c>
      <c r="C70" s="30">
        <f t="shared" si="10"/>
        <v>42884</v>
      </c>
      <c r="D70" s="30"/>
      <c r="E70" s="55"/>
      <c r="F70" s="55"/>
      <c r="G70" s="55"/>
      <c r="H70" s="55"/>
      <c r="I70" s="2"/>
      <c r="J70" s="1061"/>
      <c r="K70" s="1061"/>
      <c r="L70" s="1061"/>
      <c r="M70" s="1061"/>
      <c r="N70" s="1061"/>
      <c r="O70" s="1061"/>
      <c r="P70" s="1061"/>
      <c r="Q70" s="53"/>
      <c r="R70" s="2"/>
      <c r="S70" s="2"/>
      <c r="T70" s="2"/>
    </row>
    <row r="71" spans="1:20">
      <c r="A71" s="22">
        <v>42920</v>
      </c>
      <c r="B71" s="20" t="s">
        <v>9</v>
      </c>
      <c r="C71" s="30">
        <f t="shared" si="10"/>
        <v>42920</v>
      </c>
      <c r="D71" s="30"/>
      <c r="E71" s="55"/>
      <c r="F71" s="55"/>
      <c r="G71" s="55"/>
      <c r="H71" s="55"/>
      <c r="I71" s="2"/>
      <c r="J71" s="1061"/>
      <c r="K71" s="1061"/>
      <c r="L71" s="1061"/>
      <c r="M71" s="1061"/>
      <c r="N71" s="1061"/>
      <c r="O71" s="1061"/>
      <c r="P71" s="1061"/>
      <c r="Q71" s="53"/>
      <c r="R71" s="2"/>
      <c r="S71" s="2"/>
      <c r="T71" s="2"/>
    </row>
    <row r="72" spans="1:20">
      <c r="A72" s="22">
        <v>42982</v>
      </c>
      <c r="B72" s="20" t="s">
        <v>10</v>
      </c>
      <c r="C72" s="30">
        <f t="shared" si="10"/>
        <v>42982</v>
      </c>
      <c r="D72" s="30"/>
      <c r="E72" s="55"/>
      <c r="F72" s="55"/>
      <c r="G72" s="55"/>
      <c r="H72" s="55"/>
      <c r="I72" s="2"/>
      <c r="J72" s="1061"/>
      <c r="K72" s="1061"/>
      <c r="L72" s="1061"/>
      <c r="M72" s="1061"/>
      <c r="N72" s="1061"/>
      <c r="O72" s="1061"/>
      <c r="P72" s="1061"/>
      <c r="Q72" s="53"/>
      <c r="R72" s="2"/>
      <c r="S72" s="2"/>
      <c r="T72" s="2"/>
    </row>
    <row r="73" spans="1:20">
      <c r="A73" s="22">
        <v>43049</v>
      </c>
      <c r="B73" s="20" t="s">
        <v>1</v>
      </c>
      <c r="C73" s="30">
        <f t="shared" si="10"/>
        <v>43049</v>
      </c>
      <c r="D73" s="30"/>
      <c r="E73" s="55"/>
      <c r="F73" s="55"/>
      <c r="G73" s="55"/>
      <c r="H73" s="55"/>
      <c r="I73" s="2"/>
      <c r="J73" s="1061"/>
      <c r="K73" s="1061"/>
      <c r="L73" s="1061"/>
      <c r="M73" s="1061"/>
      <c r="N73" s="1061"/>
      <c r="O73" s="1061"/>
      <c r="P73" s="1061"/>
      <c r="Q73" s="53"/>
      <c r="R73" s="2"/>
      <c r="S73" s="2"/>
      <c r="T73" s="2"/>
    </row>
    <row r="74" spans="1:20">
      <c r="A74" s="22">
        <v>43062</v>
      </c>
      <c r="B74" s="20" t="s">
        <v>2</v>
      </c>
      <c r="C74" s="30">
        <f t="shared" si="10"/>
        <v>43062</v>
      </c>
      <c r="D74" s="30"/>
      <c r="E74" s="55"/>
      <c r="F74" s="55"/>
      <c r="G74" s="55"/>
      <c r="H74" s="55"/>
      <c r="I74" s="2"/>
      <c r="J74" s="1061"/>
      <c r="K74" s="1061"/>
      <c r="L74" s="1061"/>
      <c r="M74" s="1061"/>
      <c r="N74" s="1061"/>
      <c r="O74" s="1061"/>
      <c r="P74" s="1061"/>
      <c r="Q74" s="53"/>
      <c r="R74" s="2"/>
      <c r="S74" s="2"/>
      <c r="T74" s="2"/>
    </row>
    <row r="75" spans="1:20">
      <c r="A75" s="22">
        <v>43094</v>
      </c>
      <c r="B75" s="20" t="s">
        <v>4</v>
      </c>
      <c r="C75" s="30">
        <f t="shared" si="10"/>
        <v>43094</v>
      </c>
      <c r="D75" s="30"/>
      <c r="E75" s="55"/>
      <c r="F75" s="55"/>
      <c r="G75" s="55"/>
      <c r="H75" s="55"/>
      <c r="I75" s="2"/>
      <c r="J75" s="1061"/>
      <c r="K75" s="1061"/>
      <c r="L75" s="1061"/>
      <c r="M75" s="1061"/>
      <c r="N75" s="1061"/>
      <c r="O75" s="1061"/>
      <c r="P75" s="1061"/>
      <c r="Q75" s="53"/>
      <c r="R75" s="2"/>
      <c r="S75" s="2"/>
      <c r="T75" s="2"/>
    </row>
    <row r="76" spans="1:20">
      <c r="A76" s="22">
        <v>43101</v>
      </c>
      <c r="B76" s="20" t="s">
        <v>5</v>
      </c>
      <c r="C76" s="30">
        <f t="shared" si="8"/>
        <v>43101</v>
      </c>
      <c r="D76" s="30"/>
      <c r="E76" s="55"/>
      <c r="F76" s="55"/>
      <c r="G76" s="55"/>
      <c r="H76" s="55"/>
      <c r="I76" s="2"/>
      <c r="J76" s="1061"/>
      <c r="K76" s="1061"/>
      <c r="L76" s="1061"/>
      <c r="M76" s="1061"/>
      <c r="N76" s="1061"/>
      <c r="O76" s="1061"/>
      <c r="P76" s="1061"/>
      <c r="Q76" s="53"/>
      <c r="R76" s="2"/>
      <c r="S76" s="2"/>
      <c r="T76" s="2"/>
    </row>
    <row r="77" spans="1:20">
      <c r="A77" s="18" t="s">
        <v>17</v>
      </c>
      <c r="B77" s="19"/>
      <c r="C77" s="7"/>
      <c r="D77" s="7"/>
      <c r="E77" s="56"/>
      <c r="F77" s="56"/>
      <c r="G77" s="56"/>
      <c r="H77" s="56"/>
      <c r="I77" s="2"/>
      <c r="J77" s="1061"/>
      <c r="K77" s="1061"/>
      <c r="L77" s="1061"/>
      <c r="M77" s="1061"/>
      <c r="N77" s="1061"/>
      <c r="O77" s="1061"/>
      <c r="P77" s="1061"/>
      <c r="Q77" s="53"/>
      <c r="R77" s="2"/>
      <c r="S77" s="2"/>
      <c r="T77" s="2"/>
    </row>
    <row r="78" spans="1:20">
      <c r="A78" s="11"/>
      <c r="B78" s="11"/>
      <c r="C78" s="12"/>
      <c r="D78" s="12"/>
      <c r="E78" s="57"/>
      <c r="F78" s="57"/>
      <c r="G78" s="57"/>
      <c r="H78" s="57"/>
      <c r="I78" s="2"/>
      <c r="J78" s="2"/>
      <c r="K78" s="2"/>
      <c r="L78" s="12"/>
      <c r="M78" s="12"/>
      <c r="N78" s="2"/>
      <c r="O78" s="2"/>
      <c r="P78" s="53"/>
      <c r="Q78" s="53"/>
      <c r="R78" s="2"/>
      <c r="S78" s="2"/>
      <c r="T78" s="2"/>
    </row>
    <row r="79" spans="1:20">
      <c r="A79" s="21" t="s">
        <v>12</v>
      </c>
      <c r="B79" s="21" t="s">
        <v>13</v>
      </c>
      <c r="C79" s="2"/>
      <c r="D79" s="2"/>
      <c r="E79" s="51"/>
      <c r="F79" s="51"/>
      <c r="G79" s="51"/>
      <c r="H79" s="51"/>
      <c r="I79" s="2"/>
      <c r="J79" s="2"/>
      <c r="K79" s="2"/>
      <c r="L79" s="2"/>
      <c r="M79" s="2"/>
      <c r="N79" s="2"/>
      <c r="O79" s="2"/>
      <c r="P79" s="53"/>
      <c r="Q79" s="53"/>
      <c r="R79" s="2"/>
      <c r="S79" s="2"/>
      <c r="T79" s="2"/>
    </row>
    <row r="80" spans="1:20">
      <c r="A80" s="26">
        <v>41275</v>
      </c>
      <c r="B80" s="26">
        <v>41257</v>
      </c>
      <c r="C80" s="29">
        <f>WORKDAY(B80,0,S.DDL_DEQClosed)</f>
        <v>41257</v>
      </c>
      <c r="D80" s="29"/>
      <c r="E80" s="56"/>
      <c r="F80" s="56"/>
      <c r="G80" s="56"/>
      <c r="H80" s="56"/>
      <c r="I80" s="56"/>
      <c r="J80" s="2"/>
      <c r="K80" s="48"/>
      <c r="L80" s="48"/>
      <c r="M80" s="13"/>
      <c r="N80" s="2"/>
      <c r="O80" s="2"/>
      <c r="P80" s="53"/>
      <c r="Q80" s="53"/>
      <c r="R80" s="2"/>
      <c r="S80" s="2"/>
      <c r="T80" s="2"/>
    </row>
    <row r="81" spans="1:20">
      <c r="A81" s="26">
        <v>41306</v>
      </c>
      <c r="B81" s="26">
        <v>41289</v>
      </c>
      <c r="C81" s="29">
        <f t="shared" ref="C81:C98" si="11">WORKDAY(B81,0,S.DDL_DEQClosed)</f>
        <v>41289</v>
      </c>
      <c r="D81" s="29"/>
      <c r="E81" s="56"/>
      <c r="F81" s="56"/>
      <c r="G81" s="56"/>
      <c r="H81" s="56"/>
      <c r="I81" s="56"/>
      <c r="J81" s="2"/>
      <c r="K81" s="48"/>
      <c r="L81" s="48"/>
      <c r="M81" s="13"/>
      <c r="N81" s="2"/>
      <c r="O81" s="2"/>
      <c r="P81" s="53"/>
      <c r="Q81" s="53"/>
      <c r="R81" s="2"/>
      <c r="S81" s="2"/>
      <c r="T81" s="2"/>
    </row>
    <row r="82" spans="1:20">
      <c r="A82" s="26">
        <v>41334</v>
      </c>
      <c r="B82" s="26">
        <v>41320</v>
      </c>
      <c r="C82" s="29">
        <f t="shared" si="11"/>
        <v>41320</v>
      </c>
      <c r="D82" s="29"/>
      <c r="E82" s="56"/>
      <c r="F82" s="56"/>
      <c r="G82" s="56"/>
      <c r="H82" s="56"/>
      <c r="I82" s="56"/>
      <c r="J82" s="2"/>
      <c r="K82" s="48"/>
      <c r="L82" s="48"/>
      <c r="M82" s="13"/>
      <c r="N82" s="2"/>
      <c r="O82" s="2"/>
      <c r="P82" s="53"/>
      <c r="Q82" s="53"/>
      <c r="R82" s="2"/>
      <c r="S82" s="2"/>
      <c r="T82" s="2"/>
    </row>
    <row r="83" spans="1:20">
      <c r="A83" s="26">
        <v>41365</v>
      </c>
      <c r="B83" s="26">
        <v>41348</v>
      </c>
      <c r="C83" s="29">
        <f t="shared" si="11"/>
        <v>41348</v>
      </c>
      <c r="D83" s="29"/>
      <c r="E83" s="56"/>
      <c r="F83" s="56"/>
      <c r="G83" s="56"/>
      <c r="H83" s="56"/>
      <c r="I83" s="56"/>
      <c r="J83" s="2"/>
      <c r="K83" s="48"/>
      <c r="L83" s="48"/>
      <c r="M83" s="13"/>
      <c r="N83" s="2"/>
      <c r="O83" s="2"/>
      <c r="P83" s="53"/>
      <c r="Q83" s="53"/>
      <c r="R83" s="2"/>
      <c r="S83" s="2"/>
      <c r="T83" s="2"/>
    </row>
    <row r="84" spans="1:20">
      <c r="A84" s="26">
        <v>41395</v>
      </c>
      <c r="B84" s="26">
        <v>41379</v>
      </c>
      <c r="C84" s="29">
        <f t="shared" si="11"/>
        <v>41379</v>
      </c>
      <c r="D84" s="29"/>
      <c r="E84" s="56"/>
      <c r="F84" s="56"/>
      <c r="G84" s="56"/>
      <c r="H84" s="56"/>
      <c r="I84" s="56"/>
      <c r="J84" s="2"/>
      <c r="K84" s="48"/>
      <c r="L84" s="48"/>
      <c r="M84" s="13"/>
      <c r="N84" s="2"/>
      <c r="O84" s="2"/>
      <c r="P84" s="53"/>
      <c r="Q84" s="53"/>
      <c r="R84" s="2"/>
      <c r="S84" s="2"/>
      <c r="T84" s="2"/>
    </row>
    <row r="85" spans="1:20">
      <c r="A85" s="26">
        <v>41426</v>
      </c>
      <c r="B85" s="26">
        <v>41409</v>
      </c>
      <c r="C85" s="29">
        <f t="shared" si="11"/>
        <v>41409</v>
      </c>
      <c r="D85" s="29"/>
      <c r="E85" s="56"/>
      <c r="F85" s="56"/>
      <c r="G85" s="56"/>
      <c r="H85" s="56"/>
      <c r="I85" s="56"/>
      <c r="J85" s="2"/>
      <c r="K85" s="48"/>
      <c r="L85" s="48"/>
      <c r="M85" s="13"/>
      <c r="N85" s="2"/>
      <c r="O85" s="2"/>
      <c r="P85" s="53"/>
      <c r="Q85" s="53"/>
      <c r="R85" s="2"/>
      <c r="S85" s="2"/>
      <c r="T85" s="2"/>
    </row>
    <row r="86" spans="1:20">
      <c r="A86" s="26">
        <v>41456</v>
      </c>
      <c r="B86" s="26">
        <v>41439</v>
      </c>
      <c r="C86" s="29">
        <f t="shared" si="11"/>
        <v>41439</v>
      </c>
      <c r="D86" s="29"/>
      <c r="E86" s="56"/>
      <c r="F86" s="56"/>
      <c r="G86" s="56"/>
      <c r="H86" s="56"/>
      <c r="I86" s="56"/>
      <c r="J86" s="2"/>
      <c r="K86" s="48"/>
      <c r="L86" s="48"/>
      <c r="M86" s="13"/>
      <c r="N86" s="2"/>
      <c r="O86" s="2"/>
      <c r="P86" s="53"/>
      <c r="Q86" s="53"/>
      <c r="R86" s="2"/>
      <c r="S86" s="2"/>
      <c r="T86" s="2"/>
    </row>
    <row r="87" spans="1:20">
      <c r="A87" s="26">
        <v>41487</v>
      </c>
      <c r="B87" s="26">
        <v>41470</v>
      </c>
      <c r="C87" s="29">
        <f t="shared" si="11"/>
        <v>41470</v>
      </c>
      <c r="D87" s="29"/>
      <c r="E87" s="56"/>
      <c r="F87" s="56"/>
      <c r="G87" s="56"/>
      <c r="H87" s="56"/>
      <c r="I87" s="56"/>
      <c r="J87" s="2"/>
      <c r="K87" s="48"/>
      <c r="L87" s="48"/>
      <c r="M87" s="13"/>
      <c r="N87" s="2"/>
      <c r="O87" s="2"/>
      <c r="P87" s="53"/>
      <c r="Q87" s="53"/>
      <c r="R87" s="2"/>
      <c r="S87" s="2"/>
      <c r="T87" s="2"/>
    </row>
    <row r="88" spans="1:20">
      <c r="A88" s="26">
        <v>41518</v>
      </c>
      <c r="B88" s="26">
        <v>41501</v>
      </c>
      <c r="C88" s="29">
        <f t="shared" si="11"/>
        <v>41501</v>
      </c>
      <c r="D88" s="29"/>
      <c r="E88" s="56"/>
      <c r="F88" s="56"/>
      <c r="G88" s="56"/>
      <c r="H88" s="56"/>
      <c r="I88" s="56"/>
      <c r="J88" s="2"/>
      <c r="K88" s="48"/>
      <c r="L88" s="48"/>
      <c r="M88" s="13"/>
      <c r="N88" s="2"/>
      <c r="O88" s="2"/>
      <c r="P88" s="53"/>
      <c r="Q88" s="53"/>
      <c r="R88" s="2"/>
      <c r="S88" s="2"/>
      <c r="T88" s="2"/>
    </row>
    <row r="89" spans="1:20">
      <c r="A89" s="26">
        <v>41548</v>
      </c>
      <c r="B89" s="26">
        <v>41530</v>
      </c>
      <c r="C89" s="29">
        <f t="shared" si="11"/>
        <v>41530</v>
      </c>
      <c r="D89" s="29"/>
      <c r="E89" s="56"/>
      <c r="F89" s="56"/>
      <c r="G89" s="56"/>
      <c r="H89" s="56"/>
      <c r="I89" s="56"/>
      <c r="J89" s="2"/>
      <c r="K89" s="48"/>
      <c r="L89" s="48"/>
      <c r="M89" s="13"/>
      <c r="N89" s="2"/>
      <c r="O89" s="2"/>
      <c r="P89" s="53"/>
      <c r="Q89" s="53"/>
      <c r="R89" s="2"/>
      <c r="S89" s="2"/>
      <c r="T89" s="2"/>
    </row>
    <row r="90" spans="1:20">
      <c r="A90" s="26">
        <v>41579</v>
      </c>
      <c r="B90" s="26">
        <v>41562</v>
      </c>
      <c r="C90" s="29">
        <f t="shared" si="11"/>
        <v>41562</v>
      </c>
      <c r="D90" s="29"/>
      <c r="E90" s="56"/>
      <c r="F90" s="56"/>
      <c r="G90" s="56"/>
      <c r="H90" s="56"/>
      <c r="I90" s="56"/>
      <c r="J90" s="56"/>
      <c r="K90" s="48"/>
      <c r="L90" s="48"/>
      <c r="M90" s="13"/>
      <c r="N90" s="2"/>
      <c r="O90" s="2"/>
      <c r="P90" s="53"/>
      <c r="Q90" s="53"/>
      <c r="R90" s="2"/>
      <c r="S90" s="2"/>
      <c r="T90" s="2"/>
    </row>
    <row r="91" spans="1:20">
      <c r="A91" s="26">
        <v>41609</v>
      </c>
      <c r="B91" s="26">
        <v>41593</v>
      </c>
      <c r="C91" s="29">
        <f t="shared" si="11"/>
        <v>41593</v>
      </c>
      <c r="D91" s="29"/>
      <c r="E91" s="56"/>
      <c r="F91" s="56"/>
      <c r="G91" s="56"/>
      <c r="H91" s="56"/>
      <c r="I91" s="56"/>
      <c r="J91" s="2"/>
      <c r="K91" s="48"/>
      <c r="L91" s="48"/>
      <c r="M91" s="13"/>
      <c r="N91" s="2"/>
      <c r="O91" s="2"/>
      <c r="P91" s="53"/>
      <c r="Q91" s="53"/>
      <c r="R91" s="2"/>
      <c r="S91" s="2"/>
      <c r="T91" s="2"/>
    </row>
    <row r="92" spans="1:20">
      <c r="A92" s="26">
        <v>41640</v>
      </c>
      <c r="B92" s="26">
        <v>41621</v>
      </c>
      <c r="C92" s="29">
        <f t="shared" si="11"/>
        <v>41621</v>
      </c>
      <c r="D92" s="29"/>
      <c r="E92" s="56"/>
      <c r="F92" s="56"/>
      <c r="G92" s="56"/>
      <c r="H92" s="56"/>
      <c r="I92" s="56"/>
      <c r="J92" s="2"/>
      <c r="K92" s="48"/>
      <c r="L92" s="48"/>
      <c r="M92" s="13"/>
      <c r="N92" s="2"/>
      <c r="O92" s="2"/>
      <c r="P92" s="53"/>
      <c r="Q92" s="53"/>
      <c r="R92" s="2"/>
      <c r="S92" s="2"/>
      <c r="T92" s="2"/>
    </row>
    <row r="93" spans="1:20">
      <c r="A93" s="26">
        <v>41671</v>
      </c>
      <c r="B93" s="26">
        <v>41654</v>
      </c>
      <c r="C93" s="29">
        <f t="shared" si="11"/>
        <v>41654</v>
      </c>
      <c r="D93" s="29"/>
      <c r="E93" s="56"/>
      <c r="F93" s="56"/>
      <c r="G93" s="56"/>
      <c r="H93" s="56"/>
      <c r="I93" s="56"/>
      <c r="J93" s="2"/>
      <c r="K93" s="48"/>
      <c r="L93" s="48"/>
      <c r="M93" s="13"/>
      <c r="N93" s="2"/>
      <c r="O93" s="2"/>
      <c r="P93" s="53"/>
      <c r="Q93" s="53"/>
      <c r="R93" s="2"/>
      <c r="S93" s="2"/>
      <c r="T93" s="2"/>
    </row>
    <row r="94" spans="1:20">
      <c r="A94" s="26">
        <v>41699</v>
      </c>
      <c r="B94" s="27">
        <v>41684</v>
      </c>
      <c r="C94" s="29">
        <f t="shared" si="11"/>
        <v>41684</v>
      </c>
      <c r="D94" s="29"/>
      <c r="E94" s="56"/>
      <c r="F94" s="56"/>
      <c r="G94" s="56"/>
      <c r="H94" s="56"/>
      <c r="I94" s="56"/>
      <c r="J94" s="2"/>
      <c r="K94" s="48"/>
      <c r="L94" s="48"/>
      <c r="M94" s="13"/>
      <c r="N94" s="2"/>
      <c r="O94" s="2"/>
      <c r="P94" s="53"/>
      <c r="Q94" s="53"/>
      <c r="R94" s="2"/>
      <c r="S94" s="2"/>
      <c r="T94" s="2"/>
    </row>
    <row r="95" spans="1:20">
      <c r="A95" s="26">
        <v>41730</v>
      </c>
      <c r="B95" s="26">
        <v>41712</v>
      </c>
      <c r="C95" s="29">
        <f t="shared" si="11"/>
        <v>41712</v>
      </c>
      <c r="D95" s="29"/>
      <c r="E95" s="56"/>
      <c r="F95" s="56"/>
      <c r="G95" s="56"/>
      <c r="H95" s="56"/>
      <c r="I95" s="56"/>
      <c r="J95" s="2"/>
      <c r="K95" s="48"/>
      <c r="L95" s="48"/>
      <c r="M95" s="13"/>
      <c r="N95" s="2"/>
      <c r="O95" s="2"/>
      <c r="P95" s="53"/>
      <c r="Q95" s="53"/>
      <c r="R95" s="2"/>
      <c r="S95" s="2"/>
      <c r="T95" s="2"/>
    </row>
    <row r="96" spans="1:20">
      <c r="A96" s="26">
        <v>41760</v>
      </c>
      <c r="B96" s="26">
        <v>41744</v>
      </c>
      <c r="C96" s="29">
        <f t="shared" si="11"/>
        <v>41744</v>
      </c>
      <c r="D96" s="29"/>
      <c r="E96" s="56"/>
      <c r="F96" s="56"/>
      <c r="G96" s="56"/>
      <c r="H96" s="56"/>
      <c r="I96" s="56"/>
      <c r="J96" s="2"/>
      <c r="K96" s="48"/>
      <c r="L96" s="48"/>
      <c r="M96" s="13"/>
      <c r="N96" s="2"/>
      <c r="O96" s="2"/>
      <c r="P96" s="53"/>
      <c r="Q96" s="53"/>
      <c r="R96" s="2"/>
      <c r="S96" s="2"/>
      <c r="T96" s="2"/>
    </row>
    <row r="97" spans="1:20">
      <c r="A97" s="26">
        <v>41791</v>
      </c>
      <c r="B97" s="26">
        <v>41774</v>
      </c>
      <c r="C97" s="29">
        <f t="shared" si="11"/>
        <v>41774</v>
      </c>
      <c r="D97" s="29"/>
      <c r="E97" s="56"/>
      <c r="F97" s="56"/>
      <c r="G97" s="56"/>
      <c r="H97" s="56"/>
      <c r="I97" s="56"/>
      <c r="J97" s="2"/>
      <c r="K97" s="48"/>
      <c r="L97" s="48"/>
      <c r="M97" s="13"/>
      <c r="N97" s="2"/>
      <c r="O97" s="2"/>
      <c r="P97" s="53"/>
      <c r="Q97" s="53"/>
      <c r="R97" s="2"/>
      <c r="S97" s="2"/>
      <c r="T97" s="2"/>
    </row>
    <row r="98" spans="1:20">
      <c r="A98" s="26">
        <v>41821</v>
      </c>
      <c r="B98" s="26">
        <v>41803</v>
      </c>
      <c r="C98" s="29">
        <f t="shared" si="11"/>
        <v>41803</v>
      </c>
      <c r="D98" s="29"/>
      <c r="E98" s="56"/>
      <c r="F98" s="56"/>
      <c r="G98" s="56"/>
      <c r="H98" s="56"/>
      <c r="I98" s="56"/>
      <c r="J98" s="2"/>
      <c r="K98" s="48"/>
      <c r="L98" s="48"/>
      <c r="M98" s="13"/>
      <c r="N98" s="2"/>
      <c r="O98" s="2"/>
      <c r="P98" s="53"/>
      <c r="Q98" s="53"/>
      <c r="R98" s="2"/>
      <c r="S98" s="2"/>
      <c r="T98" s="2"/>
    </row>
    <row r="99" spans="1:20">
      <c r="A99" s="26">
        <v>41852</v>
      </c>
      <c r="B99" s="26">
        <v>41835</v>
      </c>
      <c r="C99" s="29">
        <f t="shared" ref="C99:C130" si="12">WORKDAY(B99,0,S.DDL_DEQClosed)</f>
        <v>41835</v>
      </c>
      <c r="D99" s="29"/>
      <c r="E99" s="56"/>
      <c r="F99" s="56"/>
      <c r="G99" s="56"/>
      <c r="H99" s="56"/>
      <c r="I99" s="56"/>
      <c r="J99" s="2"/>
      <c r="K99" s="48"/>
      <c r="L99" s="48"/>
      <c r="M99" s="13"/>
      <c r="N99" s="2"/>
      <c r="O99" s="2"/>
      <c r="P99" s="53"/>
      <c r="Q99" s="53"/>
      <c r="R99" s="2"/>
      <c r="S99" s="2"/>
      <c r="T99" s="2"/>
    </row>
    <row r="100" spans="1:20">
      <c r="A100" s="26">
        <v>41883</v>
      </c>
      <c r="B100" s="26">
        <v>41866</v>
      </c>
      <c r="C100" s="29">
        <f t="shared" si="12"/>
        <v>41866</v>
      </c>
      <c r="D100" s="29"/>
      <c r="E100" s="56"/>
      <c r="F100" s="56"/>
      <c r="G100" s="56"/>
      <c r="H100" s="56"/>
      <c r="I100" s="56"/>
      <c r="J100" s="2"/>
      <c r="K100" s="48"/>
      <c r="L100" s="48"/>
      <c r="M100" s="13"/>
      <c r="N100" s="2"/>
      <c r="O100" s="2"/>
      <c r="P100" s="53"/>
      <c r="Q100" s="53"/>
      <c r="R100" s="2"/>
      <c r="S100" s="2"/>
      <c r="T100" s="2"/>
    </row>
    <row r="101" spans="1:20">
      <c r="A101" s="26">
        <v>41913</v>
      </c>
      <c r="B101" s="26">
        <v>41897</v>
      </c>
      <c r="C101" s="29">
        <f t="shared" si="12"/>
        <v>41897</v>
      </c>
      <c r="D101" s="29"/>
      <c r="E101" s="56"/>
      <c r="F101" s="56"/>
      <c r="G101" s="56"/>
      <c r="H101" s="56"/>
      <c r="I101" s="56"/>
      <c r="J101" s="2"/>
      <c r="K101" s="48"/>
      <c r="L101" s="48"/>
      <c r="M101" s="13"/>
      <c r="N101" s="2"/>
      <c r="O101" s="2"/>
      <c r="P101" s="53"/>
      <c r="Q101" s="53"/>
      <c r="R101" s="2"/>
      <c r="S101" s="2"/>
      <c r="T101" s="2"/>
    </row>
    <row r="102" spans="1:20">
      <c r="A102" s="26">
        <v>41944</v>
      </c>
      <c r="B102" s="26">
        <v>41927</v>
      </c>
      <c r="C102" s="29">
        <f t="shared" si="12"/>
        <v>41927</v>
      </c>
      <c r="D102" s="29"/>
      <c r="E102" s="56"/>
      <c r="F102" s="56"/>
      <c r="G102" s="56"/>
      <c r="H102" s="56"/>
      <c r="I102" s="56"/>
      <c r="J102" s="2"/>
      <c r="K102" s="48"/>
      <c r="L102" s="48"/>
      <c r="M102" s="13"/>
      <c r="N102" s="2"/>
      <c r="O102" s="2"/>
      <c r="P102" s="53"/>
      <c r="Q102" s="53"/>
      <c r="R102" s="2"/>
      <c r="S102" s="2"/>
      <c r="T102" s="2"/>
    </row>
    <row r="103" spans="1:20">
      <c r="A103" s="26">
        <v>41974</v>
      </c>
      <c r="B103" s="26">
        <v>41957</v>
      </c>
      <c r="C103" s="29">
        <f t="shared" si="12"/>
        <v>41957</v>
      </c>
      <c r="D103" s="29"/>
      <c r="E103" s="56"/>
      <c r="F103" s="56"/>
      <c r="G103" s="56"/>
      <c r="H103" s="56"/>
      <c r="I103" s="56"/>
      <c r="J103" s="2"/>
      <c r="K103" s="48"/>
      <c r="L103" s="48"/>
      <c r="M103" s="13"/>
      <c r="N103" s="2"/>
      <c r="O103" s="2"/>
      <c r="P103" s="53"/>
      <c r="Q103" s="53"/>
      <c r="R103" s="2"/>
      <c r="S103" s="2"/>
      <c r="T103" s="2"/>
    </row>
    <row r="104" spans="1:20">
      <c r="A104" s="26">
        <v>42005</v>
      </c>
      <c r="B104" s="26">
        <v>41988</v>
      </c>
      <c r="C104" s="29">
        <f t="shared" si="12"/>
        <v>41988</v>
      </c>
      <c r="D104" s="29"/>
      <c r="E104" s="56"/>
      <c r="F104" s="56"/>
      <c r="G104" s="56"/>
      <c r="H104" s="56"/>
      <c r="I104" s="56"/>
      <c r="J104" s="2"/>
      <c r="K104" s="48"/>
      <c r="L104" s="48"/>
      <c r="M104" s="13"/>
      <c r="N104" s="2"/>
      <c r="O104" s="2"/>
      <c r="P104" s="53"/>
      <c r="Q104" s="53"/>
      <c r="R104" s="2"/>
      <c r="S104" s="2"/>
      <c r="T104" s="2"/>
    </row>
    <row r="105" spans="1:20">
      <c r="A105" s="26">
        <v>42036</v>
      </c>
      <c r="B105" s="26">
        <v>42019</v>
      </c>
      <c r="C105" s="29">
        <f t="shared" si="12"/>
        <v>42019</v>
      </c>
      <c r="D105" s="29"/>
      <c r="E105" s="56"/>
      <c r="F105" s="56"/>
      <c r="G105" s="56"/>
      <c r="H105" s="56"/>
      <c r="I105" s="56"/>
      <c r="J105" s="2"/>
      <c r="K105" s="48"/>
      <c r="L105" s="48"/>
      <c r="M105" s="13"/>
      <c r="N105" s="2"/>
      <c r="O105" s="2"/>
      <c r="P105" s="53"/>
      <c r="Q105" s="53"/>
      <c r="R105" s="2"/>
      <c r="S105" s="2"/>
      <c r="T105" s="2"/>
    </row>
    <row r="106" spans="1:20">
      <c r="A106" s="26">
        <v>42064</v>
      </c>
      <c r="B106" s="26">
        <v>42048</v>
      </c>
      <c r="C106" s="29">
        <f t="shared" si="12"/>
        <v>42048</v>
      </c>
      <c r="D106" s="29"/>
      <c r="E106" s="56"/>
      <c r="F106" s="56"/>
      <c r="G106" s="56"/>
      <c r="H106" s="56"/>
      <c r="I106" s="56"/>
      <c r="J106" s="2"/>
      <c r="K106" s="48"/>
      <c r="L106" s="48"/>
      <c r="M106" s="13"/>
      <c r="N106" s="2"/>
      <c r="O106" s="2"/>
      <c r="P106" s="53"/>
      <c r="Q106" s="53"/>
      <c r="R106" s="2"/>
      <c r="S106" s="2"/>
      <c r="T106" s="2"/>
    </row>
    <row r="107" spans="1:20">
      <c r="A107" s="26">
        <v>42095</v>
      </c>
      <c r="B107" s="26">
        <v>42076</v>
      </c>
      <c r="C107" s="29">
        <f t="shared" si="12"/>
        <v>42076</v>
      </c>
      <c r="D107" s="29"/>
      <c r="E107" s="56"/>
      <c r="F107" s="56"/>
      <c r="G107" s="56"/>
      <c r="H107" s="56"/>
      <c r="I107" s="56"/>
      <c r="J107" s="2"/>
      <c r="K107" s="48"/>
      <c r="L107" s="48"/>
      <c r="M107" s="13"/>
      <c r="N107" s="2"/>
      <c r="O107" s="2"/>
      <c r="P107" s="53"/>
      <c r="Q107" s="53"/>
      <c r="R107" s="2"/>
      <c r="S107" s="2"/>
      <c r="T107" s="2"/>
    </row>
    <row r="108" spans="1:20">
      <c r="A108" s="26">
        <v>42125</v>
      </c>
      <c r="B108" s="26">
        <v>42109</v>
      </c>
      <c r="C108" s="29">
        <f t="shared" si="12"/>
        <v>42109</v>
      </c>
      <c r="D108" s="29"/>
      <c r="E108" s="56"/>
      <c r="F108" s="56"/>
      <c r="G108" s="56"/>
      <c r="H108" s="56"/>
      <c r="I108" s="56"/>
      <c r="J108" s="2"/>
      <c r="K108" s="48"/>
      <c r="L108" s="48"/>
      <c r="M108" s="13"/>
      <c r="N108" s="2"/>
      <c r="O108" s="2"/>
      <c r="P108" s="53"/>
      <c r="Q108" s="53"/>
      <c r="R108" s="2"/>
      <c r="S108" s="2"/>
      <c r="T108" s="2"/>
    </row>
    <row r="109" spans="1:20">
      <c r="A109" s="26">
        <v>42156</v>
      </c>
      <c r="B109" s="26">
        <v>42139</v>
      </c>
      <c r="C109" s="29">
        <f t="shared" si="12"/>
        <v>42139</v>
      </c>
      <c r="D109" s="29"/>
      <c r="E109" s="56"/>
      <c r="F109" s="56"/>
      <c r="G109" s="56"/>
      <c r="H109" s="56"/>
      <c r="I109" s="56"/>
      <c r="J109" s="2"/>
      <c r="K109" s="48"/>
      <c r="L109" s="48"/>
      <c r="M109" s="13"/>
      <c r="N109" s="2"/>
      <c r="O109" s="2"/>
      <c r="P109" s="53"/>
      <c r="Q109" s="53"/>
      <c r="R109" s="2"/>
      <c r="S109" s="2"/>
      <c r="T109" s="2"/>
    </row>
    <row r="110" spans="1:20">
      <c r="A110" s="26">
        <v>42186</v>
      </c>
      <c r="B110" s="26">
        <v>42170</v>
      </c>
      <c r="C110" s="29">
        <f t="shared" si="12"/>
        <v>42170</v>
      </c>
      <c r="D110" s="29"/>
      <c r="E110" s="56"/>
      <c r="F110" s="56"/>
      <c r="G110" s="56"/>
      <c r="H110" s="56"/>
      <c r="I110" s="56"/>
      <c r="J110" s="2"/>
      <c r="K110" s="48"/>
      <c r="L110" s="48"/>
      <c r="M110" s="13"/>
      <c r="N110" s="2"/>
      <c r="O110" s="2"/>
      <c r="P110" s="53"/>
      <c r="Q110" s="53"/>
      <c r="R110" s="2"/>
      <c r="S110" s="2"/>
      <c r="T110" s="2"/>
    </row>
    <row r="111" spans="1:20">
      <c r="A111" s="26">
        <v>42217</v>
      </c>
      <c r="B111" s="26">
        <v>42200</v>
      </c>
      <c r="C111" s="29">
        <f t="shared" si="12"/>
        <v>42200</v>
      </c>
      <c r="D111" s="29"/>
      <c r="E111" s="56"/>
      <c r="F111" s="56"/>
      <c r="G111" s="56"/>
      <c r="H111" s="56"/>
      <c r="I111" s="56"/>
      <c r="J111" s="2"/>
      <c r="K111" s="48"/>
      <c r="L111" s="48"/>
      <c r="M111" s="13"/>
      <c r="N111" s="2"/>
      <c r="O111" s="2"/>
      <c r="P111" s="53"/>
      <c r="Q111" s="53"/>
      <c r="R111" s="2"/>
      <c r="S111" s="2"/>
      <c r="T111" s="2"/>
    </row>
    <row r="112" spans="1:20">
      <c r="A112" s="26">
        <v>42248</v>
      </c>
      <c r="B112" s="26">
        <v>42231</v>
      </c>
      <c r="C112" s="29">
        <f t="shared" si="12"/>
        <v>42231</v>
      </c>
      <c r="D112" s="29"/>
      <c r="E112" s="56"/>
      <c r="F112" s="56"/>
      <c r="G112" s="56"/>
      <c r="H112" s="56"/>
      <c r="I112" s="56"/>
      <c r="J112" s="2"/>
      <c r="K112" s="48"/>
      <c r="L112" s="48"/>
      <c r="M112" s="13"/>
      <c r="N112" s="2"/>
      <c r="O112" s="2"/>
      <c r="P112" s="53"/>
      <c r="Q112" s="53"/>
      <c r="R112" s="2"/>
      <c r="S112" s="2"/>
      <c r="T112" s="2"/>
    </row>
    <row r="113" spans="1:20">
      <c r="A113" s="26">
        <v>42278</v>
      </c>
      <c r="B113" s="26">
        <v>42262</v>
      </c>
      <c r="C113" s="29">
        <f t="shared" si="12"/>
        <v>42262</v>
      </c>
      <c r="D113" s="29"/>
      <c r="E113" s="56"/>
      <c r="F113" s="56"/>
      <c r="G113" s="56"/>
      <c r="H113" s="56"/>
      <c r="I113" s="56"/>
      <c r="J113" s="2"/>
      <c r="K113" s="48"/>
      <c r="L113" s="48"/>
      <c r="M113" s="13"/>
      <c r="N113" s="2"/>
      <c r="O113" s="2"/>
      <c r="P113" s="53"/>
      <c r="Q113" s="53"/>
      <c r="R113" s="2"/>
      <c r="S113" s="2"/>
      <c r="T113" s="2"/>
    </row>
    <row r="114" spans="1:20">
      <c r="A114" s="26">
        <v>42309</v>
      </c>
      <c r="B114" s="26">
        <v>42292</v>
      </c>
      <c r="C114" s="29">
        <f t="shared" si="12"/>
        <v>42292</v>
      </c>
      <c r="D114" s="29"/>
      <c r="E114" s="56"/>
      <c r="F114" s="56"/>
      <c r="G114" s="56"/>
      <c r="H114" s="56"/>
      <c r="I114" s="56"/>
      <c r="J114" s="2"/>
      <c r="K114" s="48"/>
      <c r="L114" s="48"/>
      <c r="M114" s="13"/>
      <c r="N114" s="2"/>
      <c r="O114" s="2"/>
      <c r="P114" s="53"/>
      <c r="Q114" s="53"/>
      <c r="R114" s="2"/>
      <c r="S114" s="2"/>
      <c r="T114" s="2"/>
    </row>
    <row r="115" spans="1:20">
      <c r="A115" s="26">
        <v>42339</v>
      </c>
      <c r="B115" s="26">
        <v>42321</v>
      </c>
      <c r="C115" s="29">
        <f t="shared" si="12"/>
        <v>42321</v>
      </c>
      <c r="D115" s="29"/>
      <c r="E115" s="56"/>
      <c r="F115" s="56"/>
      <c r="G115" s="56"/>
      <c r="H115" s="56"/>
      <c r="I115" s="56"/>
      <c r="J115" s="2"/>
      <c r="K115" s="48"/>
      <c r="L115" s="48"/>
      <c r="M115" s="13"/>
      <c r="N115" s="2"/>
      <c r="O115" s="2"/>
      <c r="P115" s="53"/>
      <c r="Q115" s="53"/>
      <c r="R115" s="2"/>
      <c r="S115" s="2"/>
      <c r="T115" s="2"/>
    </row>
    <row r="116" spans="1:20">
      <c r="A116" s="26">
        <v>42370</v>
      </c>
      <c r="B116" s="26">
        <v>42353</v>
      </c>
      <c r="C116" s="29">
        <f t="shared" si="12"/>
        <v>42353</v>
      </c>
      <c r="D116" s="29"/>
      <c r="E116" s="56"/>
      <c r="F116" s="56"/>
      <c r="G116" s="56"/>
      <c r="H116" s="56"/>
      <c r="I116" s="56"/>
      <c r="J116" s="2"/>
      <c r="K116" s="48"/>
      <c r="L116" s="48"/>
      <c r="M116" s="13"/>
      <c r="N116" s="2"/>
      <c r="O116" s="2"/>
      <c r="P116" s="53"/>
      <c r="Q116" s="53"/>
      <c r="R116" s="2"/>
      <c r="S116" s="2"/>
      <c r="T116" s="2"/>
    </row>
    <row r="117" spans="1:20">
      <c r="A117" s="26">
        <v>42401</v>
      </c>
      <c r="B117" s="26">
        <v>42384</v>
      </c>
      <c r="C117" s="29">
        <f t="shared" si="12"/>
        <v>42384</v>
      </c>
      <c r="D117" s="29"/>
      <c r="E117" s="56"/>
      <c r="F117" s="56"/>
      <c r="G117" s="56"/>
      <c r="H117" s="56"/>
      <c r="I117" s="56"/>
      <c r="J117" s="2"/>
      <c r="K117" s="48"/>
      <c r="L117" s="48"/>
      <c r="M117" s="13"/>
      <c r="N117" s="2"/>
      <c r="O117" s="2"/>
      <c r="P117" s="53"/>
      <c r="Q117" s="53"/>
      <c r="R117" s="2"/>
      <c r="S117" s="2"/>
      <c r="T117" s="2"/>
    </row>
    <row r="118" spans="1:20">
      <c r="A118" s="26">
        <v>42430</v>
      </c>
      <c r="B118" s="27">
        <v>42415</v>
      </c>
      <c r="C118" s="29">
        <f t="shared" si="12"/>
        <v>42415</v>
      </c>
      <c r="D118" s="29"/>
      <c r="E118" s="56"/>
      <c r="F118" s="56"/>
      <c r="G118" s="56"/>
      <c r="H118" s="56"/>
      <c r="I118" s="56"/>
      <c r="J118" s="2"/>
      <c r="K118" s="48"/>
      <c r="L118" s="48"/>
      <c r="M118" s="13"/>
      <c r="N118" s="2"/>
      <c r="O118" s="2"/>
      <c r="P118" s="53"/>
      <c r="Q118" s="53"/>
      <c r="R118" s="2"/>
      <c r="S118" s="2"/>
      <c r="T118" s="2"/>
    </row>
    <row r="119" spans="1:20">
      <c r="A119" s="26">
        <v>42461</v>
      </c>
      <c r="B119" s="26">
        <v>42444</v>
      </c>
      <c r="C119" s="29">
        <f t="shared" si="12"/>
        <v>42444</v>
      </c>
      <c r="D119" s="29"/>
      <c r="E119" s="56"/>
      <c r="F119" s="56"/>
      <c r="G119" s="56"/>
      <c r="H119" s="56"/>
      <c r="I119" s="56"/>
      <c r="J119" s="2"/>
      <c r="K119" s="48"/>
      <c r="L119" s="48"/>
      <c r="M119" s="13"/>
      <c r="N119" s="2"/>
      <c r="O119" s="2"/>
      <c r="P119" s="53"/>
      <c r="Q119" s="53"/>
      <c r="R119" s="2"/>
      <c r="S119" s="2"/>
      <c r="T119" s="2"/>
    </row>
    <row r="120" spans="1:20">
      <c r="A120" s="26">
        <v>42491</v>
      </c>
      <c r="B120" s="26">
        <v>42475</v>
      </c>
      <c r="C120" s="29">
        <f t="shared" si="12"/>
        <v>42475</v>
      </c>
      <c r="D120" s="29"/>
      <c r="E120" s="56"/>
      <c r="F120" s="56"/>
      <c r="G120" s="56"/>
      <c r="H120" s="56"/>
      <c r="I120" s="56"/>
      <c r="J120" s="2"/>
      <c r="K120" s="48"/>
      <c r="L120" s="48"/>
      <c r="M120" s="13"/>
      <c r="N120" s="2"/>
      <c r="O120" s="2"/>
      <c r="P120" s="53"/>
      <c r="Q120" s="53"/>
      <c r="R120" s="2"/>
      <c r="S120" s="2"/>
      <c r="T120" s="2"/>
    </row>
    <row r="121" spans="1:20">
      <c r="A121" s="26">
        <v>42522</v>
      </c>
      <c r="B121" s="26">
        <v>42503</v>
      </c>
      <c r="C121" s="29">
        <f t="shared" si="12"/>
        <v>42503</v>
      </c>
      <c r="D121" s="29"/>
      <c r="E121" s="56"/>
      <c r="F121" s="56"/>
      <c r="G121" s="56"/>
      <c r="H121" s="56"/>
      <c r="I121" s="56"/>
      <c r="J121" s="2"/>
      <c r="K121" s="48"/>
      <c r="L121" s="48"/>
      <c r="M121" s="13"/>
      <c r="N121" s="2"/>
      <c r="O121" s="2"/>
      <c r="P121" s="53"/>
      <c r="Q121" s="53"/>
      <c r="R121" s="2"/>
      <c r="S121" s="2"/>
      <c r="T121" s="2"/>
    </row>
    <row r="122" spans="1:20">
      <c r="A122" s="26">
        <v>42552</v>
      </c>
      <c r="B122" s="26">
        <v>42536</v>
      </c>
      <c r="C122" s="29">
        <f t="shared" si="12"/>
        <v>42536</v>
      </c>
      <c r="D122" s="29"/>
      <c r="E122" s="56"/>
      <c r="F122" s="56"/>
      <c r="G122" s="56"/>
      <c r="H122" s="56"/>
      <c r="I122" s="56"/>
      <c r="J122" s="2"/>
      <c r="K122" s="48"/>
      <c r="L122" s="48"/>
      <c r="M122" s="13"/>
      <c r="N122" s="2"/>
      <c r="O122" s="2"/>
      <c r="P122" s="53"/>
      <c r="Q122" s="53"/>
      <c r="R122" s="2"/>
      <c r="S122" s="2"/>
      <c r="T122" s="2"/>
    </row>
    <row r="123" spans="1:20">
      <c r="A123" s="26">
        <v>42583</v>
      </c>
      <c r="B123" s="26">
        <v>42566</v>
      </c>
      <c r="C123" s="29">
        <f t="shared" si="12"/>
        <v>42566</v>
      </c>
      <c r="D123" s="29"/>
      <c r="E123" s="56"/>
      <c r="F123" s="56"/>
      <c r="G123" s="56"/>
      <c r="H123" s="56"/>
      <c r="I123" s="56"/>
      <c r="J123" s="2"/>
      <c r="K123" s="48"/>
      <c r="L123" s="48"/>
      <c r="M123" s="13"/>
      <c r="N123" s="2"/>
      <c r="O123" s="2"/>
      <c r="P123" s="53"/>
      <c r="Q123" s="53"/>
      <c r="R123" s="2"/>
      <c r="S123" s="2"/>
      <c r="T123" s="2"/>
    </row>
    <row r="124" spans="1:20">
      <c r="A124" s="26">
        <v>42614</v>
      </c>
      <c r="B124" s="26">
        <v>42597</v>
      </c>
      <c r="C124" s="29">
        <f t="shared" si="12"/>
        <v>42597</v>
      </c>
      <c r="D124" s="29"/>
      <c r="E124" s="56"/>
      <c r="F124" s="56"/>
      <c r="G124" s="56"/>
      <c r="H124" s="56"/>
      <c r="I124" s="56"/>
      <c r="J124" s="2"/>
      <c r="K124" s="48"/>
      <c r="L124" s="48"/>
      <c r="M124" s="13"/>
      <c r="N124" s="2"/>
      <c r="O124" s="2"/>
      <c r="P124" s="53"/>
      <c r="Q124" s="53"/>
      <c r="R124" s="2"/>
      <c r="S124" s="2"/>
      <c r="T124" s="2"/>
    </row>
    <row r="125" spans="1:20">
      <c r="A125" s="26">
        <v>42644</v>
      </c>
      <c r="B125" s="26">
        <v>42628</v>
      </c>
      <c r="C125" s="29">
        <f t="shared" si="12"/>
        <v>42628</v>
      </c>
      <c r="D125" s="29"/>
      <c r="E125" s="56"/>
      <c r="F125" s="56"/>
      <c r="G125" s="56"/>
      <c r="H125" s="56"/>
      <c r="I125" s="56"/>
      <c r="J125" s="2"/>
      <c r="K125" s="48"/>
      <c r="L125" s="48"/>
      <c r="M125" s="13"/>
      <c r="N125" s="2"/>
      <c r="O125" s="2"/>
      <c r="P125" s="53"/>
      <c r="Q125" s="53"/>
      <c r="R125" s="2"/>
      <c r="S125" s="2"/>
      <c r="T125" s="2"/>
    </row>
    <row r="126" spans="1:20">
      <c r="A126" s="26">
        <v>42675</v>
      </c>
      <c r="B126" s="26">
        <v>42657</v>
      </c>
      <c r="C126" s="29">
        <f t="shared" si="12"/>
        <v>42657</v>
      </c>
      <c r="D126" s="29"/>
      <c r="E126" s="56"/>
      <c r="F126" s="56"/>
      <c r="G126" s="56"/>
      <c r="H126" s="56"/>
      <c r="I126" s="56"/>
      <c r="J126" s="2"/>
      <c r="K126" s="48"/>
      <c r="L126" s="48"/>
      <c r="M126" s="13"/>
      <c r="N126" s="2"/>
      <c r="O126" s="2"/>
      <c r="P126" s="53"/>
      <c r="Q126" s="53"/>
      <c r="R126" s="2"/>
      <c r="S126" s="2"/>
      <c r="T126" s="2"/>
    </row>
    <row r="127" spans="1:20">
      <c r="A127" s="26">
        <v>42705</v>
      </c>
      <c r="B127" s="26">
        <v>42689</v>
      </c>
      <c r="C127" s="29">
        <f t="shared" si="12"/>
        <v>42689</v>
      </c>
      <c r="D127" s="29"/>
      <c r="E127" s="56"/>
      <c r="F127" s="56"/>
      <c r="G127" s="56"/>
      <c r="H127" s="56"/>
      <c r="I127" s="56"/>
      <c r="J127" s="2"/>
      <c r="K127" s="48"/>
      <c r="L127" s="48"/>
      <c r="M127" s="13"/>
      <c r="N127" s="2"/>
      <c r="O127" s="2"/>
      <c r="P127" s="53"/>
      <c r="Q127" s="53"/>
      <c r="R127" s="2"/>
      <c r="S127" s="2"/>
      <c r="T127" s="2"/>
    </row>
    <row r="128" spans="1:20">
      <c r="A128" s="26">
        <v>42736</v>
      </c>
      <c r="B128" s="26">
        <v>42719</v>
      </c>
      <c r="C128" s="29">
        <f t="shared" si="12"/>
        <v>42719</v>
      </c>
      <c r="D128" s="29"/>
      <c r="E128" s="56"/>
      <c r="F128" s="56"/>
      <c r="G128" s="56"/>
      <c r="H128" s="56"/>
      <c r="I128" s="56"/>
      <c r="J128" s="2"/>
      <c r="K128" s="48"/>
      <c r="L128" s="48"/>
      <c r="M128" s="13"/>
      <c r="N128" s="2"/>
      <c r="O128" s="2"/>
      <c r="P128" s="53"/>
      <c r="Q128" s="53"/>
      <c r="R128" s="2"/>
      <c r="S128" s="2"/>
      <c r="T128" s="2"/>
    </row>
    <row r="129" spans="1:20">
      <c r="A129" s="26">
        <v>42767</v>
      </c>
      <c r="B129" s="26">
        <v>42748</v>
      </c>
      <c r="C129" s="29">
        <f t="shared" si="12"/>
        <v>42748</v>
      </c>
      <c r="D129" s="29"/>
      <c r="E129" s="56"/>
      <c r="F129" s="56"/>
      <c r="G129" s="56"/>
      <c r="H129" s="56"/>
      <c r="I129" s="56"/>
      <c r="J129" s="2"/>
      <c r="K129" s="48"/>
      <c r="L129" s="48"/>
      <c r="M129" s="13"/>
      <c r="N129" s="2"/>
      <c r="O129" s="2"/>
      <c r="P129" s="53"/>
      <c r="Q129" s="53"/>
      <c r="R129" s="2"/>
      <c r="S129" s="2"/>
      <c r="T129" s="2"/>
    </row>
    <row r="130" spans="1:20">
      <c r="A130" s="26">
        <v>42795</v>
      </c>
      <c r="B130" s="26">
        <v>42781</v>
      </c>
      <c r="C130" s="29">
        <f t="shared" si="12"/>
        <v>42781</v>
      </c>
      <c r="D130" s="29"/>
      <c r="E130" s="56"/>
      <c r="F130" s="56"/>
      <c r="G130" s="56"/>
      <c r="H130" s="56"/>
      <c r="I130" s="56"/>
      <c r="J130" s="2"/>
      <c r="K130" s="48"/>
      <c r="L130" s="48"/>
      <c r="M130" s="13"/>
      <c r="N130" s="2"/>
      <c r="O130" s="2"/>
      <c r="P130" s="53"/>
      <c r="Q130" s="53"/>
      <c r="R130" s="2"/>
      <c r="S130" s="2"/>
      <c r="T130" s="2"/>
    </row>
    <row r="131" spans="1:20">
      <c r="A131" s="26">
        <v>42826</v>
      </c>
      <c r="B131" s="26">
        <v>42809</v>
      </c>
      <c r="C131" s="29">
        <f t="shared" ref="C131:C162" si="13">WORKDAY(B131,0,S.DDL_DEQClosed)</f>
        <v>42809</v>
      </c>
      <c r="D131" s="29"/>
      <c r="E131" s="56"/>
      <c r="F131" s="56"/>
      <c r="G131" s="56"/>
      <c r="H131" s="56"/>
      <c r="I131" s="56"/>
      <c r="J131" s="2"/>
      <c r="K131" s="48"/>
      <c r="L131" s="48"/>
      <c r="M131" s="13"/>
      <c r="N131" s="2"/>
      <c r="O131" s="2"/>
      <c r="P131" s="53"/>
      <c r="Q131" s="53"/>
      <c r="R131" s="2"/>
      <c r="S131" s="2"/>
      <c r="T131" s="2"/>
    </row>
    <row r="132" spans="1:20">
      <c r="A132" s="26">
        <v>42856</v>
      </c>
      <c r="B132" s="26">
        <v>42839</v>
      </c>
      <c r="C132" s="29">
        <f t="shared" si="13"/>
        <v>42839</v>
      </c>
      <c r="D132" s="29"/>
      <c r="E132" s="56"/>
      <c r="F132" s="56"/>
      <c r="G132" s="56"/>
      <c r="H132" s="56"/>
      <c r="I132" s="56"/>
      <c r="J132" s="2"/>
      <c r="K132" s="48"/>
      <c r="L132" s="48"/>
      <c r="M132" s="13"/>
      <c r="N132" s="2"/>
      <c r="O132" s="2"/>
      <c r="P132" s="53"/>
      <c r="Q132" s="53"/>
      <c r="R132" s="2"/>
      <c r="S132" s="2"/>
      <c r="T132" s="2"/>
    </row>
    <row r="133" spans="1:20">
      <c r="A133" s="26">
        <v>42887</v>
      </c>
      <c r="B133" s="26">
        <v>42870</v>
      </c>
      <c r="C133" s="29">
        <f t="shared" si="13"/>
        <v>42870</v>
      </c>
      <c r="D133" s="29"/>
      <c r="E133" s="56"/>
      <c r="F133" s="56"/>
      <c r="G133" s="56"/>
      <c r="H133" s="56"/>
      <c r="I133" s="56"/>
      <c r="J133" s="2"/>
      <c r="K133" s="48"/>
      <c r="L133" s="48"/>
      <c r="M133" s="13"/>
      <c r="N133" s="2"/>
      <c r="O133" s="2"/>
      <c r="P133" s="53"/>
      <c r="Q133" s="53"/>
      <c r="R133" s="2"/>
      <c r="S133" s="2"/>
      <c r="T133" s="2"/>
    </row>
    <row r="134" spans="1:20">
      <c r="A134" s="26">
        <v>42917</v>
      </c>
      <c r="B134" s="26">
        <v>42901</v>
      </c>
      <c r="C134" s="29">
        <f t="shared" si="13"/>
        <v>42901</v>
      </c>
      <c r="D134" s="29"/>
      <c r="E134" s="56"/>
      <c r="F134" s="56"/>
      <c r="G134" s="56"/>
      <c r="H134" s="56"/>
      <c r="I134" s="56"/>
      <c r="J134" s="2"/>
      <c r="K134" s="48"/>
      <c r="L134" s="48"/>
      <c r="M134" s="13"/>
      <c r="N134" s="2"/>
      <c r="O134" s="2"/>
      <c r="P134" s="53"/>
      <c r="Q134" s="53"/>
      <c r="R134" s="2"/>
      <c r="S134" s="2"/>
      <c r="T134" s="2"/>
    </row>
    <row r="135" spans="1:20">
      <c r="A135" s="26">
        <v>42948</v>
      </c>
      <c r="B135" s="26">
        <v>42930</v>
      </c>
      <c r="C135" s="29">
        <f t="shared" si="13"/>
        <v>42930</v>
      </c>
      <c r="D135" s="29"/>
      <c r="E135" s="56"/>
      <c r="F135" s="56"/>
      <c r="G135" s="56"/>
      <c r="H135" s="56"/>
      <c r="I135" s="56"/>
      <c r="J135" s="2"/>
      <c r="K135" s="48"/>
      <c r="L135" s="48"/>
      <c r="M135" s="13"/>
      <c r="N135" s="2"/>
      <c r="O135" s="2"/>
      <c r="P135" s="53"/>
      <c r="Q135" s="53"/>
      <c r="R135" s="2"/>
      <c r="S135" s="2"/>
      <c r="T135" s="2"/>
    </row>
    <row r="136" spans="1:20">
      <c r="A136" s="26">
        <v>42979</v>
      </c>
      <c r="B136" s="26">
        <v>42962</v>
      </c>
      <c r="C136" s="29">
        <f t="shared" si="13"/>
        <v>42962</v>
      </c>
      <c r="D136" s="29"/>
      <c r="E136" s="56"/>
      <c r="F136" s="56"/>
      <c r="G136" s="56"/>
      <c r="H136" s="56"/>
      <c r="I136" s="56"/>
      <c r="J136" s="2"/>
      <c r="K136" s="48"/>
      <c r="L136" s="48"/>
      <c r="M136" s="13"/>
      <c r="N136" s="2"/>
      <c r="O136" s="2"/>
      <c r="P136" s="53"/>
      <c r="Q136" s="53"/>
      <c r="R136" s="2"/>
      <c r="S136" s="2"/>
      <c r="T136" s="2"/>
    </row>
    <row r="137" spans="1:20">
      <c r="A137" s="26">
        <v>43009</v>
      </c>
      <c r="B137" s="26">
        <v>42993</v>
      </c>
      <c r="C137" s="29">
        <f t="shared" si="13"/>
        <v>42993</v>
      </c>
      <c r="D137" s="29"/>
      <c r="E137" s="56"/>
      <c r="F137" s="56"/>
      <c r="G137" s="56"/>
      <c r="H137" s="56"/>
      <c r="I137" s="56"/>
      <c r="J137" s="2"/>
      <c r="K137" s="48"/>
      <c r="L137" s="48"/>
      <c r="M137" s="13"/>
      <c r="N137" s="2"/>
      <c r="O137" s="2"/>
      <c r="P137" s="53"/>
      <c r="Q137" s="53"/>
      <c r="R137" s="2"/>
      <c r="S137" s="2"/>
      <c r="T137" s="2"/>
    </row>
    <row r="138" spans="1:20">
      <c r="A138" s="26">
        <v>43040</v>
      </c>
      <c r="B138" s="26">
        <v>43021</v>
      </c>
      <c r="C138" s="29">
        <f t="shared" si="13"/>
        <v>43021</v>
      </c>
      <c r="D138" s="29"/>
      <c r="E138" s="56"/>
      <c r="F138" s="56"/>
      <c r="G138" s="56"/>
      <c r="H138" s="56"/>
      <c r="I138" s="56"/>
      <c r="J138" s="2"/>
      <c r="K138" s="48"/>
      <c r="L138" s="48"/>
      <c r="M138" s="13"/>
      <c r="N138" s="2"/>
      <c r="O138" s="2"/>
      <c r="P138" s="53"/>
      <c r="Q138" s="53"/>
      <c r="R138" s="2"/>
      <c r="S138" s="2"/>
      <c r="T138" s="2"/>
    </row>
    <row r="139" spans="1:20">
      <c r="A139" s="26">
        <v>43070</v>
      </c>
      <c r="B139" s="26">
        <v>43054</v>
      </c>
      <c r="C139" s="29">
        <f t="shared" si="13"/>
        <v>43054</v>
      </c>
      <c r="D139" s="29"/>
      <c r="E139" s="56"/>
      <c r="F139" s="56"/>
      <c r="G139" s="56"/>
      <c r="H139" s="56"/>
      <c r="I139" s="56"/>
      <c r="J139" s="2"/>
      <c r="K139" s="48"/>
      <c r="L139" s="48"/>
      <c r="M139" s="13"/>
      <c r="N139" s="2"/>
      <c r="O139" s="2"/>
      <c r="P139" s="53"/>
      <c r="Q139" s="53"/>
      <c r="R139" s="2"/>
      <c r="S139" s="2"/>
      <c r="T139" s="2"/>
    </row>
    <row r="140" spans="1:20">
      <c r="A140" s="26">
        <v>43101</v>
      </c>
      <c r="B140" s="26">
        <v>43084</v>
      </c>
      <c r="C140" s="29">
        <f t="shared" si="13"/>
        <v>43084</v>
      </c>
      <c r="D140" s="29"/>
      <c r="E140" s="56"/>
      <c r="F140" s="56"/>
      <c r="G140" s="56"/>
      <c r="H140" s="56"/>
      <c r="I140" s="56"/>
      <c r="J140" s="2"/>
      <c r="K140" s="48"/>
      <c r="L140" s="48"/>
      <c r="M140" s="13"/>
      <c r="N140" s="2"/>
      <c r="O140" s="2"/>
      <c r="P140" s="53"/>
      <c r="Q140" s="53"/>
      <c r="R140" s="2"/>
      <c r="S140" s="2"/>
      <c r="T140" s="2"/>
    </row>
    <row r="141" spans="1:20">
      <c r="A141" s="26">
        <v>43132</v>
      </c>
      <c r="B141" s="26">
        <v>43115</v>
      </c>
      <c r="C141" s="29">
        <f t="shared" si="13"/>
        <v>43115</v>
      </c>
      <c r="D141" s="29"/>
      <c r="E141" s="56"/>
      <c r="F141" s="56"/>
      <c r="G141" s="56"/>
      <c r="H141" s="56"/>
      <c r="I141" s="56"/>
      <c r="J141" s="2"/>
      <c r="K141" s="48"/>
      <c r="L141" s="48"/>
      <c r="M141" s="13"/>
      <c r="N141" s="2"/>
      <c r="O141" s="2"/>
      <c r="P141" s="53"/>
      <c r="Q141" s="53"/>
      <c r="R141" s="2"/>
      <c r="S141" s="2"/>
      <c r="T141" s="2"/>
    </row>
    <row r="142" spans="1:20">
      <c r="A142" s="26">
        <v>43160</v>
      </c>
      <c r="B142" s="27">
        <v>43146</v>
      </c>
      <c r="C142" s="29">
        <f t="shared" si="13"/>
        <v>43146</v>
      </c>
      <c r="D142" s="29"/>
      <c r="E142" s="56"/>
      <c r="F142" s="56"/>
      <c r="G142" s="56"/>
      <c r="H142" s="56"/>
      <c r="I142" s="56"/>
      <c r="J142" s="2"/>
      <c r="K142" s="48"/>
      <c r="L142" s="48"/>
      <c r="M142" s="13"/>
      <c r="N142" s="2"/>
      <c r="O142" s="2"/>
      <c r="P142" s="53"/>
      <c r="Q142" s="53"/>
      <c r="R142" s="2"/>
      <c r="S142" s="2"/>
      <c r="T142" s="2"/>
    </row>
    <row r="143" spans="1:20">
      <c r="A143" s="26">
        <v>43191</v>
      </c>
      <c r="B143" s="26">
        <v>43173</v>
      </c>
      <c r="C143" s="29">
        <f t="shared" si="13"/>
        <v>43173</v>
      </c>
      <c r="D143" s="29"/>
      <c r="E143" s="56"/>
      <c r="F143" s="56"/>
      <c r="G143" s="56"/>
      <c r="H143" s="56"/>
      <c r="I143" s="56"/>
      <c r="J143" s="2"/>
      <c r="K143" s="48"/>
      <c r="L143" s="48"/>
      <c r="M143" s="13"/>
      <c r="N143" s="2"/>
      <c r="O143" s="2"/>
      <c r="P143" s="53"/>
      <c r="Q143" s="53"/>
      <c r="R143" s="2"/>
      <c r="S143" s="2"/>
      <c r="T143" s="2"/>
    </row>
    <row r="144" spans="1:20">
      <c r="A144" s="26">
        <v>43221</v>
      </c>
      <c r="B144" s="26">
        <v>43203</v>
      </c>
      <c r="C144" s="29">
        <f t="shared" si="13"/>
        <v>43203</v>
      </c>
      <c r="D144" s="29"/>
      <c r="E144" s="56"/>
      <c r="F144" s="56"/>
      <c r="G144" s="56"/>
      <c r="H144" s="56"/>
      <c r="I144" s="56"/>
      <c r="J144" s="2"/>
      <c r="K144" s="48"/>
      <c r="L144" s="48"/>
      <c r="M144" s="13"/>
      <c r="N144" s="2"/>
      <c r="O144" s="2"/>
      <c r="P144" s="53"/>
      <c r="Q144" s="53"/>
      <c r="R144" s="2"/>
      <c r="S144" s="2"/>
      <c r="T144" s="2"/>
    </row>
    <row r="145" spans="1:20">
      <c r="A145" s="26">
        <v>43252</v>
      </c>
      <c r="B145" s="26">
        <v>43235</v>
      </c>
      <c r="C145" s="29">
        <f t="shared" si="13"/>
        <v>43235</v>
      </c>
      <c r="D145" s="29"/>
      <c r="E145" s="56"/>
      <c r="F145" s="56"/>
      <c r="G145" s="56"/>
      <c r="H145" s="56"/>
      <c r="I145" s="56"/>
      <c r="J145" s="2"/>
      <c r="K145" s="48"/>
      <c r="L145" s="48"/>
      <c r="M145" s="13"/>
      <c r="N145" s="2"/>
      <c r="O145" s="2"/>
      <c r="P145" s="53"/>
      <c r="Q145" s="53"/>
      <c r="R145" s="2"/>
      <c r="S145" s="2"/>
      <c r="T145" s="2"/>
    </row>
    <row r="146" spans="1:20">
      <c r="A146" s="26">
        <v>43282</v>
      </c>
      <c r="B146" s="26">
        <v>43266</v>
      </c>
      <c r="C146" s="29">
        <f t="shared" si="13"/>
        <v>43266</v>
      </c>
      <c r="D146" s="29"/>
      <c r="E146" s="56"/>
      <c r="F146" s="56"/>
      <c r="G146" s="56"/>
      <c r="H146" s="56"/>
      <c r="I146" s="56"/>
      <c r="J146" s="2"/>
      <c r="K146" s="48"/>
      <c r="L146" s="48"/>
      <c r="M146" s="13"/>
      <c r="N146" s="2"/>
      <c r="O146" s="2"/>
      <c r="P146" s="53"/>
      <c r="Q146" s="53"/>
      <c r="R146" s="2"/>
      <c r="S146" s="2"/>
      <c r="T146" s="2"/>
    </row>
    <row r="147" spans="1:20">
      <c r="A147" s="26">
        <v>43313</v>
      </c>
      <c r="B147" s="26">
        <v>43294</v>
      </c>
      <c r="C147" s="29">
        <f t="shared" si="13"/>
        <v>43294</v>
      </c>
      <c r="D147" s="29"/>
      <c r="E147" s="56"/>
      <c r="F147" s="56"/>
      <c r="G147" s="56"/>
      <c r="H147" s="56"/>
      <c r="I147" s="56"/>
      <c r="J147" s="2"/>
      <c r="K147" s="48"/>
      <c r="L147" s="48"/>
      <c r="M147" s="13"/>
      <c r="N147" s="2"/>
      <c r="O147" s="2"/>
      <c r="P147" s="53"/>
      <c r="Q147" s="53"/>
      <c r="R147" s="2"/>
      <c r="S147" s="2"/>
      <c r="T147" s="2"/>
    </row>
    <row r="148" spans="1:20">
      <c r="A148" s="26">
        <v>43344</v>
      </c>
      <c r="B148" s="26">
        <v>43327</v>
      </c>
      <c r="C148" s="29">
        <f t="shared" si="13"/>
        <v>43327</v>
      </c>
      <c r="D148" s="29"/>
      <c r="E148" s="56"/>
      <c r="F148" s="56"/>
      <c r="G148" s="56"/>
      <c r="H148" s="56"/>
      <c r="I148" s="56"/>
      <c r="J148" s="2"/>
      <c r="K148" s="48"/>
      <c r="L148" s="48"/>
      <c r="M148" s="13"/>
      <c r="N148" s="2"/>
      <c r="O148" s="2"/>
      <c r="P148" s="53"/>
      <c r="Q148" s="53"/>
      <c r="R148" s="2"/>
      <c r="S148" s="2"/>
      <c r="T148" s="2"/>
    </row>
    <row r="149" spans="1:20">
      <c r="A149" s="26">
        <v>43374</v>
      </c>
      <c r="B149" s="26">
        <v>43357</v>
      </c>
      <c r="C149" s="29">
        <f t="shared" si="13"/>
        <v>43357</v>
      </c>
      <c r="D149" s="29"/>
      <c r="E149" s="56"/>
      <c r="F149" s="56"/>
      <c r="G149" s="56"/>
      <c r="H149" s="56"/>
      <c r="I149" s="56"/>
      <c r="J149" s="2"/>
      <c r="K149" s="48"/>
      <c r="L149" s="48"/>
      <c r="M149" s="13"/>
      <c r="N149" s="2"/>
      <c r="O149" s="2"/>
      <c r="P149" s="53"/>
      <c r="Q149" s="53"/>
      <c r="R149" s="2"/>
      <c r="S149" s="2"/>
      <c r="T149" s="2"/>
    </row>
    <row r="150" spans="1:20">
      <c r="A150" s="26">
        <v>43405</v>
      </c>
      <c r="B150" s="26">
        <v>43388</v>
      </c>
      <c r="C150" s="29">
        <f t="shared" si="13"/>
        <v>43388</v>
      </c>
      <c r="D150" s="29"/>
      <c r="E150" s="56"/>
      <c r="F150" s="56"/>
      <c r="G150" s="56"/>
      <c r="H150" s="56"/>
      <c r="I150" s="56"/>
      <c r="J150" s="2"/>
      <c r="K150" s="48"/>
      <c r="L150" s="48"/>
      <c r="M150" s="13"/>
      <c r="N150" s="2"/>
      <c r="O150" s="2"/>
      <c r="P150" s="53"/>
      <c r="Q150" s="53"/>
      <c r="R150" s="2"/>
      <c r="S150" s="2"/>
      <c r="T150" s="2"/>
    </row>
    <row r="151" spans="1:20">
      <c r="A151" s="26">
        <v>43435</v>
      </c>
      <c r="B151" s="26">
        <v>43419</v>
      </c>
      <c r="C151" s="29">
        <f t="shared" si="13"/>
        <v>43419</v>
      </c>
      <c r="D151" s="29"/>
      <c r="E151" s="56"/>
      <c r="F151" s="56"/>
      <c r="G151" s="56"/>
      <c r="H151" s="56"/>
      <c r="I151" s="56"/>
      <c r="J151" s="2"/>
      <c r="K151" s="48"/>
      <c r="L151" s="48"/>
      <c r="M151" s="13"/>
      <c r="N151" s="2"/>
      <c r="O151" s="2"/>
      <c r="P151" s="53"/>
      <c r="Q151" s="53"/>
      <c r="R151" s="2"/>
      <c r="S151" s="2"/>
      <c r="T151" s="2"/>
    </row>
    <row r="152" spans="1:20">
      <c r="A152" s="26">
        <v>43466</v>
      </c>
      <c r="B152" s="26">
        <v>43448</v>
      </c>
      <c r="C152" s="29">
        <f t="shared" si="13"/>
        <v>43448</v>
      </c>
      <c r="D152" s="29"/>
      <c r="E152" s="56"/>
      <c r="F152" s="56"/>
      <c r="G152" s="56"/>
      <c r="H152" s="56"/>
      <c r="I152" s="56"/>
      <c r="J152" s="2"/>
      <c r="K152" s="48"/>
      <c r="L152" s="48"/>
      <c r="M152" s="13"/>
      <c r="N152" s="2"/>
      <c r="O152" s="2"/>
      <c r="P152" s="53"/>
      <c r="Q152" s="53"/>
      <c r="R152" s="2"/>
      <c r="S152" s="2"/>
      <c r="T152" s="2"/>
    </row>
    <row r="153" spans="1:20">
      <c r="A153" s="26">
        <v>43497</v>
      </c>
      <c r="B153" s="26">
        <v>43480</v>
      </c>
      <c r="C153" s="29">
        <f t="shared" si="13"/>
        <v>43480</v>
      </c>
      <c r="D153" s="29"/>
      <c r="E153" s="56"/>
      <c r="F153" s="56"/>
      <c r="G153" s="56"/>
      <c r="H153" s="56"/>
      <c r="I153" s="56"/>
      <c r="J153" s="2"/>
      <c r="K153" s="48"/>
      <c r="L153" s="48"/>
      <c r="M153" s="13"/>
      <c r="N153" s="2"/>
      <c r="O153" s="2"/>
      <c r="P153" s="53"/>
      <c r="Q153" s="53"/>
      <c r="R153" s="2"/>
      <c r="S153" s="2"/>
      <c r="T153" s="2"/>
    </row>
    <row r="154" spans="1:20">
      <c r="A154" s="26">
        <v>43525</v>
      </c>
      <c r="B154" s="26">
        <v>43511</v>
      </c>
      <c r="C154" s="29">
        <f t="shared" si="13"/>
        <v>43511</v>
      </c>
      <c r="D154" s="29"/>
      <c r="E154" s="56"/>
      <c r="F154" s="56"/>
      <c r="G154" s="56"/>
      <c r="H154" s="56"/>
      <c r="I154" s="56"/>
      <c r="J154" s="2"/>
      <c r="K154" s="48"/>
      <c r="L154" s="48"/>
      <c r="M154" s="13"/>
      <c r="N154" s="2"/>
      <c r="O154" s="2"/>
      <c r="P154" s="53"/>
      <c r="Q154" s="53"/>
      <c r="R154" s="2"/>
      <c r="S154" s="2"/>
      <c r="T154" s="2"/>
    </row>
    <row r="155" spans="1:20">
      <c r="A155" s="26">
        <v>43556</v>
      </c>
      <c r="B155" s="26">
        <v>43539</v>
      </c>
      <c r="C155" s="29">
        <f t="shared" si="13"/>
        <v>43539</v>
      </c>
      <c r="D155" s="29"/>
      <c r="E155" s="56"/>
      <c r="F155" s="56"/>
      <c r="G155" s="56"/>
      <c r="H155" s="56"/>
      <c r="I155" s="56"/>
      <c r="J155" s="2"/>
      <c r="K155" s="48"/>
      <c r="L155" s="48"/>
      <c r="M155" s="13"/>
      <c r="N155" s="2"/>
      <c r="O155" s="2"/>
      <c r="P155" s="53"/>
      <c r="Q155" s="53"/>
      <c r="R155" s="2"/>
      <c r="S155" s="2"/>
      <c r="T155" s="2"/>
    </row>
    <row r="156" spans="1:20">
      <c r="A156" s="26">
        <v>43586</v>
      </c>
      <c r="B156" s="26">
        <v>43570</v>
      </c>
      <c r="C156" s="29">
        <f t="shared" si="13"/>
        <v>43570</v>
      </c>
      <c r="D156" s="29"/>
      <c r="E156" s="56"/>
      <c r="F156" s="56"/>
      <c r="G156" s="56"/>
      <c r="H156" s="56"/>
      <c r="I156" s="56"/>
      <c r="J156" s="2"/>
      <c r="K156" s="48"/>
      <c r="L156" s="48"/>
      <c r="M156" s="13"/>
      <c r="N156" s="2"/>
      <c r="O156" s="2"/>
      <c r="P156" s="53"/>
      <c r="Q156" s="53"/>
      <c r="R156" s="2"/>
      <c r="S156" s="2"/>
      <c r="T156" s="2"/>
    </row>
    <row r="157" spans="1:20">
      <c r="A157" s="26">
        <v>43617</v>
      </c>
      <c r="B157" s="26">
        <v>43600</v>
      </c>
      <c r="C157" s="29">
        <f t="shared" si="13"/>
        <v>43600</v>
      </c>
      <c r="D157" s="29"/>
      <c r="E157" s="56"/>
      <c r="F157" s="56"/>
      <c r="G157" s="56"/>
      <c r="H157" s="56"/>
      <c r="I157" s="56"/>
      <c r="J157" s="2"/>
      <c r="K157" s="48"/>
      <c r="L157" s="48"/>
      <c r="M157" s="13"/>
      <c r="N157" s="2"/>
      <c r="O157" s="2"/>
      <c r="P157" s="53"/>
      <c r="Q157" s="53"/>
      <c r="R157" s="2"/>
      <c r="S157" s="2"/>
      <c r="T157" s="2"/>
    </row>
    <row r="158" spans="1:20">
      <c r="A158" s="26">
        <v>43647</v>
      </c>
      <c r="B158" s="26">
        <v>43630</v>
      </c>
      <c r="C158" s="29">
        <f t="shared" si="13"/>
        <v>43630</v>
      </c>
      <c r="D158" s="29"/>
      <c r="E158" s="56"/>
      <c r="F158" s="56"/>
      <c r="G158" s="56"/>
      <c r="H158" s="56"/>
      <c r="I158" s="56"/>
      <c r="J158" s="2"/>
      <c r="K158" s="48"/>
      <c r="L158" s="48"/>
      <c r="M158" s="13"/>
      <c r="N158" s="2"/>
      <c r="O158" s="2"/>
      <c r="P158" s="53"/>
      <c r="Q158" s="53"/>
      <c r="R158" s="2"/>
      <c r="S158" s="2"/>
      <c r="T158" s="2"/>
    </row>
    <row r="159" spans="1:20">
      <c r="A159" s="26">
        <v>43678</v>
      </c>
      <c r="B159" s="26">
        <v>43661</v>
      </c>
      <c r="C159" s="29">
        <f t="shared" si="13"/>
        <v>43661</v>
      </c>
      <c r="D159" s="29"/>
      <c r="E159" s="56"/>
      <c r="F159" s="56"/>
      <c r="G159" s="56"/>
      <c r="H159" s="56"/>
      <c r="I159" s="56"/>
      <c r="J159" s="2"/>
      <c r="K159" s="48"/>
      <c r="L159" s="48"/>
      <c r="M159" s="13"/>
      <c r="N159" s="2"/>
      <c r="O159" s="2"/>
      <c r="P159" s="53"/>
      <c r="Q159" s="53"/>
      <c r="R159" s="2"/>
      <c r="S159" s="2"/>
      <c r="T159" s="2"/>
    </row>
    <row r="160" spans="1:20">
      <c r="A160" s="26">
        <v>43709</v>
      </c>
      <c r="B160" s="26">
        <v>43692</v>
      </c>
      <c r="C160" s="29">
        <f t="shared" si="13"/>
        <v>43692</v>
      </c>
      <c r="D160" s="29"/>
      <c r="E160" s="56"/>
      <c r="F160" s="56"/>
      <c r="G160" s="56"/>
      <c r="H160" s="56"/>
      <c r="I160" s="56"/>
      <c r="J160" s="2"/>
      <c r="K160" s="48"/>
      <c r="L160" s="48"/>
      <c r="M160" s="13"/>
      <c r="N160" s="2"/>
      <c r="O160" s="2"/>
      <c r="P160" s="53"/>
      <c r="Q160" s="53"/>
      <c r="R160" s="2"/>
      <c r="S160" s="2"/>
      <c r="T160" s="2"/>
    </row>
    <row r="161" spans="1:20">
      <c r="A161" s="26">
        <v>43739</v>
      </c>
      <c r="B161" s="26">
        <v>43721</v>
      </c>
      <c r="C161" s="29">
        <f t="shared" si="13"/>
        <v>43721</v>
      </c>
      <c r="D161" s="29"/>
      <c r="E161" s="56"/>
      <c r="F161" s="56"/>
      <c r="G161" s="56"/>
      <c r="H161" s="56"/>
      <c r="I161" s="56"/>
      <c r="J161" s="2"/>
      <c r="K161" s="48"/>
      <c r="L161" s="48"/>
      <c r="M161" s="13"/>
      <c r="N161" s="2"/>
      <c r="O161" s="2"/>
      <c r="P161" s="53"/>
      <c r="Q161" s="53"/>
      <c r="R161" s="2"/>
      <c r="S161" s="2"/>
      <c r="T161" s="2"/>
    </row>
    <row r="162" spans="1:20">
      <c r="A162" s="26">
        <v>43770</v>
      </c>
      <c r="B162" s="26">
        <v>43753</v>
      </c>
      <c r="C162" s="29">
        <f t="shared" si="13"/>
        <v>43753</v>
      </c>
      <c r="D162" s="29"/>
      <c r="E162" s="56"/>
      <c r="F162" s="56"/>
      <c r="G162" s="56"/>
      <c r="H162" s="56"/>
      <c r="I162" s="56"/>
      <c r="J162" s="2"/>
      <c r="K162" s="48"/>
      <c r="L162" s="48"/>
      <c r="M162" s="13"/>
      <c r="N162" s="2"/>
      <c r="O162" s="2"/>
      <c r="P162" s="53"/>
      <c r="Q162" s="53"/>
      <c r="R162" s="2"/>
      <c r="S162" s="2"/>
      <c r="T162" s="2"/>
    </row>
    <row r="163" spans="1:20">
      <c r="A163" s="26">
        <v>43800</v>
      </c>
      <c r="B163" s="26">
        <v>43784</v>
      </c>
      <c r="C163" s="29">
        <f t="shared" ref="C163:C187" si="14">WORKDAY(B163,0,S.DDL_DEQClosed)</f>
        <v>43784</v>
      </c>
      <c r="D163" s="29"/>
      <c r="E163" s="56"/>
      <c r="F163" s="56"/>
      <c r="G163" s="56"/>
      <c r="H163" s="56"/>
      <c r="I163" s="56"/>
      <c r="J163" s="2"/>
      <c r="K163" s="48"/>
      <c r="L163" s="48"/>
      <c r="M163" s="13"/>
      <c r="N163" s="2"/>
      <c r="O163" s="2"/>
      <c r="P163" s="53"/>
      <c r="Q163" s="53"/>
      <c r="R163" s="2"/>
      <c r="S163" s="2"/>
      <c r="T163" s="2"/>
    </row>
    <row r="164" spans="1:20">
      <c r="A164" s="26">
        <v>43831</v>
      </c>
      <c r="B164" s="26">
        <v>43812</v>
      </c>
      <c r="C164" s="29">
        <f t="shared" si="14"/>
        <v>43812</v>
      </c>
      <c r="D164" s="29"/>
      <c r="E164" s="56"/>
      <c r="F164" s="56"/>
      <c r="G164" s="56"/>
      <c r="H164" s="56"/>
      <c r="I164" s="56"/>
      <c r="J164" s="2"/>
      <c r="K164" s="48"/>
      <c r="L164" s="48"/>
      <c r="M164" s="13"/>
      <c r="N164" s="2"/>
      <c r="O164" s="2"/>
      <c r="P164" s="53"/>
      <c r="Q164" s="53"/>
      <c r="R164" s="2"/>
      <c r="S164" s="2"/>
      <c r="T164" s="2"/>
    </row>
    <row r="165" spans="1:20">
      <c r="A165" s="26">
        <v>43862</v>
      </c>
      <c r="B165" s="26">
        <v>43845</v>
      </c>
      <c r="C165" s="29">
        <f t="shared" si="14"/>
        <v>43845</v>
      </c>
      <c r="D165" s="29"/>
      <c r="E165" s="56"/>
      <c r="F165" s="56"/>
      <c r="G165" s="56"/>
      <c r="H165" s="56"/>
      <c r="I165" s="56"/>
      <c r="J165" s="2"/>
      <c r="K165" s="48"/>
      <c r="L165" s="48"/>
      <c r="M165" s="13"/>
      <c r="N165" s="2"/>
      <c r="O165" s="2"/>
      <c r="P165" s="53"/>
      <c r="Q165" s="53"/>
      <c r="R165" s="2"/>
      <c r="S165" s="2"/>
      <c r="T165" s="2"/>
    </row>
    <row r="166" spans="1:20">
      <c r="A166" s="26">
        <v>43891</v>
      </c>
      <c r="B166" s="27">
        <v>43875</v>
      </c>
      <c r="C166" s="29">
        <f t="shared" si="14"/>
        <v>43875</v>
      </c>
      <c r="D166" s="29"/>
      <c r="E166" s="56"/>
      <c r="F166" s="56"/>
      <c r="G166" s="56"/>
      <c r="H166" s="56"/>
      <c r="I166" s="56"/>
      <c r="J166" s="2"/>
      <c r="K166" s="48"/>
      <c r="L166" s="48"/>
      <c r="M166" s="13"/>
      <c r="N166" s="2"/>
      <c r="O166" s="2"/>
      <c r="P166" s="53"/>
      <c r="Q166" s="53"/>
      <c r="R166" s="2"/>
      <c r="S166" s="2"/>
      <c r="T166" s="2"/>
    </row>
    <row r="167" spans="1:20">
      <c r="A167" s="26">
        <v>43922</v>
      </c>
      <c r="B167" s="26">
        <v>43903</v>
      </c>
      <c r="C167" s="29">
        <f t="shared" si="14"/>
        <v>43903</v>
      </c>
      <c r="D167" s="29"/>
      <c r="E167" s="56"/>
      <c r="F167" s="56"/>
      <c r="G167" s="56"/>
      <c r="H167" s="56"/>
      <c r="I167" s="56"/>
      <c r="J167" s="2"/>
      <c r="K167" s="48"/>
      <c r="L167" s="48"/>
      <c r="M167" s="13"/>
      <c r="N167" s="2"/>
      <c r="O167" s="2"/>
      <c r="P167" s="53"/>
      <c r="Q167" s="53"/>
      <c r="R167" s="2"/>
      <c r="S167" s="2"/>
      <c r="T167" s="2"/>
    </row>
    <row r="168" spans="1:20">
      <c r="A168" s="26">
        <v>43952</v>
      </c>
      <c r="B168" s="26">
        <v>43936</v>
      </c>
      <c r="C168" s="29">
        <f t="shared" si="14"/>
        <v>43936</v>
      </c>
      <c r="D168" s="29"/>
      <c r="E168" s="56"/>
      <c r="F168" s="56"/>
      <c r="G168" s="56"/>
      <c r="H168" s="56"/>
      <c r="I168" s="56"/>
      <c r="J168" s="2"/>
      <c r="K168" s="48"/>
      <c r="L168" s="48"/>
      <c r="M168" s="13"/>
      <c r="N168" s="2"/>
      <c r="O168" s="2"/>
      <c r="P168" s="53"/>
      <c r="Q168" s="53"/>
      <c r="R168" s="2"/>
      <c r="S168" s="2"/>
      <c r="T168" s="2"/>
    </row>
    <row r="169" spans="1:20">
      <c r="A169" s="26">
        <v>43983</v>
      </c>
      <c r="B169" s="26">
        <v>43966</v>
      </c>
      <c r="C169" s="29">
        <f t="shared" si="14"/>
        <v>43966</v>
      </c>
      <c r="D169" s="29"/>
      <c r="E169" s="56"/>
      <c r="F169" s="56"/>
      <c r="G169" s="56"/>
      <c r="H169" s="56"/>
      <c r="I169" s="56"/>
      <c r="J169" s="2"/>
      <c r="K169" s="48"/>
      <c r="L169" s="48"/>
      <c r="M169" s="13"/>
      <c r="N169" s="2"/>
      <c r="O169" s="2"/>
      <c r="P169" s="53"/>
      <c r="Q169" s="53"/>
      <c r="R169" s="2"/>
      <c r="S169" s="2"/>
      <c r="T169" s="2"/>
    </row>
    <row r="170" spans="1:20">
      <c r="A170" s="26">
        <v>44013</v>
      </c>
      <c r="B170" s="26">
        <v>43997</v>
      </c>
      <c r="C170" s="29">
        <f t="shared" si="14"/>
        <v>43997</v>
      </c>
      <c r="D170" s="29"/>
      <c r="E170" s="56"/>
      <c r="F170" s="56"/>
      <c r="G170" s="56"/>
      <c r="H170" s="56"/>
      <c r="I170" s="56"/>
      <c r="J170" s="2"/>
      <c r="K170" s="48"/>
      <c r="L170" s="48"/>
      <c r="M170" s="13"/>
      <c r="N170" s="2"/>
      <c r="O170" s="2"/>
      <c r="P170" s="53"/>
      <c r="Q170" s="53"/>
      <c r="R170" s="2"/>
      <c r="S170" s="2"/>
      <c r="T170" s="2"/>
    </row>
    <row r="171" spans="1:20">
      <c r="A171" s="26">
        <v>44044</v>
      </c>
      <c r="B171" s="26">
        <v>44027</v>
      </c>
      <c r="C171" s="29">
        <f t="shared" si="14"/>
        <v>44027</v>
      </c>
      <c r="D171" s="29"/>
      <c r="E171" s="56"/>
      <c r="F171" s="56"/>
      <c r="G171" s="56"/>
      <c r="H171" s="56"/>
      <c r="I171" s="56"/>
      <c r="J171" s="2"/>
      <c r="K171" s="48"/>
      <c r="L171" s="48"/>
      <c r="M171" s="13"/>
      <c r="N171" s="2"/>
      <c r="O171" s="2"/>
      <c r="P171" s="53"/>
      <c r="Q171" s="53"/>
      <c r="R171" s="2"/>
      <c r="S171" s="2"/>
      <c r="T171" s="2"/>
    </row>
    <row r="172" spans="1:20">
      <c r="A172" s="26">
        <v>44075</v>
      </c>
      <c r="B172" s="26">
        <v>44057</v>
      </c>
      <c r="C172" s="29">
        <f t="shared" si="14"/>
        <v>44057</v>
      </c>
      <c r="D172" s="29"/>
      <c r="E172" s="56"/>
      <c r="F172" s="56"/>
      <c r="G172" s="56"/>
      <c r="H172" s="56"/>
      <c r="I172" s="56"/>
      <c r="J172" s="2"/>
      <c r="K172" s="48"/>
      <c r="L172" s="48"/>
      <c r="M172" s="13"/>
      <c r="N172" s="2"/>
      <c r="O172" s="2"/>
      <c r="P172" s="53"/>
      <c r="Q172" s="53"/>
      <c r="R172" s="2"/>
      <c r="S172" s="2"/>
      <c r="T172" s="2"/>
    </row>
    <row r="173" spans="1:20">
      <c r="A173" s="26">
        <v>44105</v>
      </c>
      <c r="B173" s="26">
        <v>44089</v>
      </c>
      <c r="C173" s="29">
        <f t="shared" si="14"/>
        <v>44089</v>
      </c>
      <c r="D173" s="29"/>
      <c r="E173" s="56"/>
      <c r="F173" s="56"/>
      <c r="G173" s="56"/>
      <c r="H173" s="56"/>
      <c r="I173" s="56"/>
      <c r="J173" s="2"/>
      <c r="K173" s="48"/>
      <c r="L173" s="48"/>
      <c r="M173" s="13"/>
      <c r="N173" s="2"/>
      <c r="O173" s="2"/>
      <c r="P173" s="53"/>
      <c r="Q173" s="53"/>
      <c r="R173" s="2"/>
      <c r="S173" s="2"/>
      <c r="T173" s="2"/>
    </row>
    <row r="174" spans="1:20">
      <c r="A174" s="26">
        <v>44136</v>
      </c>
      <c r="B174" s="26">
        <v>44119</v>
      </c>
      <c r="C174" s="29">
        <f t="shared" si="14"/>
        <v>44119</v>
      </c>
      <c r="D174" s="29"/>
      <c r="E174" s="56"/>
      <c r="F174" s="56"/>
      <c r="G174" s="56"/>
      <c r="H174" s="56"/>
      <c r="I174" s="56"/>
      <c r="J174" s="2"/>
      <c r="K174" s="48"/>
      <c r="L174" s="48"/>
      <c r="M174" s="13"/>
      <c r="N174" s="2"/>
      <c r="O174" s="2"/>
      <c r="P174" s="53"/>
      <c r="Q174" s="53"/>
      <c r="R174" s="2"/>
      <c r="S174" s="2"/>
      <c r="T174" s="2"/>
    </row>
    <row r="175" spans="1:20">
      <c r="A175" s="26">
        <v>44166</v>
      </c>
      <c r="B175" s="26">
        <v>44148</v>
      </c>
      <c r="C175" s="29">
        <f t="shared" si="14"/>
        <v>44148</v>
      </c>
      <c r="D175" s="29"/>
      <c r="E175" s="56"/>
      <c r="F175" s="56"/>
      <c r="G175" s="56"/>
      <c r="H175" s="56"/>
      <c r="I175" s="56"/>
      <c r="J175" s="2"/>
      <c r="K175" s="48"/>
      <c r="L175" s="48"/>
      <c r="M175" s="13"/>
      <c r="N175" s="2"/>
      <c r="O175" s="2"/>
      <c r="P175" s="53"/>
      <c r="Q175" s="53"/>
      <c r="R175" s="2"/>
      <c r="S175" s="2"/>
      <c r="T175" s="2"/>
    </row>
    <row r="176" spans="1:20">
      <c r="A176" s="26">
        <v>44197</v>
      </c>
      <c r="B176" s="26">
        <v>44180</v>
      </c>
      <c r="C176" s="29">
        <f t="shared" si="14"/>
        <v>44180</v>
      </c>
      <c r="D176" s="29"/>
      <c r="E176" s="56"/>
      <c r="F176" s="56"/>
      <c r="G176" s="56"/>
      <c r="H176" s="56"/>
      <c r="I176" s="56"/>
      <c r="J176" s="2"/>
      <c r="K176" s="48"/>
      <c r="L176" s="48"/>
      <c r="M176" s="13"/>
      <c r="N176" s="2"/>
      <c r="O176" s="2"/>
      <c r="P176" s="53"/>
      <c r="Q176" s="53"/>
      <c r="R176" s="2"/>
      <c r="S176" s="2"/>
      <c r="T176" s="2"/>
    </row>
    <row r="177" spans="1:20">
      <c r="A177" s="26">
        <v>44228</v>
      </c>
      <c r="B177" s="26">
        <v>44211</v>
      </c>
      <c r="C177" s="29">
        <f t="shared" si="14"/>
        <v>44211</v>
      </c>
      <c r="D177" s="29"/>
      <c r="E177" s="56"/>
      <c r="F177" s="56"/>
      <c r="G177" s="56"/>
      <c r="H177" s="56"/>
      <c r="I177" s="56"/>
      <c r="J177" s="2"/>
      <c r="K177" s="48"/>
      <c r="L177" s="48"/>
      <c r="M177" s="13"/>
      <c r="N177" s="2"/>
      <c r="O177" s="2"/>
      <c r="P177" s="53"/>
      <c r="Q177" s="53"/>
      <c r="R177" s="2"/>
      <c r="S177" s="2"/>
      <c r="T177" s="2"/>
    </row>
    <row r="178" spans="1:20">
      <c r="A178" s="26">
        <v>44256</v>
      </c>
      <c r="B178" s="27">
        <v>44242</v>
      </c>
      <c r="C178" s="29">
        <f t="shared" si="14"/>
        <v>44242</v>
      </c>
      <c r="D178" s="29"/>
      <c r="E178" s="56"/>
      <c r="F178" s="56"/>
      <c r="G178" s="56"/>
      <c r="H178" s="56"/>
      <c r="I178" s="56"/>
      <c r="J178" s="2"/>
      <c r="K178" s="48"/>
      <c r="L178" s="48"/>
      <c r="M178" s="13"/>
      <c r="N178" s="2"/>
      <c r="O178" s="2"/>
      <c r="P178" s="53"/>
      <c r="Q178" s="53"/>
      <c r="R178" s="2"/>
      <c r="S178" s="2"/>
      <c r="T178" s="2"/>
    </row>
    <row r="179" spans="1:20">
      <c r="A179" s="26">
        <v>44287</v>
      </c>
      <c r="B179" s="26">
        <v>44270</v>
      </c>
      <c r="C179" s="29">
        <f t="shared" si="14"/>
        <v>44270</v>
      </c>
      <c r="D179" s="29"/>
      <c r="E179" s="56"/>
      <c r="F179" s="56"/>
      <c r="G179" s="56"/>
      <c r="H179" s="56"/>
      <c r="I179" s="56"/>
      <c r="J179" s="2"/>
      <c r="K179" s="48"/>
      <c r="L179" s="48"/>
      <c r="M179" s="13"/>
      <c r="N179" s="2"/>
      <c r="O179" s="2"/>
      <c r="P179" s="53"/>
      <c r="Q179" s="53"/>
      <c r="R179" s="2"/>
      <c r="S179" s="2"/>
      <c r="T179" s="2"/>
    </row>
    <row r="180" spans="1:20">
      <c r="A180" s="26">
        <v>44317</v>
      </c>
      <c r="B180" s="26">
        <v>44301</v>
      </c>
      <c r="C180" s="29">
        <f t="shared" si="14"/>
        <v>44301</v>
      </c>
      <c r="D180" s="29"/>
      <c r="E180" s="56"/>
      <c r="F180" s="56"/>
      <c r="G180" s="56"/>
      <c r="H180" s="56"/>
      <c r="I180" s="56"/>
      <c r="J180" s="2"/>
      <c r="K180" s="48"/>
      <c r="L180" s="48"/>
      <c r="M180" s="13"/>
      <c r="N180" s="2"/>
      <c r="O180" s="2"/>
      <c r="P180" s="53"/>
      <c r="Q180" s="53"/>
      <c r="R180" s="2"/>
      <c r="S180" s="2"/>
      <c r="T180" s="2"/>
    </row>
    <row r="181" spans="1:20">
      <c r="A181" s="26">
        <v>44348</v>
      </c>
      <c r="B181" s="26">
        <v>44330</v>
      </c>
      <c r="C181" s="29">
        <f t="shared" si="14"/>
        <v>44330</v>
      </c>
      <c r="D181" s="29"/>
      <c r="E181" s="56"/>
      <c r="F181" s="56"/>
      <c r="G181" s="56"/>
      <c r="H181" s="56"/>
      <c r="I181" s="56"/>
      <c r="J181" s="2"/>
      <c r="K181" s="48"/>
      <c r="L181" s="48"/>
      <c r="M181" s="13"/>
      <c r="N181" s="2"/>
      <c r="O181" s="2"/>
      <c r="P181" s="53"/>
      <c r="Q181" s="53"/>
      <c r="R181" s="2"/>
      <c r="S181" s="2"/>
      <c r="T181" s="2"/>
    </row>
    <row r="182" spans="1:20">
      <c r="A182" s="26">
        <v>44378</v>
      </c>
      <c r="B182" s="26">
        <v>44362</v>
      </c>
      <c r="C182" s="29">
        <f t="shared" si="14"/>
        <v>44362</v>
      </c>
      <c r="D182" s="29"/>
      <c r="E182" s="56"/>
      <c r="F182" s="56"/>
      <c r="G182" s="56"/>
      <c r="H182" s="56"/>
      <c r="I182" s="56"/>
      <c r="J182" s="2"/>
      <c r="K182" s="48"/>
      <c r="L182" s="48"/>
      <c r="M182" s="13"/>
      <c r="N182" s="2"/>
      <c r="O182" s="2"/>
      <c r="P182" s="53"/>
      <c r="Q182" s="53"/>
      <c r="R182" s="2"/>
      <c r="S182" s="2"/>
      <c r="T182" s="2"/>
    </row>
    <row r="183" spans="1:20">
      <c r="A183" s="26">
        <v>44409</v>
      </c>
      <c r="B183" s="26">
        <v>44392</v>
      </c>
      <c r="C183" s="29">
        <f t="shared" si="14"/>
        <v>44392</v>
      </c>
      <c r="D183" s="29"/>
      <c r="E183" s="56"/>
      <c r="F183" s="56"/>
      <c r="G183" s="56"/>
      <c r="H183" s="56"/>
      <c r="I183" s="56"/>
      <c r="J183" s="2"/>
      <c r="K183" s="48"/>
      <c r="L183" s="48"/>
      <c r="M183" s="13"/>
      <c r="N183" s="2"/>
      <c r="O183" s="2"/>
      <c r="P183" s="53"/>
      <c r="Q183" s="53"/>
      <c r="R183" s="2"/>
      <c r="S183" s="2"/>
      <c r="T183" s="2"/>
    </row>
    <row r="184" spans="1:20">
      <c r="A184" s="26">
        <v>44440</v>
      </c>
      <c r="B184" s="26">
        <v>44421</v>
      </c>
      <c r="C184" s="29">
        <f t="shared" si="14"/>
        <v>44421</v>
      </c>
      <c r="D184" s="29"/>
      <c r="E184" s="56"/>
      <c r="F184" s="56"/>
      <c r="G184" s="56"/>
      <c r="H184" s="56"/>
      <c r="I184" s="56"/>
      <c r="J184" s="2"/>
      <c r="K184" s="48"/>
      <c r="L184" s="48"/>
      <c r="M184" s="13"/>
      <c r="N184" s="2"/>
      <c r="O184" s="2"/>
      <c r="P184" s="53"/>
      <c r="Q184" s="53"/>
      <c r="R184" s="2"/>
      <c r="S184" s="2"/>
      <c r="T184" s="2"/>
    </row>
    <row r="185" spans="1:20">
      <c r="A185" s="26">
        <v>44470</v>
      </c>
      <c r="B185" s="26">
        <v>44454</v>
      </c>
      <c r="C185" s="29">
        <f t="shared" si="14"/>
        <v>44454</v>
      </c>
      <c r="D185" s="29"/>
      <c r="E185" s="56"/>
      <c r="F185" s="56"/>
      <c r="G185" s="56"/>
      <c r="H185" s="56"/>
      <c r="I185" s="56"/>
      <c r="J185" s="2"/>
      <c r="K185" s="48"/>
      <c r="L185" s="48"/>
      <c r="M185" s="13"/>
      <c r="N185" s="2"/>
      <c r="O185" s="2"/>
      <c r="P185" s="53"/>
      <c r="Q185" s="53"/>
      <c r="R185" s="2"/>
      <c r="S185" s="2"/>
      <c r="T185" s="2"/>
    </row>
    <row r="186" spans="1:20">
      <c r="A186" s="26">
        <v>44501</v>
      </c>
      <c r="B186" s="26">
        <v>44484</v>
      </c>
      <c r="C186" s="29">
        <f t="shared" si="14"/>
        <v>44484</v>
      </c>
      <c r="D186" s="29"/>
      <c r="E186" s="56"/>
      <c r="F186" s="56"/>
      <c r="G186" s="56"/>
      <c r="H186" s="56"/>
      <c r="I186" s="56"/>
      <c r="J186" s="2"/>
      <c r="K186" s="48"/>
      <c r="L186" s="48"/>
      <c r="M186" s="13"/>
      <c r="N186" s="2"/>
      <c r="O186" s="2"/>
      <c r="P186" s="53"/>
      <c r="Q186" s="53"/>
      <c r="R186" s="2"/>
      <c r="S186" s="2"/>
      <c r="T186" s="2"/>
    </row>
    <row r="187" spans="1:20">
      <c r="A187" s="26">
        <v>44531</v>
      </c>
      <c r="B187" s="26">
        <v>44515</v>
      </c>
      <c r="C187" s="29">
        <f t="shared" si="14"/>
        <v>44515</v>
      </c>
      <c r="D187" s="29"/>
      <c r="E187" s="56"/>
      <c r="F187" s="56"/>
      <c r="G187" s="56"/>
      <c r="H187" s="56"/>
      <c r="I187" s="56"/>
      <c r="J187" s="2"/>
      <c r="K187" s="48"/>
      <c r="L187" s="48"/>
      <c r="M187" s="13"/>
      <c r="N187" s="2"/>
      <c r="O187" s="2"/>
      <c r="P187" s="53"/>
      <c r="Q187" s="53"/>
      <c r="R187" s="2"/>
      <c r="S187" s="2"/>
      <c r="T187" s="2"/>
    </row>
    <row r="188" spans="1:20">
      <c r="A188" s="5" t="s">
        <v>17</v>
      </c>
      <c r="B188" s="6"/>
      <c r="C188" s="32"/>
      <c r="D188" s="32"/>
      <c r="E188" s="56"/>
      <c r="F188" s="56"/>
      <c r="G188" s="56"/>
      <c r="H188" s="56"/>
      <c r="I188" s="56"/>
      <c r="J188" s="2"/>
      <c r="K188" s="2"/>
      <c r="L188" s="7"/>
      <c r="M188" s="7"/>
      <c r="N188" s="2"/>
      <c r="O188" s="2"/>
      <c r="P188" s="53"/>
      <c r="Q188" s="53"/>
      <c r="R188" s="2"/>
      <c r="S188" s="2"/>
      <c r="T188" s="2"/>
    </row>
    <row r="189" spans="1:20">
      <c r="A189" s="14"/>
      <c r="B189" s="14"/>
      <c r="C189" s="15"/>
      <c r="D189" s="15"/>
      <c r="E189" s="56"/>
      <c r="F189" s="56"/>
      <c r="G189" s="56"/>
      <c r="H189" s="56"/>
      <c r="I189" s="56"/>
      <c r="J189" s="2"/>
      <c r="K189" s="2"/>
      <c r="L189" s="15"/>
      <c r="M189" s="15"/>
      <c r="N189" s="2"/>
      <c r="O189" s="2"/>
      <c r="P189" s="53"/>
      <c r="Q189" s="53"/>
      <c r="R189" s="2"/>
      <c r="S189" s="2"/>
      <c r="T189" s="2"/>
    </row>
    <row r="190" spans="1:20">
      <c r="A190" s="48"/>
      <c r="B190" s="14"/>
      <c r="C190" s="15"/>
      <c r="D190" s="15"/>
      <c r="E190" s="56"/>
      <c r="F190" s="56"/>
      <c r="G190" s="56"/>
      <c r="H190" s="56"/>
      <c r="I190" s="56"/>
      <c r="J190" s="2"/>
      <c r="K190" s="2"/>
      <c r="L190" s="15"/>
      <c r="M190" s="15"/>
      <c r="N190" s="2"/>
      <c r="O190" s="2"/>
      <c r="P190" s="53"/>
      <c r="Q190" s="53"/>
      <c r="R190" s="2"/>
      <c r="S190" s="2"/>
      <c r="T190" s="2"/>
    </row>
    <row r="191" spans="1:20">
      <c r="A191" s="48"/>
      <c r="B191" s="14"/>
      <c r="C191" s="15"/>
      <c r="D191" s="15"/>
      <c r="E191" s="56"/>
      <c r="F191" s="56"/>
      <c r="G191" s="56"/>
      <c r="H191" s="56"/>
      <c r="I191" s="56"/>
      <c r="J191" s="2"/>
      <c r="K191" s="2"/>
      <c r="L191" s="15"/>
      <c r="M191" s="15"/>
      <c r="N191" s="2"/>
      <c r="O191" s="2"/>
      <c r="P191" s="53"/>
      <c r="Q191" s="53"/>
      <c r="R191" s="2"/>
      <c r="S191" s="2"/>
      <c r="T191" s="2"/>
    </row>
    <row r="192" spans="1:20">
      <c r="A192" s="48" t="s">
        <v>0</v>
      </c>
      <c r="B192" s="14"/>
      <c r="C192" s="15"/>
      <c r="D192" s="15"/>
      <c r="E192" s="56"/>
      <c r="F192" s="56"/>
      <c r="G192" s="56"/>
      <c r="H192" s="56"/>
      <c r="I192" s="56"/>
      <c r="J192" s="2"/>
      <c r="K192" s="2"/>
      <c r="L192" s="15"/>
      <c r="M192" s="15"/>
      <c r="N192" s="2"/>
      <c r="O192" s="2"/>
      <c r="P192" s="53"/>
      <c r="Q192" s="53"/>
      <c r="R192" s="2"/>
      <c r="S192" s="2"/>
      <c r="T192" s="2"/>
    </row>
    <row r="193" spans="1:20">
      <c r="A193" s="48" t="s">
        <v>0</v>
      </c>
      <c r="B193" s="21" t="s">
        <v>599</v>
      </c>
      <c r="C193" s="21" t="s">
        <v>778</v>
      </c>
      <c r="D193" s="15"/>
      <c r="E193" s="56"/>
      <c r="F193" s="56"/>
      <c r="G193" s="56"/>
      <c r="H193" s="56"/>
      <c r="I193" s="56"/>
      <c r="J193" s="2"/>
      <c r="K193" s="2"/>
      <c r="L193" s="15"/>
      <c r="M193" s="15"/>
      <c r="N193" s="2"/>
      <c r="O193" s="2"/>
      <c r="P193" s="53"/>
      <c r="Q193" s="53"/>
      <c r="R193" s="2"/>
      <c r="S193" s="2"/>
      <c r="T193" s="2"/>
    </row>
    <row r="194" spans="1:20">
      <c r="A194" s="726" t="s">
        <v>0</v>
      </c>
      <c r="B194" s="756" t="s">
        <v>601</v>
      </c>
      <c r="C194" s="7"/>
      <c r="D194" s="7"/>
      <c r="E194" s="56"/>
      <c r="F194" s="56"/>
      <c r="G194" s="56"/>
      <c r="H194" s="56"/>
      <c r="I194" s="56"/>
      <c r="J194" s="2"/>
      <c r="K194" s="2"/>
      <c r="L194" s="7"/>
      <c r="M194" s="7"/>
      <c r="N194" s="2"/>
      <c r="O194" s="2"/>
      <c r="P194" s="53"/>
      <c r="Q194" s="53"/>
      <c r="R194" s="2"/>
      <c r="S194" s="2"/>
      <c r="T194" s="2"/>
    </row>
    <row r="195" spans="1:20">
      <c r="A195" s="14"/>
      <c r="B195" s="756" t="s">
        <v>602</v>
      </c>
      <c r="C195" s="15"/>
      <c r="D195" s="15"/>
      <c r="E195" s="56"/>
      <c r="F195" s="56"/>
      <c r="G195" s="56"/>
      <c r="H195" s="56"/>
      <c r="I195" s="56"/>
      <c r="J195" s="2"/>
      <c r="K195" s="2"/>
      <c r="L195" s="15"/>
      <c r="M195" s="15"/>
      <c r="N195" s="2"/>
      <c r="O195" s="2"/>
      <c r="P195" s="53"/>
      <c r="Q195" s="53"/>
      <c r="R195" s="2"/>
      <c r="S195" s="2"/>
      <c r="T195" s="2"/>
    </row>
    <row r="196" spans="1:20">
      <c r="A196" s="3"/>
      <c r="B196" s="756" t="s">
        <v>603</v>
      </c>
      <c r="C196" s="2"/>
      <c r="D196" s="2"/>
      <c r="E196" s="56"/>
      <c r="F196" s="56"/>
      <c r="G196" s="56"/>
      <c r="H196" s="56"/>
      <c r="I196" s="56"/>
      <c r="J196" s="2"/>
      <c r="K196" s="2"/>
      <c r="L196" s="2"/>
      <c r="M196" s="2"/>
      <c r="N196" s="2"/>
      <c r="O196" s="2"/>
      <c r="P196" s="53"/>
      <c r="Q196" s="53"/>
      <c r="R196" s="2"/>
      <c r="S196" s="2"/>
      <c r="T196" s="2"/>
    </row>
    <row r="197" spans="1:20">
      <c r="A197" s="3"/>
      <c r="B197" s="756" t="s">
        <v>604</v>
      </c>
      <c r="C197" s="2"/>
      <c r="D197" s="2"/>
      <c r="E197" s="56"/>
      <c r="F197" s="56"/>
      <c r="G197" s="56"/>
      <c r="H197" s="56"/>
      <c r="I197" s="56"/>
      <c r="J197" s="2"/>
      <c r="K197" s="2"/>
      <c r="L197" s="2"/>
      <c r="M197" s="2"/>
      <c r="N197" s="2"/>
      <c r="O197" s="2"/>
      <c r="P197" s="53"/>
      <c r="Q197" s="53"/>
      <c r="R197" s="2"/>
      <c r="S197" s="2"/>
      <c r="T197" s="2"/>
    </row>
    <row r="198" spans="1:20">
      <c r="A198" s="3"/>
      <c r="B198" s="756" t="s">
        <v>600</v>
      </c>
      <c r="C198" s="2"/>
      <c r="D198" s="2"/>
      <c r="E198" s="56"/>
      <c r="F198" s="56"/>
      <c r="G198" s="56"/>
      <c r="H198" s="56"/>
      <c r="I198" s="56"/>
      <c r="J198" s="2"/>
      <c r="K198" s="2"/>
      <c r="L198" s="2"/>
      <c r="M198" s="2"/>
      <c r="N198" s="2"/>
      <c r="O198" s="2"/>
      <c r="P198" s="53"/>
      <c r="Q198" s="53"/>
      <c r="R198" s="2"/>
      <c r="S198" s="2"/>
      <c r="T198" s="2"/>
    </row>
    <row r="199" spans="1:20">
      <c r="A199" s="3"/>
      <c r="B199" s="756" t="s">
        <v>605</v>
      </c>
      <c r="C199" s="2"/>
      <c r="D199" s="2"/>
      <c r="E199" s="56"/>
      <c r="F199" s="56"/>
      <c r="G199" s="56"/>
      <c r="H199" s="56"/>
      <c r="I199" s="56"/>
      <c r="J199" s="2"/>
      <c r="K199" s="2"/>
      <c r="L199" s="2"/>
      <c r="M199" s="2"/>
      <c r="N199" s="2"/>
      <c r="O199" s="2"/>
      <c r="P199" s="53"/>
      <c r="Q199" s="53"/>
      <c r="R199" s="2"/>
      <c r="S199" s="2"/>
      <c r="T199" s="2"/>
    </row>
    <row r="200" spans="1:20">
      <c r="A200" s="3"/>
      <c r="B200" s="755" t="s">
        <v>606</v>
      </c>
      <c r="C200" s="2"/>
      <c r="D200" s="2"/>
      <c r="E200" s="56"/>
      <c r="F200" s="56"/>
      <c r="G200" s="56"/>
      <c r="H200" s="56"/>
      <c r="I200" s="56"/>
      <c r="J200" s="2"/>
      <c r="K200" s="2"/>
      <c r="L200" s="2"/>
      <c r="M200" s="2"/>
      <c r="N200" s="2"/>
      <c r="O200" s="2"/>
      <c r="P200" s="53"/>
      <c r="Q200" s="53"/>
      <c r="R200" s="2"/>
      <c r="S200" s="2"/>
      <c r="T200" s="2"/>
    </row>
    <row r="201" spans="1:20">
      <c r="A201" s="3"/>
      <c r="B201" s="755" t="s">
        <v>608</v>
      </c>
      <c r="C201" s="2"/>
      <c r="D201" s="2"/>
      <c r="E201" s="56"/>
      <c r="F201" s="56"/>
      <c r="G201" s="56"/>
      <c r="H201" s="56"/>
      <c r="I201" s="56"/>
      <c r="J201" s="2"/>
      <c r="K201" s="2"/>
      <c r="L201" s="2"/>
      <c r="M201" s="2"/>
      <c r="N201" s="2"/>
      <c r="O201" s="2"/>
      <c r="P201" s="53"/>
      <c r="Q201" s="53"/>
      <c r="R201" s="2"/>
      <c r="S201" s="2"/>
      <c r="T201" s="2"/>
    </row>
    <row r="202" spans="1:20">
      <c r="A202" s="3"/>
      <c r="B202" s="755" t="s">
        <v>607</v>
      </c>
      <c r="C202" s="2"/>
      <c r="D202" s="2"/>
      <c r="E202" s="56"/>
      <c r="F202" s="56"/>
      <c r="G202" s="56"/>
      <c r="H202" s="56"/>
      <c r="I202" s="56"/>
      <c r="J202" s="2"/>
      <c r="K202" s="2"/>
      <c r="L202" s="2"/>
      <c r="M202" s="2"/>
      <c r="N202" s="2"/>
      <c r="O202" s="2"/>
      <c r="P202" s="53"/>
      <c r="Q202" s="53"/>
      <c r="R202" s="2"/>
      <c r="S202" s="2"/>
      <c r="T202" s="2"/>
    </row>
    <row r="203" spans="1:20">
      <c r="A203" s="3"/>
      <c r="B203" s="3"/>
      <c r="C203" s="2"/>
      <c r="D203" s="2"/>
      <c r="E203" s="56"/>
      <c r="F203" s="56"/>
      <c r="G203" s="56"/>
      <c r="H203" s="56"/>
      <c r="I203" s="56"/>
      <c r="J203" s="2"/>
      <c r="K203" s="2"/>
      <c r="L203" s="2"/>
      <c r="M203" s="2"/>
      <c r="N203" s="2"/>
      <c r="O203" s="2"/>
      <c r="P203" s="53"/>
      <c r="Q203" s="53"/>
      <c r="R203" s="2"/>
      <c r="S203" s="2"/>
      <c r="T203" s="2"/>
    </row>
    <row r="204" spans="1:20">
      <c r="A204" s="3"/>
      <c r="B204" s="3"/>
      <c r="C204" s="2"/>
      <c r="D204" s="2"/>
      <c r="E204" s="56"/>
      <c r="F204" s="56"/>
      <c r="G204" s="56"/>
      <c r="H204" s="56"/>
      <c r="I204" s="56"/>
      <c r="J204" s="2"/>
      <c r="K204" s="2"/>
      <c r="L204" s="2"/>
      <c r="M204" s="2"/>
      <c r="N204" s="2"/>
      <c r="O204" s="2"/>
      <c r="P204" s="53"/>
      <c r="Q204" s="53"/>
      <c r="R204" s="2"/>
      <c r="S204" s="2"/>
      <c r="T204" s="2"/>
    </row>
    <row r="205" spans="1:20">
      <c r="A205" s="3"/>
      <c r="B205" s="3"/>
      <c r="C205" s="2"/>
      <c r="D205" s="2"/>
      <c r="E205" s="56"/>
      <c r="F205" s="56"/>
      <c r="G205" s="56"/>
      <c r="H205" s="56"/>
      <c r="I205" s="56"/>
      <c r="J205" s="2"/>
      <c r="K205" s="2"/>
      <c r="L205" s="2"/>
      <c r="M205" s="2"/>
      <c r="N205" s="2"/>
      <c r="O205" s="2"/>
      <c r="P205" s="53"/>
      <c r="Q205" s="53"/>
      <c r="R205" s="2"/>
      <c r="S205" s="2"/>
      <c r="T205" s="2"/>
    </row>
    <row r="206" spans="1:20">
      <c r="A206" s="3"/>
      <c r="B206" s="3"/>
      <c r="C206" s="2"/>
      <c r="D206" s="2"/>
      <c r="E206" s="56"/>
      <c r="F206" s="56"/>
      <c r="G206" s="56"/>
      <c r="H206" s="56"/>
      <c r="I206" s="56"/>
      <c r="J206" s="2"/>
      <c r="K206" s="2"/>
      <c r="L206" s="2"/>
      <c r="M206" s="2"/>
      <c r="N206" s="2"/>
      <c r="O206" s="2"/>
      <c r="P206" s="53"/>
      <c r="Q206" s="53"/>
      <c r="R206" s="2"/>
      <c r="S206" s="2"/>
      <c r="T206" s="2"/>
    </row>
    <row r="207" spans="1:20">
      <c r="A207" s="3"/>
      <c r="B207" s="3"/>
      <c r="C207" s="2"/>
      <c r="D207" s="2"/>
      <c r="E207" s="56"/>
      <c r="F207" s="56"/>
      <c r="G207" s="56"/>
      <c r="H207" s="56"/>
      <c r="I207" s="56"/>
      <c r="J207" s="2"/>
      <c r="K207" s="2"/>
      <c r="L207" s="2"/>
      <c r="M207" s="2"/>
      <c r="N207" s="2"/>
      <c r="O207" s="2"/>
      <c r="P207" s="53"/>
      <c r="Q207" s="53"/>
      <c r="R207" s="2"/>
      <c r="S207" s="2"/>
      <c r="T207" s="2"/>
    </row>
    <row r="208" spans="1:20">
      <c r="A208" s="3"/>
      <c r="B208" s="3"/>
      <c r="C208" s="2"/>
      <c r="D208" s="2"/>
      <c r="E208" s="56"/>
      <c r="F208" s="56"/>
      <c r="G208" s="56"/>
      <c r="H208" s="56"/>
      <c r="I208" s="56"/>
      <c r="J208" s="2"/>
      <c r="K208" s="2"/>
      <c r="L208" s="2"/>
      <c r="M208" s="2"/>
      <c r="N208" s="2"/>
      <c r="O208" s="2"/>
      <c r="P208" s="53"/>
      <c r="Q208" s="53"/>
      <c r="R208" s="2"/>
      <c r="S208" s="2"/>
      <c r="T208" s="2"/>
    </row>
    <row r="209" spans="1:20">
      <c r="A209" s="3"/>
      <c r="B209" s="3"/>
      <c r="C209" s="2"/>
      <c r="D209" s="2"/>
      <c r="E209" s="56"/>
      <c r="F209" s="56"/>
      <c r="G209" s="56"/>
      <c r="H209" s="56"/>
      <c r="I209" s="56"/>
      <c r="J209" s="2"/>
      <c r="K209" s="2"/>
      <c r="L209" s="2"/>
      <c r="M209" s="2"/>
      <c r="N209" s="2"/>
      <c r="O209" s="2"/>
      <c r="P209" s="53"/>
      <c r="Q209" s="53"/>
      <c r="R209" s="2"/>
      <c r="S209" s="2"/>
      <c r="T209" s="2"/>
    </row>
    <row r="210" spans="1:20">
      <c r="A210" s="3"/>
      <c r="B210" s="3"/>
      <c r="C210" s="2"/>
      <c r="D210" s="2"/>
      <c r="E210" s="56"/>
      <c r="F210" s="56"/>
      <c r="G210" s="56"/>
      <c r="H210" s="56"/>
      <c r="I210" s="56"/>
      <c r="J210" s="2"/>
      <c r="K210" s="2"/>
      <c r="L210" s="2"/>
      <c r="M210" s="2"/>
      <c r="N210" s="2"/>
      <c r="O210" s="2"/>
      <c r="P210" s="53"/>
      <c r="Q210" s="53"/>
      <c r="R210" s="2"/>
      <c r="S210" s="2"/>
      <c r="T210" s="2"/>
    </row>
    <row r="211" spans="1:20">
      <c r="A211" s="3"/>
      <c r="B211" s="3"/>
      <c r="C211" s="2"/>
      <c r="D211" s="2"/>
      <c r="E211" s="56"/>
      <c r="F211" s="56"/>
      <c r="G211" s="56"/>
      <c r="H211" s="56"/>
      <c r="I211" s="56"/>
      <c r="J211" s="2"/>
      <c r="K211" s="2"/>
      <c r="L211" s="2"/>
      <c r="M211" s="2"/>
      <c r="N211" s="2"/>
      <c r="O211" s="2"/>
      <c r="P211" s="53"/>
      <c r="Q211" s="53"/>
      <c r="R211" s="2"/>
      <c r="S211" s="2"/>
      <c r="T211" s="2"/>
    </row>
    <row r="212" spans="1:20">
      <c r="A212" s="3"/>
      <c r="B212" s="3"/>
      <c r="C212" s="2"/>
      <c r="D212" s="2"/>
      <c r="E212" s="56"/>
      <c r="F212" s="56"/>
      <c r="G212" s="56"/>
      <c r="H212" s="56"/>
      <c r="I212" s="56"/>
      <c r="J212" s="2"/>
      <c r="K212" s="2"/>
      <c r="L212" s="2"/>
      <c r="M212" s="2"/>
      <c r="N212" s="2"/>
      <c r="O212" s="2"/>
      <c r="P212" s="53"/>
      <c r="Q212" s="53"/>
      <c r="R212" s="2"/>
      <c r="S212" s="2"/>
      <c r="T212" s="2"/>
    </row>
    <row r="213" spans="1:20">
      <c r="A213" s="3"/>
      <c r="B213" s="3"/>
      <c r="C213" s="2"/>
      <c r="D213" s="2"/>
      <c r="E213" s="56"/>
      <c r="F213" s="56"/>
      <c r="G213" s="56"/>
      <c r="H213" s="56"/>
      <c r="I213" s="56"/>
      <c r="J213" s="2"/>
      <c r="K213" s="2"/>
      <c r="L213" s="2"/>
      <c r="M213" s="2"/>
      <c r="N213" s="2"/>
      <c r="O213" s="2"/>
      <c r="P213" s="53"/>
      <c r="Q213" s="53"/>
      <c r="R213" s="2"/>
      <c r="S213" s="2"/>
      <c r="T213" s="2"/>
    </row>
    <row r="214" spans="1:20">
      <c r="A214" s="3"/>
      <c r="B214" s="3"/>
      <c r="C214" s="2"/>
      <c r="D214" s="2"/>
      <c r="E214" s="56"/>
      <c r="F214" s="56"/>
      <c r="G214" s="56"/>
      <c r="H214" s="56"/>
      <c r="I214" s="56"/>
      <c r="J214" s="2"/>
      <c r="K214" s="2"/>
      <c r="L214" s="2"/>
      <c r="M214" s="2"/>
      <c r="N214" s="2"/>
      <c r="O214" s="2"/>
      <c r="P214" s="53"/>
      <c r="Q214" s="53"/>
      <c r="R214" s="2"/>
      <c r="S214" s="2"/>
      <c r="T214" s="2"/>
    </row>
    <row r="215" spans="1:20">
      <c r="A215" s="3"/>
      <c r="B215" s="3"/>
      <c r="C215" s="2"/>
      <c r="D215" s="2"/>
      <c r="E215" s="56"/>
      <c r="F215" s="56"/>
      <c r="G215" s="56"/>
      <c r="H215" s="56"/>
      <c r="I215" s="56"/>
      <c r="J215" s="2"/>
      <c r="K215" s="2"/>
      <c r="L215" s="2"/>
      <c r="M215" s="2"/>
      <c r="N215" s="2"/>
      <c r="O215" s="2"/>
      <c r="P215" s="53"/>
      <c r="Q215" s="53"/>
      <c r="R215" s="2"/>
      <c r="S215" s="2"/>
      <c r="T215" s="2"/>
    </row>
    <row r="216" spans="1:20">
      <c r="A216" s="3"/>
      <c r="B216" s="3"/>
      <c r="C216" s="2"/>
      <c r="D216" s="2"/>
      <c r="E216" s="56"/>
      <c r="F216" s="56"/>
      <c r="G216" s="56"/>
      <c r="H216" s="56"/>
      <c r="I216" s="56"/>
      <c r="J216" s="2"/>
      <c r="K216" s="2"/>
      <c r="L216" s="2"/>
      <c r="M216" s="2"/>
      <c r="N216" s="2"/>
      <c r="O216" s="2"/>
      <c r="P216" s="53"/>
      <c r="Q216" s="53"/>
      <c r="R216" s="2"/>
      <c r="S216" s="2"/>
      <c r="T216" s="2"/>
    </row>
    <row r="217" spans="1:20">
      <c r="A217" s="3"/>
      <c r="B217" s="3"/>
      <c r="C217" s="2"/>
      <c r="D217" s="2"/>
      <c r="E217" s="56"/>
      <c r="F217" s="56"/>
      <c r="G217" s="56"/>
      <c r="H217" s="56"/>
      <c r="I217" s="56"/>
      <c r="J217" s="2"/>
      <c r="K217" s="2"/>
      <c r="L217" s="2"/>
      <c r="M217" s="2"/>
      <c r="N217" s="2"/>
      <c r="O217" s="2"/>
      <c r="P217" s="53"/>
      <c r="Q217" s="53"/>
      <c r="R217" s="2"/>
      <c r="S217" s="2"/>
      <c r="T217" s="2"/>
    </row>
    <row r="218" spans="1:20">
      <c r="A218" s="3"/>
      <c r="B218" s="3"/>
      <c r="C218" s="2"/>
      <c r="D218" s="2"/>
      <c r="E218" s="56"/>
      <c r="F218" s="56"/>
      <c r="G218" s="56"/>
      <c r="H218" s="56"/>
      <c r="I218" s="56"/>
      <c r="J218" s="2"/>
      <c r="K218" s="2"/>
      <c r="L218" s="2"/>
      <c r="M218" s="2"/>
      <c r="N218" s="2"/>
      <c r="O218" s="2"/>
      <c r="P218" s="53"/>
      <c r="Q218" s="53"/>
      <c r="R218" s="2"/>
      <c r="S218" s="2"/>
      <c r="T218" s="2"/>
    </row>
    <row r="219" spans="1:20">
      <c r="A219" s="3"/>
      <c r="B219" s="3"/>
      <c r="C219" s="2"/>
      <c r="D219" s="2"/>
      <c r="E219" s="56"/>
      <c r="F219" s="56"/>
      <c r="G219" s="56"/>
      <c r="H219" s="56"/>
      <c r="I219" s="56"/>
      <c r="J219" s="2"/>
      <c r="K219" s="2"/>
      <c r="L219" s="2"/>
      <c r="M219" s="2"/>
      <c r="N219" s="2"/>
      <c r="O219" s="2"/>
      <c r="P219" s="53"/>
      <c r="Q219" s="53"/>
      <c r="R219" s="2"/>
      <c r="S219" s="2"/>
      <c r="T219" s="2"/>
    </row>
    <row r="220" spans="1:20">
      <c r="A220" s="3"/>
      <c r="B220" s="3"/>
      <c r="C220" s="2"/>
      <c r="D220" s="2"/>
      <c r="E220" s="56"/>
      <c r="F220" s="56"/>
      <c r="G220" s="56"/>
      <c r="H220" s="56"/>
      <c r="I220" s="56"/>
      <c r="J220" s="2"/>
      <c r="K220" s="2"/>
      <c r="L220" s="2"/>
      <c r="M220" s="2"/>
      <c r="N220" s="2"/>
      <c r="O220" s="2"/>
      <c r="P220" s="53"/>
      <c r="Q220" s="53"/>
      <c r="R220" s="2"/>
      <c r="S220" s="2"/>
      <c r="T220" s="2"/>
    </row>
    <row r="221" spans="1:20">
      <c r="A221" s="3"/>
      <c r="B221" s="3"/>
      <c r="C221" s="2"/>
      <c r="D221" s="2"/>
      <c r="E221" s="56"/>
      <c r="F221" s="56"/>
      <c r="G221" s="56"/>
      <c r="H221" s="56"/>
      <c r="I221" s="56"/>
      <c r="J221" s="2"/>
      <c r="K221" s="2"/>
      <c r="L221" s="2"/>
      <c r="M221" s="2"/>
      <c r="N221" s="2"/>
      <c r="O221" s="2"/>
      <c r="P221" s="53"/>
      <c r="Q221" s="53"/>
      <c r="R221" s="2"/>
      <c r="S221" s="2"/>
      <c r="T221" s="2"/>
    </row>
    <row r="222" spans="1:20">
      <c r="A222" s="3"/>
      <c r="B222" s="3"/>
      <c r="C222" s="2"/>
      <c r="D222" s="2"/>
      <c r="E222" s="56"/>
      <c r="F222" s="56"/>
      <c r="G222" s="56"/>
      <c r="H222" s="56"/>
      <c r="I222" s="56"/>
      <c r="J222" s="2"/>
      <c r="K222" s="2"/>
      <c r="L222" s="2"/>
      <c r="M222" s="2"/>
      <c r="N222" s="2"/>
      <c r="O222" s="2"/>
      <c r="P222" s="53"/>
      <c r="Q222" s="53"/>
      <c r="R222" s="2"/>
      <c r="S222" s="2"/>
      <c r="T222" s="2"/>
    </row>
    <row r="223" spans="1:20">
      <c r="A223" s="3"/>
      <c r="B223" s="3"/>
      <c r="C223" s="2"/>
      <c r="D223" s="2"/>
      <c r="E223" s="56"/>
      <c r="F223" s="56"/>
      <c r="G223" s="56"/>
      <c r="H223" s="56"/>
      <c r="I223" s="56"/>
      <c r="J223" s="2"/>
      <c r="K223" s="2"/>
      <c r="L223" s="2"/>
      <c r="M223" s="2"/>
      <c r="N223" s="2"/>
      <c r="O223" s="2"/>
      <c r="P223" s="53"/>
      <c r="Q223" s="53"/>
      <c r="R223" s="2"/>
      <c r="S223" s="2"/>
      <c r="T223" s="2"/>
    </row>
    <row r="224" spans="1:20">
      <c r="A224" s="3"/>
      <c r="B224" s="3"/>
      <c r="C224" s="2"/>
      <c r="D224" s="2"/>
      <c r="E224" s="56"/>
      <c r="F224" s="56"/>
      <c r="G224" s="56"/>
      <c r="H224" s="56"/>
      <c r="I224" s="56"/>
      <c r="J224" s="2"/>
      <c r="K224" s="2"/>
      <c r="L224" s="2"/>
      <c r="M224" s="2"/>
      <c r="N224" s="2"/>
      <c r="O224" s="2"/>
      <c r="P224" s="53"/>
      <c r="Q224" s="53"/>
      <c r="R224" s="2"/>
      <c r="S224" s="2"/>
      <c r="T224" s="2"/>
    </row>
    <row r="225" spans="1:20">
      <c r="A225" s="3"/>
      <c r="B225" s="3"/>
      <c r="C225" s="2"/>
      <c r="D225" s="2"/>
      <c r="E225" s="56"/>
      <c r="F225" s="56"/>
      <c r="G225" s="56"/>
      <c r="H225" s="56"/>
      <c r="I225" s="56"/>
      <c r="J225" s="2"/>
      <c r="K225" s="2"/>
      <c r="L225" s="2"/>
      <c r="M225" s="2"/>
      <c r="N225" s="2"/>
      <c r="O225" s="2"/>
      <c r="P225" s="53"/>
      <c r="Q225" s="53"/>
      <c r="R225" s="2"/>
      <c r="S225" s="2"/>
      <c r="T225" s="2"/>
    </row>
    <row r="226" spans="1:20">
      <c r="A226" s="3"/>
      <c r="B226" s="3"/>
      <c r="C226" s="2"/>
      <c r="D226" s="2"/>
      <c r="E226" s="56"/>
      <c r="F226" s="56"/>
      <c r="G226" s="56"/>
      <c r="H226" s="56"/>
      <c r="I226" s="56"/>
      <c r="J226" s="2"/>
      <c r="K226" s="2"/>
      <c r="L226" s="2"/>
      <c r="M226" s="2"/>
      <c r="N226" s="2"/>
      <c r="O226" s="2"/>
      <c r="P226" s="53"/>
      <c r="Q226" s="53"/>
      <c r="R226" s="2"/>
      <c r="S226" s="2"/>
      <c r="T226" s="2"/>
    </row>
    <row r="227" spans="1:20">
      <c r="A227" s="3"/>
      <c r="B227" s="3"/>
      <c r="C227" s="2"/>
      <c r="D227" s="2"/>
      <c r="E227" s="56"/>
      <c r="F227" s="56"/>
      <c r="G227" s="56"/>
      <c r="H227" s="56"/>
      <c r="I227" s="56"/>
      <c r="J227" s="2"/>
      <c r="K227" s="2"/>
      <c r="L227" s="2"/>
      <c r="M227" s="2"/>
      <c r="N227" s="2"/>
      <c r="O227" s="2"/>
      <c r="P227" s="53"/>
      <c r="Q227" s="53"/>
      <c r="R227" s="2"/>
      <c r="S227" s="2"/>
      <c r="T227" s="2"/>
    </row>
    <row r="228" spans="1:20">
      <c r="A228" s="3"/>
      <c r="B228" s="3"/>
      <c r="C228" s="2"/>
      <c r="D228" s="2"/>
      <c r="E228" s="56"/>
      <c r="F228" s="56"/>
      <c r="G228" s="56"/>
      <c r="H228" s="56"/>
      <c r="I228" s="56"/>
      <c r="J228" s="2"/>
      <c r="K228" s="2"/>
      <c r="L228" s="2"/>
      <c r="M228" s="2"/>
      <c r="N228" s="2"/>
      <c r="O228" s="2"/>
      <c r="P228" s="53"/>
      <c r="Q228" s="53"/>
      <c r="R228" s="2"/>
      <c r="S228" s="2"/>
      <c r="T228" s="2"/>
    </row>
    <row r="229" spans="1:20">
      <c r="A229" s="3"/>
      <c r="B229" s="3"/>
      <c r="C229" s="2"/>
      <c r="D229" s="2"/>
      <c r="E229" s="56"/>
      <c r="F229" s="56"/>
      <c r="G229" s="56"/>
      <c r="H229" s="56"/>
      <c r="I229" s="56"/>
      <c r="J229" s="2"/>
      <c r="K229" s="2"/>
      <c r="L229" s="2"/>
      <c r="M229" s="2"/>
      <c r="N229" s="2"/>
      <c r="O229" s="2"/>
      <c r="P229" s="53"/>
      <c r="Q229" s="53"/>
      <c r="R229" s="2"/>
      <c r="S229" s="2"/>
      <c r="T229" s="2"/>
    </row>
    <row r="230" spans="1:20">
      <c r="A230" s="3"/>
      <c r="B230" s="3"/>
      <c r="C230" s="2"/>
      <c r="D230" s="2"/>
      <c r="E230" s="56"/>
      <c r="F230" s="56"/>
      <c r="G230" s="56"/>
      <c r="H230" s="56"/>
      <c r="I230" s="56"/>
      <c r="J230" s="2"/>
      <c r="K230" s="2"/>
      <c r="L230" s="2"/>
      <c r="M230" s="2"/>
      <c r="N230" s="2"/>
      <c r="O230" s="2"/>
      <c r="P230" s="53"/>
      <c r="Q230" s="53"/>
      <c r="R230" s="2"/>
      <c r="S230" s="2"/>
      <c r="T230" s="2"/>
    </row>
    <row r="231" spans="1:20">
      <c r="A231" s="3"/>
      <c r="B231" s="3"/>
      <c r="C231" s="2"/>
      <c r="D231" s="2"/>
      <c r="E231" s="56"/>
      <c r="F231" s="56"/>
      <c r="G231" s="56"/>
      <c r="H231" s="56"/>
      <c r="I231" s="56"/>
      <c r="J231" s="2"/>
      <c r="K231" s="2"/>
      <c r="L231" s="2"/>
      <c r="M231" s="2"/>
      <c r="N231" s="2"/>
      <c r="O231" s="2"/>
      <c r="P231" s="53"/>
      <c r="Q231" s="53"/>
      <c r="R231" s="2"/>
      <c r="S231" s="2"/>
      <c r="T231" s="2"/>
    </row>
    <row r="232" spans="1:20">
      <c r="A232" s="3"/>
      <c r="B232" s="3"/>
      <c r="C232" s="2"/>
      <c r="D232" s="2"/>
      <c r="E232" s="56"/>
      <c r="F232" s="56"/>
      <c r="G232" s="56"/>
      <c r="H232" s="56"/>
      <c r="I232" s="56"/>
      <c r="J232" s="2"/>
      <c r="K232" s="2"/>
      <c r="L232" s="2"/>
      <c r="M232" s="2"/>
      <c r="N232" s="2"/>
      <c r="O232" s="2"/>
      <c r="P232" s="53"/>
      <c r="Q232" s="53"/>
      <c r="R232" s="2"/>
      <c r="S232" s="2"/>
      <c r="T232" s="2"/>
    </row>
    <row r="233" spans="1:20">
      <c r="A233" s="3"/>
      <c r="B233" s="3"/>
      <c r="C233" s="2"/>
      <c r="D233" s="2"/>
      <c r="E233" s="56"/>
      <c r="F233" s="56"/>
      <c r="G233" s="56"/>
      <c r="H233" s="56"/>
      <c r="I233" s="56"/>
      <c r="J233" s="2"/>
      <c r="K233" s="2"/>
      <c r="L233" s="2"/>
      <c r="M233" s="2"/>
      <c r="N233" s="2"/>
      <c r="O233" s="2"/>
      <c r="P233" s="53"/>
      <c r="Q233" s="53"/>
      <c r="R233" s="2"/>
      <c r="S233" s="2"/>
      <c r="T233" s="2"/>
    </row>
    <row r="234" spans="1:20">
      <c r="A234" s="3"/>
      <c r="B234" s="3"/>
      <c r="C234" s="2"/>
      <c r="D234" s="2"/>
      <c r="E234" s="56"/>
      <c r="F234" s="56"/>
      <c r="G234" s="56"/>
      <c r="H234" s="56"/>
      <c r="I234" s="56"/>
      <c r="J234" s="2"/>
      <c r="K234" s="2"/>
      <c r="L234" s="2"/>
      <c r="M234" s="2"/>
      <c r="N234" s="2"/>
      <c r="O234" s="2"/>
      <c r="P234" s="53"/>
      <c r="Q234" s="53"/>
      <c r="R234" s="2"/>
      <c r="S234" s="2"/>
      <c r="T234" s="2"/>
    </row>
    <row r="235" spans="1:20">
      <c r="A235" s="3"/>
      <c r="B235" s="3"/>
      <c r="C235" s="2"/>
      <c r="D235" s="2"/>
      <c r="E235" s="56"/>
      <c r="F235" s="56"/>
      <c r="G235" s="56"/>
      <c r="H235" s="56"/>
      <c r="I235" s="56"/>
      <c r="J235" s="2"/>
      <c r="K235" s="2"/>
      <c r="L235" s="2"/>
      <c r="M235" s="2"/>
      <c r="N235" s="2"/>
      <c r="O235" s="2"/>
      <c r="P235" s="53"/>
      <c r="Q235" s="53"/>
      <c r="R235" s="2"/>
      <c r="S235" s="2"/>
      <c r="T235" s="2"/>
    </row>
    <row r="236" spans="1:20">
      <c r="A236" s="3"/>
      <c r="B236" s="3"/>
      <c r="C236" s="2"/>
      <c r="D236" s="2"/>
      <c r="E236" s="56"/>
      <c r="F236" s="56"/>
      <c r="G236" s="56"/>
      <c r="H236" s="56"/>
      <c r="I236" s="56"/>
      <c r="J236" s="2"/>
      <c r="K236" s="2"/>
      <c r="L236" s="2"/>
      <c r="M236" s="2"/>
      <c r="N236" s="2"/>
      <c r="O236" s="2"/>
      <c r="P236" s="53"/>
      <c r="Q236" s="53"/>
      <c r="R236" s="2"/>
      <c r="S236" s="2"/>
      <c r="T236" s="2"/>
    </row>
    <row r="237" spans="1:20">
      <c r="A237" s="3"/>
      <c r="B237" s="3"/>
      <c r="C237" s="2"/>
      <c r="D237" s="2"/>
      <c r="E237" s="56"/>
      <c r="F237" s="56"/>
      <c r="G237" s="56"/>
      <c r="H237" s="56"/>
      <c r="I237" s="56"/>
      <c r="J237" s="2"/>
      <c r="K237" s="2"/>
      <c r="L237" s="2"/>
      <c r="M237" s="2"/>
      <c r="N237" s="2"/>
      <c r="O237" s="2"/>
      <c r="P237" s="53"/>
      <c r="Q237" s="53"/>
      <c r="R237" s="2"/>
      <c r="S237" s="2"/>
      <c r="T237" s="2"/>
    </row>
    <row r="238" spans="1:20">
      <c r="A238" s="3"/>
      <c r="B238" s="3"/>
      <c r="C238" s="2"/>
      <c r="D238" s="2"/>
      <c r="E238" s="56"/>
      <c r="F238" s="56"/>
      <c r="G238" s="56"/>
      <c r="H238" s="56"/>
      <c r="I238" s="56"/>
      <c r="J238" s="2"/>
      <c r="K238" s="2"/>
      <c r="L238" s="2"/>
      <c r="M238" s="2"/>
      <c r="N238" s="2"/>
      <c r="O238" s="2"/>
      <c r="P238" s="53"/>
      <c r="Q238" s="53"/>
      <c r="R238" s="2"/>
      <c r="S238" s="2"/>
      <c r="T238" s="2"/>
    </row>
    <row r="239" spans="1:20">
      <c r="A239" s="3"/>
      <c r="B239" s="3"/>
      <c r="C239" s="2"/>
      <c r="D239" s="2"/>
      <c r="E239" s="56"/>
      <c r="F239" s="56"/>
      <c r="G239" s="56"/>
      <c r="H239" s="56"/>
      <c r="I239" s="56"/>
      <c r="J239" s="2"/>
      <c r="K239" s="2"/>
      <c r="L239" s="2"/>
      <c r="M239" s="2"/>
      <c r="N239" s="2"/>
      <c r="O239" s="2"/>
      <c r="P239" s="53"/>
      <c r="Q239" s="53"/>
      <c r="R239" s="2"/>
      <c r="S239" s="2"/>
      <c r="T239" s="2"/>
    </row>
    <row r="240" spans="1:20">
      <c r="A240" s="3"/>
      <c r="B240" s="3"/>
      <c r="C240" s="2"/>
      <c r="D240" s="2"/>
      <c r="E240" s="56"/>
      <c r="F240" s="56"/>
      <c r="G240" s="56"/>
      <c r="H240" s="56"/>
      <c r="I240" s="56"/>
      <c r="J240" s="2"/>
      <c r="K240" s="2"/>
      <c r="L240" s="2"/>
      <c r="M240" s="2"/>
      <c r="N240" s="2"/>
      <c r="O240" s="2"/>
      <c r="P240" s="53"/>
      <c r="Q240" s="53"/>
      <c r="R240" s="2"/>
      <c r="S240" s="2"/>
      <c r="T240" s="2"/>
    </row>
    <row r="241" spans="1:20">
      <c r="A241" s="3"/>
      <c r="B241" s="3"/>
      <c r="C241" s="2"/>
      <c r="D241" s="2"/>
      <c r="E241" s="56"/>
      <c r="F241" s="56"/>
      <c r="G241" s="56"/>
      <c r="H241" s="56"/>
      <c r="I241" s="56"/>
      <c r="J241" s="2"/>
      <c r="K241" s="2"/>
      <c r="L241" s="2"/>
      <c r="M241" s="2"/>
      <c r="N241" s="2"/>
      <c r="O241" s="2"/>
      <c r="P241" s="53"/>
      <c r="Q241" s="53"/>
      <c r="R241" s="2"/>
      <c r="S241" s="2"/>
      <c r="T241" s="2"/>
    </row>
    <row r="242" spans="1:20">
      <c r="A242" s="3"/>
      <c r="B242" s="3"/>
      <c r="C242" s="2"/>
      <c r="D242" s="2"/>
      <c r="E242" s="56"/>
      <c r="F242" s="56"/>
      <c r="G242" s="56"/>
      <c r="H242" s="56"/>
      <c r="I242" s="56"/>
      <c r="J242" s="2"/>
      <c r="K242" s="2"/>
      <c r="L242" s="2"/>
      <c r="M242" s="2"/>
      <c r="N242" s="2"/>
      <c r="O242" s="2"/>
      <c r="P242" s="53"/>
      <c r="Q242" s="53"/>
      <c r="R242" s="2"/>
      <c r="S242" s="2"/>
      <c r="T242" s="2"/>
    </row>
    <row r="243" spans="1:20">
      <c r="A243" s="3"/>
      <c r="B243" s="3"/>
      <c r="C243" s="2"/>
      <c r="D243" s="2"/>
      <c r="E243" s="56"/>
      <c r="F243" s="56"/>
      <c r="G243" s="56"/>
      <c r="H243" s="56"/>
      <c r="I243" s="56"/>
      <c r="J243" s="2"/>
      <c r="K243" s="2"/>
      <c r="L243" s="2"/>
      <c r="M243" s="2"/>
      <c r="N243" s="2"/>
      <c r="O243" s="2"/>
      <c r="P243" s="53"/>
      <c r="Q243" s="53"/>
      <c r="R243" s="2"/>
      <c r="S243" s="2"/>
      <c r="T243" s="2"/>
    </row>
    <row r="244" spans="1:20">
      <c r="A244" s="3"/>
      <c r="B244" s="3"/>
      <c r="C244" s="2"/>
      <c r="D244" s="2"/>
      <c r="E244" s="56"/>
      <c r="F244" s="56"/>
      <c r="G244" s="56"/>
      <c r="H244" s="56"/>
      <c r="I244" s="56"/>
      <c r="J244" s="2"/>
      <c r="K244" s="2"/>
      <c r="L244" s="2"/>
      <c r="M244" s="2"/>
      <c r="N244" s="2"/>
      <c r="O244" s="2"/>
      <c r="P244" s="53"/>
      <c r="Q244" s="53"/>
      <c r="R244" s="2"/>
      <c r="S244" s="2"/>
      <c r="T244" s="2"/>
    </row>
    <row r="245" spans="1:20">
      <c r="A245" s="3"/>
      <c r="B245" s="3"/>
      <c r="C245" s="2"/>
      <c r="D245" s="2"/>
      <c r="E245" s="56"/>
      <c r="F245" s="56"/>
      <c r="G245" s="56"/>
      <c r="H245" s="56"/>
      <c r="I245" s="56"/>
      <c r="J245" s="2"/>
      <c r="K245" s="2"/>
      <c r="L245" s="2"/>
      <c r="M245" s="2"/>
      <c r="N245" s="2"/>
      <c r="O245" s="2"/>
      <c r="P245" s="53"/>
      <c r="Q245" s="53"/>
      <c r="R245" s="2"/>
      <c r="S245" s="2"/>
      <c r="T245" s="2"/>
    </row>
    <row r="246" spans="1:20">
      <c r="A246" s="3"/>
      <c r="B246" s="3"/>
      <c r="C246" s="2"/>
      <c r="D246" s="2"/>
      <c r="E246" s="56"/>
      <c r="F246" s="56"/>
      <c r="G246" s="56"/>
      <c r="H246" s="56"/>
      <c r="I246" s="56"/>
      <c r="J246" s="2"/>
      <c r="K246" s="2"/>
      <c r="L246" s="2"/>
      <c r="M246" s="2"/>
      <c r="N246" s="2"/>
      <c r="O246" s="2"/>
      <c r="P246" s="53"/>
      <c r="Q246" s="53"/>
      <c r="R246" s="2"/>
      <c r="S246" s="2"/>
      <c r="T246" s="2"/>
    </row>
    <row r="247" spans="1:20">
      <c r="A247" s="3"/>
      <c r="B247" s="3"/>
      <c r="C247" s="2"/>
      <c r="D247" s="2"/>
      <c r="E247" s="56"/>
      <c r="F247" s="56"/>
      <c r="G247" s="56"/>
      <c r="H247" s="56"/>
      <c r="I247" s="56"/>
      <c r="J247" s="2"/>
      <c r="K247" s="2"/>
      <c r="L247" s="2"/>
      <c r="M247" s="2"/>
      <c r="N247" s="2"/>
      <c r="O247" s="2"/>
      <c r="P247" s="53"/>
      <c r="Q247" s="53"/>
      <c r="R247" s="2"/>
      <c r="S247" s="2"/>
      <c r="T247" s="2"/>
    </row>
    <row r="248" spans="1:20">
      <c r="A248" s="3"/>
      <c r="B248" s="3"/>
      <c r="C248" s="2"/>
      <c r="D248" s="2"/>
      <c r="E248" s="56"/>
      <c r="F248" s="56"/>
      <c r="G248" s="56"/>
      <c r="H248" s="56"/>
      <c r="I248" s="56"/>
      <c r="J248" s="2"/>
      <c r="K248" s="2"/>
      <c r="L248" s="2"/>
      <c r="M248" s="2"/>
      <c r="N248" s="2"/>
      <c r="O248" s="2"/>
      <c r="P248" s="53"/>
      <c r="Q248" s="53"/>
      <c r="R248" s="2"/>
      <c r="S248" s="2"/>
      <c r="T248" s="2"/>
    </row>
    <row r="249" spans="1:20">
      <c r="A249" s="3"/>
      <c r="B249" s="3"/>
      <c r="C249" s="2"/>
      <c r="D249" s="2"/>
      <c r="E249" s="56"/>
      <c r="F249" s="56"/>
      <c r="G249" s="56"/>
      <c r="H249" s="56"/>
      <c r="I249" s="56"/>
      <c r="J249" s="2"/>
      <c r="K249" s="2"/>
      <c r="L249" s="2"/>
      <c r="M249" s="2"/>
      <c r="N249" s="2"/>
      <c r="O249" s="2"/>
      <c r="P249" s="53"/>
      <c r="Q249" s="53"/>
      <c r="R249" s="2"/>
      <c r="S249" s="2"/>
      <c r="T249" s="2"/>
    </row>
    <row r="250" spans="1:20">
      <c r="A250" s="3"/>
      <c r="B250" s="3"/>
      <c r="C250" s="2"/>
      <c r="D250" s="2"/>
      <c r="E250" s="56"/>
      <c r="F250" s="56"/>
      <c r="G250" s="56"/>
      <c r="H250" s="56"/>
      <c r="I250" s="56"/>
      <c r="J250" s="2"/>
      <c r="K250" s="2"/>
      <c r="L250" s="2"/>
      <c r="M250" s="2"/>
      <c r="N250" s="2"/>
      <c r="O250" s="2"/>
      <c r="P250" s="53"/>
      <c r="Q250" s="53"/>
      <c r="R250" s="2"/>
      <c r="S250" s="2"/>
      <c r="T250" s="2"/>
    </row>
    <row r="251" spans="1:20">
      <c r="A251" s="3"/>
      <c r="B251" s="3"/>
      <c r="C251" s="2"/>
      <c r="D251" s="2"/>
      <c r="E251" s="56"/>
      <c r="F251" s="56"/>
      <c r="G251" s="56"/>
      <c r="H251" s="56"/>
      <c r="I251" s="56"/>
      <c r="J251" s="2"/>
      <c r="K251" s="2"/>
      <c r="L251" s="2"/>
      <c r="M251" s="2"/>
      <c r="N251" s="2"/>
      <c r="O251" s="2"/>
      <c r="P251" s="53"/>
      <c r="Q251" s="53"/>
      <c r="R251" s="2"/>
      <c r="S251" s="2"/>
      <c r="T251" s="2"/>
    </row>
    <row r="252" spans="1:20">
      <c r="A252" s="3"/>
      <c r="B252" s="3"/>
      <c r="C252" s="2"/>
      <c r="D252" s="2"/>
      <c r="E252" s="56"/>
      <c r="F252" s="56"/>
      <c r="G252" s="56"/>
      <c r="H252" s="56"/>
      <c r="I252" s="56"/>
      <c r="J252" s="2"/>
      <c r="K252" s="2"/>
      <c r="L252" s="2"/>
      <c r="M252" s="2"/>
      <c r="N252" s="2"/>
      <c r="O252" s="2"/>
      <c r="P252" s="53"/>
      <c r="Q252" s="53"/>
      <c r="R252" s="2"/>
      <c r="S252" s="2"/>
      <c r="T252" s="2"/>
    </row>
    <row r="253" spans="1:20">
      <c r="A253" s="3"/>
      <c r="B253" s="3"/>
      <c r="C253" s="2"/>
      <c r="D253" s="2"/>
      <c r="E253" s="56"/>
      <c r="F253" s="56"/>
      <c r="G253" s="56"/>
      <c r="H253" s="56"/>
      <c r="I253" s="56"/>
      <c r="J253" s="2"/>
      <c r="K253" s="2"/>
      <c r="L253" s="2"/>
      <c r="M253" s="2"/>
      <c r="N253" s="2"/>
      <c r="O253" s="2"/>
      <c r="P253" s="53"/>
      <c r="Q253" s="53"/>
      <c r="R253" s="2"/>
      <c r="S253" s="2"/>
      <c r="T253" s="2"/>
    </row>
    <row r="254" spans="1:20">
      <c r="A254" s="3"/>
      <c r="B254" s="3"/>
      <c r="C254" s="2"/>
      <c r="D254" s="2"/>
      <c r="E254" s="56"/>
      <c r="F254" s="56"/>
      <c r="G254" s="56"/>
      <c r="H254" s="56"/>
      <c r="I254" s="56"/>
      <c r="J254" s="2"/>
      <c r="K254" s="2"/>
      <c r="L254" s="2"/>
      <c r="M254" s="2"/>
      <c r="N254" s="2"/>
      <c r="O254" s="2"/>
      <c r="P254" s="53"/>
      <c r="Q254" s="53"/>
      <c r="R254" s="2"/>
      <c r="S254" s="2"/>
      <c r="T254" s="2"/>
    </row>
    <row r="255" spans="1:20">
      <c r="A255" s="3"/>
      <c r="B255" s="3"/>
      <c r="C255" s="2"/>
      <c r="D255" s="2"/>
      <c r="E255" s="56"/>
      <c r="F255" s="56"/>
      <c r="G255" s="56"/>
      <c r="H255" s="56"/>
      <c r="I255" s="56"/>
      <c r="J255" s="2"/>
      <c r="K255" s="2"/>
      <c r="L255" s="2"/>
      <c r="M255" s="2"/>
      <c r="N255" s="2"/>
      <c r="O255" s="2"/>
      <c r="P255" s="53"/>
      <c r="Q255" s="53"/>
      <c r="R255" s="2"/>
      <c r="S255" s="2"/>
      <c r="T255" s="2"/>
    </row>
    <row r="256" spans="1:20">
      <c r="A256" s="3"/>
      <c r="B256" s="3"/>
      <c r="C256" s="2"/>
      <c r="D256" s="2"/>
      <c r="E256" s="56"/>
      <c r="F256" s="56"/>
      <c r="G256" s="56"/>
      <c r="H256" s="56"/>
      <c r="I256" s="56"/>
      <c r="J256" s="2"/>
      <c r="K256" s="2"/>
      <c r="L256" s="2"/>
      <c r="M256" s="2"/>
      <c r="N256" s="2"/>
      <c r="O256" s="2"/>
      <c r="P256" s="53"/>
      <c r="Q256" s="53"/>
      <c r="R256" s="2"/>
      <c r="S256" s="2"/>
      <c r="T256" s="2"/>
    </row>
    <row r="257" spans="1:20">
      <c r="A257" s="3"/>
      <c r="B257" s="3"/>
      <c r="C257" s="2"/>
      <c r="D257" s="2"/>
      <c r="E257" s="56"/>
      <c r="F257" s="56"/>
      <c r="G257" s="56"/>
      <c r="H257" s="56"/>
      <c r="I257" s="56"/>
      <c r="J257" s="2"/>
      <c r="K257" s="2"/>
      <c r="L257" s="2"/>
      <c r="M257" s="2"/>
      <c r="N257" s="2"/>
      <c r="O257" s="2"/>
      <c r="P257" s="53"/>
      <c r="Q257" s="53"/>
      <c r="R257" s="2"/>
      <c r="S257" s="2"/>
      <c r="T257" s="2"/>
    </row>
    <row r="258" spans="1:20">
      <c r="A258" s="3"/>
      <c r="B258" s="3"/>
      <c r="C258" s="2"/>
      <c r="D258" s="2"/>
      <c r="E258" s="56"/>
      <c r="F258" s="56"/>
      <c r="G258" s="56"/>
      <c r="H258" s="56"/>
      <c r="I258" s="56"/>
      <c r="J258" s="2"/>
      <c r="K258" s="2"/>
      <c r="L258" s="2"/>
      <c r="M258" s="2"/>
      <c r="N258" s="2"/>
      <c r="O258" s="2"/>
      <c r="P258" s="53"/>
      <c r="Q258" s="53"/>
      <c r="R258" s="2"/>
      <c r="S258" s="2"/>
      <c r="T258" s="2"/>
    </row>
    <row r="259" spans="1:20">
      <c r="A259" s="3"/>
      <c r="B259" s="3"/>
      <c r="C259" s="2"/>
      <c r="D259" s="2"/>
      <c r="E259" s="56"/>
      <c r="F259" s="56"/>
      <c r="G259" s="56"/>
      <c r="H259" s="56"/>
      <c r="I259" s="56"/>
      <c r="J259" s="2"/>
      <c r="K259" s="2"/>
      <c r="L259" s="2"/>
      <c r="M259" s="2"/>
      <c r="N259" s="2"/>
      <c r="O259" s="2"/>
      <c r="P259" s="53"/>
      <c r="Q259" s="53"/>
      <c r="R259" s="2"/>
      <c r="S259" s="2"/>
      <c r="T259" s="2"/>
    </row>
    <row r="260" spans="1:20">
      <c r="A260" s="3"/>
      <c r="B260" s="3"/>
      <c r="C260" s="2"/>
      <c r="D260" s="2"/>
      <c r="E260" s="56"/>
      <c r="F260" s="56"/>
      <c r="G260" s="56"/>
      <c r="H260" s="56"/>
      <c r="I260" s="56"/>
      <c r="J260" s="2"/>
      <c r="K260" s="2"/>
      <c r="L260" s="2"/>
      <c r="M260" s="2"/>
      <c r="N260" s="2"/>
      <c r="O260" s="2"/>
      <c r="P260" s="53"/>
      <c r="Q260" s="53"/>
      <c r="R260" s="2"/>
      <c r="S260" s="2"/>
      <c r="T260" s="2"/>
    </row>
    <row r="261" spans="1:20">
      <c r="A261" s="3"/>
      <c r="B261" s="3"/>
      <c r="C261" s="2"/>
      <c r="D261" s="2"/>
      <c r="E261" s="56"/>
      <c r="F261" s="56"/>
      <c r="G261" s="56"/>
      <c r="H261" s="56"/>
      <c r="I261" s="56"/>
      <c r="J261" s="2"/>
      <c r="K261" s="2"/>
      <c r="L261" s="2"/>
      <c r="M261" s="2"/>
      <c r="N261" s="2"/>
      <c r="O261" s="2"/>
      <c r="P261" s="53"/>
      <c r="Q261" s="53"/>
      <c r="R261" s="2"/>
      <c r="S261" s="2"/>
      <c r="T261" s="2"/>
    </row>
    <row r="262" spans="1:20">
      <c r="A262" s="3"/>
      <c r="B262" s="3"/>
      <c r="C262" s="2"/>
      <c r="D262" s="2"/>
      <c r="E262" s="56"/>
      <c r="F262" s="56"/>
      <c r="G262" s="56"/>
      <c r="H262" s="56"/>
      <c r="I262" s="56"/>
      <c r="J262" s="2"/>
      <c r="K262" s="2"/>
      <c r="L262" s="2"/>
      <c r="M262" s="2"/>
      <c r="N262" s="2"/>
      <c r="O262" s="2"/>
      <c r="P262" s="53"/>
      <c r="Q262" s="53"/>
      <c r="R262" s="2"/>
      <c r="S262" s="2"/>
      <c r="T262" s="2"/>
    </row>
    <row r="263" spans="1:20">
      <c r="A263" s="3"/>
      <c r="B263" s="3"/>
      <c r="C263" s="2"/>
      <c r="D263" s="2"/>
      <c r="E263" s="56"/>
      <c r="F263" s="56"/>
      <c r="G263" s="56"/>
      <c r="H263" s="56"/>
      <c r="I263" s="56"/>
      <c r="J263" s="2"/>
      <c r="K263" s="2"/>
      <c r="L263" s="2"/>
      <c r="M263" s="2"/>
      <c r="N263" s="2"/>
      <c r="O263" s="2"/>
      <c r="P263" s="53"/>
      <c r="Q263" s="53"/>
      <c r="R263" s="2"/>
      <c r="S263" s="2"/>
      <c r="T263" s="2"/>
    </row>
    <row r="264" spans="1:20">
      <c r="A264" s="3"/>
      <c r="B264" s="3"/>
      <c r="C264" s="2"/>
      <c r="D264" s="2"/>
      <c r="E264" s="56"/>
      <c r="F264" s="56"/>
      <c r="G264" s="56"/>
      <c r="H264" s="56"/>
      <c r="I264" s="56"/>
      <c r="J264" s="2"/>
      <c r="K264" s="2"/>
      <c r="L264" s="2"/>
      <c r="M264" s="2"/>
      <c r="N264" s="2"/>
      <c r="O264" s="2"/>
      <c r="P264" s="53"/>
      <c r="Q264" s="53"/>
      <c r="R264" s="2"/>
      <c r="S264" s="2"/>
      <c r="T264" s="2"/>
    </row>
    <row r="265" spans="1:20">
      <c r="A265" s="3"/>
      <c r="B265" s="3"/>
      <c r="C265" s="2"/>
      <c r="D265" s="2"/>
      <c r="E265" s="56"/>
      <c r="F265" s="56"/>
      <c r="G265" s="56"/>
      <c r="H265" s="56"/>
      <c r="I265" s="56"/>
      <c r="J265" s="2"/>
      <c r="K265" s="2"/>
      <c r="L265" s="2"/>
      <c r="M265" s="2"/>
      <c r="N265" s="2"/>
      <c r="O265" s="2"/>
      <c r="P265" s="53"/>
      <c r="Q265" s="53"/>
      <c r="R265" s="2"/>
      <c r="S265" s="2"/>
      <c r="T265" s="2"/>
    </row>
    <row r="266" spans="1:20">
      <c r="A266" s="3"/>
      <c r="B266" s="3"/>
      <c r="C266" s="2"/>
      <c r="D266" s="2"/>
      <c r="E266" s="56"/>
      <c r="F266" s="56"/>
      <c r="G266" s="56"/>
      <c r="H266" s="56"/>
      <c r="I266" s="56"/>
      <c r="J266" s="2"/>
      <c r="K266" s="2"/>
      <c r="L266" s="2"/>
      <c r="M266" s="2"/>
      <c r="N266" s="2"/>
      <c r="O266" s="2"/>
      <c r="P266" s="53"/>
      <c r="Q266" s="53"/>
      <c r="R266" s="2"/>
      <c r="S266" s="2"/>
      <c r="T266" s="2"/>
    </row>
    <row r="267" spans="1:20">
      <c r="A267" s="3"/>
      <c r="B267" s="3"/>
      <c r="C267" s="2"/>
      <c r="D267" s="2"/>
      <c r="E267" s="56"/>
      <c r="F267" s="56"/>
      <c r="G267" s="56"/>
      <c r="H267" s="56"/>
      <c r="I267" s="56"/>
      <c r="J267" s="2"/>
      <c r="K267" s="2"/>
      <c r="L267" s="2"/>
      <c r="M267" s="2"/>
      <c r="N267" s="2"/>
      <c r="O267" s="2"/>
      <c r="P267" s="53"/>
      <c r="Q267" s="53"/>
      <c r="R267" s="2"/>
      <c r="S267" s="2"/>
      <c r="T267" s="2"/>
    </row>
    <row r="268" spans="1:20">
      <c r="A268" s="3"/>
      <c r="B268" s="3"/>
      <c r="C268" s="2"/>
      <c r="D268" s="2"/>
      <c r="E268" s="56"/>
      <c r="F268" s="56"/>
      <c r="G268" s="56"/>
      <c r="H268" s="56"/>
      <c r="I268" s="56"/>
      <c r="J268" s="2"/>
      <c r="K268" s="2"/>
      <c r="L268" s="2"/>
      <c r="M268" s="2"/>
      <c r="N268" s="2"/>
      <c r="O268" s="2"/>
      <c r="P268" s="53"/>
      <c r="Q268" s="53"/>
      <c r="R268" s="2"/>
      <c r="S268" s="2"/>
      <c r="T268" s="2"/>
    </row>
    <row r="269" spans="1:20">
      <c r="A269" s="3"/>
      <c r="B269" s="3"/>
      <c r="C269" s="2"/>
      <c r="D269" s="2"/>
      <c r="E269" s="56"/>
      <c r="F269" s="56"/>
      <c r="G269" s="56"/>
      <c r="H269" s="56"/>
      <c r="I269" s="56"/>
      <c r="J269" s="2"/>
      <c r="K269" s="2"/>
      <c r="L269" s="2"/>
      <c r="M269" s="2"/>
      <c r="N269" s="2"/>
      <c r="O269" s="2"/>
      <c r="P269" s="53"/>
      <c r="Q269" s="53"/>
      <c r="R269" s="2"/>
      <c r="S269" s="2"/>
      <c r="T269" s="2"/>
    </row>
    <row r="270" spans="1:20">
      <c r="A270" s="3"/>
      <c r="B270" s="3"/>
      <c r="C270" s="2"/>
      <c r="D270" s="2"/>
      <c r="E270" s="56"/>
      <c r="F270" s="56"/>
      <c r="G270" s="56"/>
      <c r="H270" s="56"/>
      <c r="I270" s="56"/>
      <c r="J270" s="2"/>
      <c r="K270" s="2"/>
      <c r="L270" s="2"/>
      <c r="M270" s="2"/>
      <c r="N270" s="2"/>
      <c r="O270" s="2"/>
      <c r="P270" s="53"/>
      <c r="Q270" s="53"/>
      <c r="R270" s="2"/>
      <c r="S270" s="2"/>
      <c r="T270" s="2"/>
    </row>
    <row r="271" spans="1:20">
      <c r="A271" s="3"/>
      <c r="B271" s="3"/>
      <c r="C271" s="2"/>
      <c r="D271" s="2"/>
      <c r="E271" s="56"/>
      <c r="F271" s="56"/>
      <c r="G271" s="56"/>
      <c r="H271" s="56"/>
      <c r="I271" s="56"/>
      <c r="J271" s="2"/>
      <c r="K271" s="2"/>
      <c r="L271" s="2"/>
      <c r="M271" s="2"/>
      <c r="N271" s="2"/>
      <c r="O271" s="2"/>
      <c r="P271" s="53"/>
      <c r="Q271" s="53"/>
      <c r="R271" s="2"/>
      <c r="S271" s="2"/>
      <c r="T271" s="2"/>
    </row>
    <row r="272" spans="1:20">
      <c r="A272" s="3"/>
      <c r="B272" s="3"/>
      <c r="C272" s="2"/>
      <c r="D272" s="2"/>
      <c r="E272" s="56"/>
      <c r="F272" s="56"/>
      <c r="G272" s="56"/>
      <c r="H272" s="56"/>
      <c r="I272" s="56"/>
      <c r="J272" s="2"/>
      <c r="K272" s="2"/>
      <c r="L272" s="2"/>
      <c r="M272" s="2"/>
      <c r="N272" s="2"/>
      <c r="O272" s="2"/>
      <c r="P272" s="53"/>
      <c r="Q272" s="53"/>
      <c r="R272" s="2"/>
      <c r="S272" s="2"/>
      <c r="T272" s="2"/>
    </row>
    <row r="273" spans="1:20">
      <c r="A273" s="3"/>
      <c r="B273" s="3"/>
      <c r="C273" s="2"/>
      <c r="D273" s="2"/>
      <c r="E273" s="56"/>
      <c r="F273" s="56"/>
      <c r="G273" s="56"/>
      <c r="H273" s="56"/>
      <c r="I273" s="56"/>
      <c r="J273" s="2"/>
      <c r="K273" s="2"/>
      <c r="L273" s="2"/>
      <c r="M273" s="2"/>
      <c r="N273" s="2"/>
      <c r="O273" s="2"/>
      <c r="P273" s="53"/>
      <c r="Q273" s="53"/>
      <c r="R273" s="2"/>
      <c r="S273" s="2"/>
      <c r="T273" s="2"/>
    </row>
    <row r="274" spans="1:20">
      <c r="A274" s="3"/>
      <c r="B274" s="3"/>
      <c r="C274" s="2"/>
      <c r="D274" s="2"/>
      <c r="E274" s="56"/>
      <c r="F274" s="56"/>
      <c r="G274" s="56"/>
      <c r="H274" s="56"/>
      <c r="I274" s="56"/>
      <c r="J274" s="2"/>
      <c r="K274" s="2"/>
      <c r="L274" s="2"/>
      <c r="M274" s="2"/>
      <c r="N274" s="2"/>
      <c r="O274" s="2"/>
      <c r="P274" s="53"/>
      <c r="Q274" s="53"/>
      <c r="R274" s="2"/>
      <c r="S274" s="2"/>
      <c r="T274" s="2"/>
    </row>
    <row r="275" spans="1:20">
      <c r="A275" s="3"/>
      <c r="B275" s="3"/>
      <c r="C275" s="2"/>
      <c r="D275" s="2"/>
      <c r="E275" s="56"/>
      <c r="F275" s="56"/>
      <c r="G275" s="56"/>
      <c r="H275" s="56"/>
      <c r="I275" s="56"/>
      <c r="J275" s="2"/>
      <c r="K275" s="2"/>
      <c r="L275" s="2"/>
      <c r="M275" s="2"/>
      <c r="N275" s="2"/>
      <c r="O275" s="2"/>
      <c r="P275" s="53"/>
      <c r="Q275" s="53"/>
      <c r="R275" s="2"/>
      <c r="S275" s="2"/>
      <c r="T275" s="2"/>
    </row>
    <row r="276" spans="1:20">
      <c r="A276" s="3"/>
      <c r="B276" s="3"/>
      <c r="C276" s="2"/>
      <c r="D276" s="2"/>
      <c r="E276" s="56"/>
      <c r="F276" s="56"/>
      <c r="G276" s="56"/>
      <c r="H276" s="56"/>
      <c r="I276" s="56"/>
      <c r="J276" s="2"/>
      <c r="K276" s="2"/>
      <c r="L276" s="2"/>
      <c r="M276" s="2"/>
      <c r="N276" s="2"/>
      <c r="O276" s="2"/>
      <c r="P276" s="53"/>
      <c r="Q276" s="53"/>
      <c r="R276" s="2"/>
      <c r="S276" s="2"/>
      <c r="T276" s="2"/>
    </row>
    <row r="277" spans="1:20">
      <c r="A277" s="3"/>
      <c r="B277" s="3"/>
      <c r="C277" s="2"/>
      <c r="D277" s="2"/>
      <c r="E277" s="56"/>
      <c r="F277" s="56"/>
      <c r="G277" s="56"/>
      <c r="H277" s="56"/>
      <c r="I277" s="56"/>
      <c r="J277" s="2"/>
      <c r="K277" s="2"/>
      <c r="L277" s="2"/>
      <c r="M277" s="2"/>
      <c r="N277" s="2"/>
      <c r="O277" s="2"/>
      <c r="P277" s="53"/>
      <c r="Q277" s="53"/>
      <c r="R277" s="2"/>
      <c r="S277" s="2"/>
      <c r="T277" s="2"/>
    </row>
    <row r="278" spans="1:20">
      <c r="A278" s="3"/>
      <c r="B278" s="3"/>
      <c r="C278" s="2"/>
      <c r="D278" s="2"/>
      <c r="E278" s="56"/>
      <c r="F278" s="56"/>
      <c r="G278" s="56"/>
      <c r="H278" s="56"/>
      <c r="I278" s="56"/>
      <c r="J278" s="2"/>
      <c r="K278" s="2"/>
      <c r="L278" s="2"/>
      <c r="M278" s="2"/>
      <c r="N278" s="2"/>
      <c r="O278" s="2"/>
      <c r="P278" s="53"/>
      <c r="Q278" s="53"/>
      <c r="R278" s="2"/>
      <c r="S278" s="2"/>
      <c r="T278" s="2"/>
    </row>
    <row r="279" spans="1:20">
      <c r="A279" s="3"/>
      <c r="B279" s="3"/>
      <c r="C279" s="2"/>
      <c r="D279" s="2"/>
      <c r="E279" s="56"/>
      <c r="F279" s="56"/>
      <c r="G279" s="56"/>
      <c r="H279" s="56"/>
      <c r="I279" s="56"/>
      <c r="J279" s="2"/>
      <c r="K279" s="2"/>
      <c r="L279" s="2"/>
      <c r="M279" s="2"/>
      <c r="N279" s="2"/>
      <c r="O279" s="2"/>
      <c r="P279" s="53"/>
      <c r="Q279" s="53"/>
      <c r="R279" s="2"/>
      <c r="S279" s="2"/>
      <c r="T279" s="2"/>
    </row>
    <row r="280" spans="1:20">
      <c r="A280" s="3"/>
      <c r="B280" s="3"/>
      <c r="C280" s="2"/>
      <c r="D280" s="2"/>
      <c r="E280" s="56"/>
      <c r="F280" s="56"/>
      <c r="G280" s="56"/>
      <c r="H280" s="56"/>
      <c r="I280" s="56"/>
      <c r="J280" s="2"/>
      <c r="K280" s="2"/>
      <c r="L280" s="2"/>
      <c r="M280" s="2"/>
      <c r="N280" s="2"/>
      <c r="O280" s="2"/>
      <c r="P280" s="53"/>
      <c r="Q280" s="53"/>
      <c r="R280" s="2"/>
      <c r="S280" s="2"/>
      <c r="T280" s="2"/>
    </row>
    <row r="281" spans="1:20">
      <c r="A281" s="3"/>
      <c r="B281" s="3"/>
      <c r="C281" s="2"/>
      <c r="D281" s="2"/>
      <c r="E281" s="56"/>
      <c r="F281" s="56"/>
      <c r="G281" s="56"/>
      <c r="H281" s="56"/>
      <c r="I281" s="56"/>
      <c r="J281" s="2"/>
      <c r="K281" s="2"/>
      <c r="L281" s="2"/>
      <c r="M281" s="2"/>
      <c r="N281" s="2"/>
      <c r="O281" s="2"/>
      <c r="P281" s="53"/>
      <c r="Q281" s="53"/>
      <c r="R281" s="2"/>
      <c r="S281" s="2"/>
      <c r="T281" s="2"/>
    </row>
    <row r="282" spans="1:20">
      <c r="A282" s="3"/>
      <c r="B282" s="3"/>
      <c r="C282" s="2"/>
      <c r="D282" s="2"/>
      <c r="E282" s="56"/>
      <c r="F282" s="56"/>
      <c r="G282" s="56"/>
      <c r="H282" s="56"/>
      <c r="I282" s="56"/>
      <c r="J282" s="2"/>
      <c r="K282" s="2"/>
      <c r="L282" s="2"/>
      <c r="M282" s="2"/>
      <c r="N282" s="2"/>
      <c r="O282" s="2"/>
      <c r="P282" s="53"/>
      <c r="Q282" s="53"/>
      <c r="R282" s="2"/>
      <c r="S282" s="2"/>
      <c r="T282" s="2"/>
    </row>
    <row r="283" spans="1:20">
      <c r="A283" s="3"/>
      <c r="B283" s="3"/>
      <c r="C283" s="2"/>
      <c r="D283" s="2"/>
      <c r="E283" s="56"/>
      <c r="F283" s="56"/>
      <c r="G283" s="56"/>
      <c r="H283" s="56"/>
      <c r="I283" s="56"/>
      <c r="J283" s="2"/>
      <c r="K283" s="2"/>
      <c r="L283" s="2"/>
      <c r="M283" s="2"/>
      <c r="N283" s="2"/>
      <c r="O283" s="2"/>
      <c r="P283" s="53"/>
      <c r="Q283" s="53"/>
      <c r="R283" s="2"/>
      <c r="S283" s="2"/>
      <c r="T283" s="2"/>
    </row>
    <row r="284" spans="1:20">
      <c r="A284" s="3"/>
      <c r="B284" s="3"/>
      <c r="C284" s="2"/>
      <c r="D284" s="2"/>
      <c r="E284" s="56"/>
      <c r="F284" s="56"/>
      <c r="G284" s="56"/>
      <c r="H284" s="56"/>
      <c r="I284" s="56"/>
      <c r="J284" s="2"/>
      <c r="K284" s="2"/>
      <c r="L284" s="2"/>
      <c r="M284" s="2"/>
      <c r="N284" s="2"/>
      <c r="O284" s="2"/>
      <c r="P284" s="53"/>
      <c r="Q284" s="53"/>
      <c r="R284" s="2"/>
      <c r="S284" s="2"/>
      <c r="T284" s="2"/>
    </row>
    <row r="285" spans="1:20">
      <c r="A285" s="3"/>
      <c r="B285" s="3"/>
      <c r="C285" s="2"/>
      <c r="D285" s="2"/>
      <c r="E285" s="56"/>
      <c r="F285" s="56"/>
      <c r="G285" s="56"/>
      <c r="H285" s="56"/>
      <c r="I285" s="56"/>
      <c r="J285" s="2"/>
      <c r="K285" s="2"/>
      <c r="L285" s="2"/>
      <c r="M285" s="2"/>
      <c r="N285" s="2"/>
      <c r="O285" s="2"/>
      <c r="P285" s="53"/>
      <c r="Q285" s="53"/>
      <c r="R285" s="2"/>
      <c r="S285" s="2"/>
      <c r="T285" s="2"/>
    </row>
    <row r="286" spans="1:20">
      <c r="A286" s="3"/>
      <c r="B286" s="3"/>
      <c r="C286" s="2"/>
      <c r="D286" s="2"/>
      <c r="E286" s="56"/>
      <c r="F286" s="56"/>
      <c r="G286" s="56"/>
      <c r="H286" s="56"/>
      <c r="I286" s="56"/>
      <c r="J286" s="2"/>
      <c r="K286" s="2"/>
      <c r="L286" s="2"/>
      <c r="M286" s="2"/>
      <c r="N286" s="2"/>
      <c r="O286" s="2"/>
      <c r="P286" s="53"/>
      <c r="Q286" s="53"/>
      <c r="R286" s="2"/>
      <c r="S286" s="2"/>
      <c r="T286" s="2"/>
    </row>
    <row r="287" spans="1:20">
      <c r="A287" s="3"/>
      <c r="B287" s="3"/>
      <c r="C287" s="2"/>
      <c r="D287" s="2"/>
      <c r="E287" s="56"/>
      <c r="F287" s="56"/>
      <c r="G287" s="56"/>
      <c r="H287" s="56"/>
      <c r="I287" s="56"/>
      <c r="J287" s="2"/>
      <c r="K287" s="2"/>
      <c r="L287" s="2"/>
      <c r="M287" s="2"/>
      <c r="N287" s="2"/>
      <c r="O287" s="2"/>
      <c r="P287" s="53"/>
      <c r="Q287" s="53"/>
      <c r="R287" s="2"/>
      <c r="S287" s="2"/>
      <c r="T287" s="2"/>
    </row>
    <row r="288" spans="1:20">
      <c r="A288" s="3"/>
      <c r="B288" s="3"/>
      <c r="C288" s="2"/>
      <c r="D288" s="2"/>
      <c r="E288" s="56"/>
      <c r="F288" s="56"/>
      <c r="G288" s="56"/>
      <c r="H288" s="56"/>
      <c r="I288" s="56"/>
      <c r="J288" s="2"/>
      <c r="K288" s="2"/>
      <c r="L288" s="2"/>
      <c r="M288" s="2"/>
      <c r="N288" s="2"/>
      <c r="O288" s="2"/>
      <c r="P288" s="53"/>
      <c r="Q288" s="53"/>
      <c r="R288" s="2"/>
      <c r="S288" s="2"/>
      <c r="T288" s="2"/>
    </row>
    <row r="289" spans="1:20">
      <c r="A289" s="3"/>
      <c r="B289" s="3"/>
      <c r="C289" s="2"/>
      <c r="D289" s="2"/>
      <c r="E289" s="56"/>
      <c r="F289" s="56"/>
      <c r="G289" s="56"/>
      <c r="H289" s="56"/>
      <c r="I289" s="56"/>
      <c r="J289" s="2"/>
      <c r="K289" s="2"/>
      <c r="L289" s="2"/>
      <c r="M289" s="2"/>
      <c r="N289" s="2"/>
      <c r="O289" s="2"/>
      <c r="P289" s="53"/>
      <c r="Q289" s="53"/>
      <c r="R289" s="2"/>
      <c r="S289" s="2"/>
      <c r="T289" s="2"/>
    </row>
    <row r="290" spans="1:20">
      <c r="A290" s="3"/>
      <c r="B290" s="3"/>
      <c r="C290" s="2"/>
      <c r="D290" s="2"/>
      <c r="E290" s="56"/>
      <c r="F290" s="56"/>
      <c r="G290" s="56"/>
      <c r="H290" s="56"/>
      <c r="I290" s="56"/>
      <c r="J290" s="2"/>
      <c r="K290" s="2"/>
      <c r="L290" s="2"/>
      <c r="M290" s="2"/>
      <c r="N290" s="2"/>
      <c r="O290" s="2"/>
      <c r="P290" s="53"/>
      <c r="Q290" s="53"/>
      <c r="R290" s="2"/>
      <c r="S290" s="2"/>
      <c r="T290" s="2"/>
    </row>
    <row r="291" spans="1:20">
      <c r="A291" s="3"/>
      <c r="B291" s="3"/>
      <c r="C291" s="2"/>
      <c r="D291" s="2"/>
      <c r="E291" s="56"/>
      <c r="F291" s="56"/>
      <c r="G291" s="56"/>
      <c r="H291" s="56"/>
      <c r="I291" s="56"/>
      <c r="J291" s="2"/>
      <c r="K291" s="2"/>
      <c r="L291" s="2"/>
      <c r="M291" s="2"/>
      <c r="N291" s="2"/>
      <c r="O291" s="2"/>
      <c r="P291" s="53"/>
      <c r="Q291" s="53"/>
      <c r="R291" s="2"/>
      <c r="S291" s="2"/>
      <c r="T291" s="2"/>
    </row>
    <row r="292" spans="1:20">
      <c r="A292" s="3"/>
      <c r="B292" s="3"/>
      <c r="C292" s="2"/>
      <c r="D292" s="2"/>
      <c r="E292" s="56"/>
      <c r="F292" s="56"/>
      <c r="G292" s="56"/>
      <c r="H292" s="56"/>
      <c r="I292" s="56"/>
      <c r="J292" s="2"/>
      <c r="K292" s="2"/>
      <c r="L292" s="2"/>
      <c r="M292" s="2"/>
      <c r="N292" s="2"/>
      <c r="O292" s="2"/>
      <c r="P292" s="53"/>
      <c r="Q292" s="53"/>
      <c r="R292" s="2"/>
      <c r="S292" s="2"/>
      <c r="T292" s="2"/>
    </row>
    <row r="293" spans="1:20">
      <c r="A293" s="3"/>
      <c r="B293" s="3"/>
      <c r="C293" s="2"/>
      <c r="D293" s="2"/>
      <c r="E293" s="56"/>
      <c r="F293" s="56"/>
      <c r="G293" s="56"/>
      <c r="H293" s="56"/>
      <c r="I293" s="56"/>
      <c r="J293" s="2"/>
      <c r="K293" s="2"/>
      <c r="L293" s="2"/>
      <c r="M293" s="2"/>
      <c r="N293" s="2"/>
      <c r="O293" s="2"/>
      <c r="P293" s="53"/>
      <c r="Q293" s="53"/>
      <c r="R293" s="2"/>
      <c r="S293" s="2"/>
      <c r="T293" s="2"/>
    </row>
    <row r="294" spans="1:20">
      <c r="A294" s="3"/>
      <c r="B294" s="3"/>
      <c r="C294" s="2"/>
      <c r="D294" s="2"/>
      <c r="E294" s="56"/>
      <c r="F294" s="56"/>
      <c r="G294" s="56"/>
      <c r="H294" s="56"/>
      <c r="I294" s="56"/>
      <c r="J294" s="2"/>
      <c r="K294" s="2"/>
      <c r="L294" s="2"/>
      <c r="M294" s="2"/>
      <c r="N294" s="2"/>
      <c r="O294" s="2"/>
      <c r="P294" s="53"/>
      <c r="Q294" s="53"/>
      <c r="R294" s="2"/>
      <c r="S294" s="2"/>
      <c r="T294" s="2"/>
    </row>
    <row r="295" spans="1:20">
      <c r="A295" s="3"/>
      <c r="B295" s="3"/>
      <c r="C295" s="2"/>
      <c r="D295" s="2"/>
      <c r="E295" s="56"/>
      <c r="F295" s="56"/>
      <c r="G295" s="56"/>
      <c r="H295" s="56"/>
      <c r="I295" s="56"/>
      <c r="J295" s="2"/>
      <c r="K295" s="2"/>
      <c r="L295" s="2"/>
      <c r="M295" s="2"/>
      <c r="N295" s="2"/>
      <c r="O295" s="2"/>
      <c r="P295" s="53"/>
      <c r="Q295" s="53"/>
      <c r="R295" s="2"/>
      <c r="S295" s="2"/>
      <c r="T295" s="2"/>
    </row>
    <row r="296" spans="1:20">
      <c r="A296" s="3"/>
      <c r="B296" s="3"/>
      <c r="C296" s="2"/>
      <c r="D296" s="2"/>
      <c r="E296" s="56"/>
      <c r="F296" s="56"/>
      <c r="G296" s="56"/>
      <c r="H296" s="56"/>
      <c r="I296" s="56"/>
      <c r="J296" s="2"/>
      <c r="K296" s="2"/>
      <c r="L296" s="2"/>
      <c r="M296" s="2"/>
      <c r="N296" s="2"/>
      <c r="O296" s="2"/>
      <c r="P296" s="53"/>
      <c r="Q296" s="53"/>
      <c r="R296" s="2"/>
      <c r="S296" s="2"/>
      <c r="T296" s="2"/>
    </row>
    <row r="297" spans="1:20">
      <c r="A297" s="3"/>
      <c r="B297" s="3"/>
      <c r="C297" s="2"/>
      <c r="D297" s="2"/>
      <c r="E297" s="56"/>
      <c r="F297" s="56"/>
      <c r="G297" s="56"/>
      <c r="H297" s="56"/>
      <c r="I297" s="56"/>
      <c r="J297" s="2"/>
      <c r="K297" s="2"/>
      <c r="L297" s="2"/>
      <c r="M297" s="2"/>
      <c r="N297" s="2"/>
      <c r="O297" s="2"/>
      <c r="P297" s="53"/>
      <c r="Q297" s="53"/>
      <c r="R297" s="2"/>
      <c r="S297" s="2"/>
      <c r="T297" s="2"/>
    </row>
    <row r="298" spans="1:20">
      <c r="A298" s="3"/>
      <c r="B298" s="3"/>
      <c r="C298" s="2"/>
      <c r="D298" s="2"/>
      <c r="E298" s="56"/>
      <c r="F298" s="56"/>
      <c r="G298" s="56"/>
      <c r="H298" s="56"/>
      <c r="I298" s="56"/>
      <c r="J298" s="2"/>
      <c r="K298" s="2"/>
      <c r="L298" s="2"/>
      <c r="M298" s="2"/>
      <c r="N298" s="2"/>
      <c r="O298" s="2"/>
      <c r="P298" s="53"/>
      <c r="Q298" s="53"/>
      <c r="R298" s="2"/>
      <c r="S298" s="2"/>
      <c r="T298" s="2"/>
    </row>
    <row r="299" spans="1:20">
      <c r="A299" s="3"/>
      <c r="B299" s="3"/>
      <c r="C299" s="2"/>
      <c r="D299" s="2"/>
      <c r="E299" s="56"/>
      <c r="F299" s="56"/>
      <c r="G299" s="56"/>
      <c r="H299" s="56"/>
      <c r="I299" s="56"/>
      <c r="J299" s="2"/>
      <c r="K299" s="2"/>
      <c r="L299" s="2"/>
      <c r="M299" s="2"/>
      <c r="N299" s="2"/>
      <c r="O299" s="2"/>
      <c r="P299" s="53"/>
      <c r="Q299" s="53"/>
      <c r="R299" s="2"/>
      <c r="S299" s="2"/>
      <c r="T299" s="2"/>
    </row>
    <row r="300" spans="1:20">
      <c r="A300" s="3"/>
      <c r="B300" s="3"/>
      <c r="C300" s="2"/>
      <c r="D300" s="2"/>
      <c r="E300" s="56"/>
      <c r="F300" s="56"/>
      <c r="G300" s="56"/>
      <c r="H300" s="56"/>
      <c r="I300" s="56"/>
      <c r="J300" s="2"/>
      <c r="K300" s="2"/>
      <c r="L300" s="2"/>
      <c r="M300" s="2"/>
      <c r="N300" s="2"/>
      <c r="O300" s="2"/>
      <c r="P300" s="53"/>
      <c r="Q300" s="53"/>
      <c r="R300" s="2"/>
      <c r="S300" s="2"/>
      <c r="T300" s="2"/>
    </row>
    <row r="301" spans="1:20">
      <c r="A301" s="3"/>
      <c r="B301" s="3"/>
      <c r="C301" s="2"/>
      <c r="D301" s="2"/>
      <c r="E301" s="56"/>
      <c r="F301" s="56"/>
      <c r="G301" s="56"/>
      <c r="H301" s="56"/>
      <c r="I301" s="56"/>
      <c r="J301" s="2"/>
      <c r="K301" s="2"/>
      <c r="L301" s="2"/>
      <c r="M301" s="2"/>
      <c r="N301" s="2"/>
      <c r="O301" s="2"/>
      <c r="P301" s="53"/>
      <c r="Q301" s="53"/>
      <c r="R301" s="2"/>
      <c r="S301" s="2"/>
      <c r="T301" s="2"/>
    </row>
    <row r="302" spans="1:20">
      <c r="A302" s="3"/>
      <c r="B302" s="3"/>
      <c r="C302" s="2"/>
      <c r="D302" s="2"/>
      <c r="E302" s="56"/>
      <c r="F302" s="56"/>
      <c r="G302" s="56"/>
      <c r="H302" s="56"/>
      <c r="I302" s="56"/>
      <c r="J302" s="2"/>
      <c r="K302" s="2"/>
      <c r="L302" s="2"/>
      <c r="M302" s="2"/>
      <c r="N302" s="2"/>
      <c r="O302" s="2"/>
      <c r="P302" s="53"/>
      <c r="Q302" s="53"/>
      <c r="R302" s="2"/>
      <c r="S302" s="2"/>
      <c r="T302" s="2"/>
    </row>
    <row r="303" spans="1:20">
      <c r="A303" s="3"/>
      <c r="B303" s="3"/>
      <c r="C303" s="2"/>
      <c r="D303" s="2"/>
      <c r="E303" s="56"/>
      <c r="F303" s="56"/>
      <c r="G303" s="56"/>
      <c r="H303" s="56"/>
      <c r="I303" s="56"/>
      <c r="J303" s="2"/>
      <c r="K303" s="2"/>
      <c r="L303" s="2"/>
      <c r="M303" s="2"/>
      <c r="N303" s="2"/>
      <c r="O303" s="2"/>
      <c r="P303" s="53"/>
      <c r="Q303" s="53"/>
      <c r="R303" s="2"/>
      <c r="S303" s="2"/>
      <c r="T303" s="2"/>
    </row>
    <row r="304" spans="1:20">
      <c r="A304" s="3"/>
      <c r="B304" s="3"/>
      <c r="C304" s="2"/>
      <c r="D304" s="2"/>
      <c r="E304" s="56"/>
      <c r="F304" s="56"/>
      <c r="G304" s="56"/>
      <c r="H304" s="56"/>
      <c r="I304" s="56"/>
      <c r="J304" s="2"/>
      <c r="K304" s="2"/>
      <c r="L304" s="2"/>
      <c r="M304" s="2"/>
      <c r="N304" s="2"/>
      <c r="O304" s="2"/>
      <c r="P304" s="53"/>
      <c r="Q304" s="53"/>
      <c r="R304" s="2"/>
      <c r="S304" s="2"/>
      <c r="T304" s="2"/>
    </row>
    <row r="305" spans="1:20">
      <c r="A305" s="3"/>
      <c r="B305" s="3"/>
      <c r="C305" s="2"/>
      <c r="D305" s="2"/>
      <c r="E305" s="56"/>
      <c r="F305" s="56"/>
      <c r="G305" s="56"/>
      <c r="H305" s="56"/>
      <c r="I305" s="56"/>
      <c r="J305" s="2"/>
      <c r="K305" s="2"/>
      <c r="L305" s="2"/>
      <c r="M305" s="2"/>
      <c r="N305" s="2"/>
      <c r="O305" s="2"/>
      <c r="P305" s="53"/>
      <c r="Q305" s="53"/>
      <c r="R305" s="2"/>
      <c r="S305" s="2"/>
      <c r="T305" s="2"/>
    </row>
    <row r="306" spans="1:20">
      <c r="A306" s="3"/>
      <c r="B306" s="3"/>
      <c r="C306" s="2"/>
      <c r="D306" s="2"/>
      <c r="E306" s="56"/>
      <c r="F306" s="56"/>
      <c r="G306" s="56"/>
      <c r="H306" s="56"/>
      <c r="I306" s="56"/>
      <c r="J306" s="2"/>
      <c r="K306" s="2"/>
      <c r="L306" s="2"/>
      <c r="M306" s="2"/>
      <c r="N306" s="2"/>
      <c r="O306" s="2"/>
      <c r="P306" s="53"/>
      <c r="Q306" s="53"/>
      <c r="R306" s="2"/>
      <c r="S306" s="2"/>
      <c r="T306" s="2"/>
    </row>
    <row r="307" spans="1:20">
      <c r="A307" s="3"/>
      <c r="B307" s="3"/>
      <c r="C307" s="2"/>
      <c r="D307" s="2"/>
      <c r="E307" s="56"/>
      <c r="F307" s="56"/>
      <c r="G307" s="56"/>
      <c r="H307" s="56"/>
      <c r="I307" s="56"/>
      <c r="J307" s="2"/>
      <c r="K307" s="2"/>
      <c r="L307" s="2"/>
      <c r="M307" s="2"/>
      <c r="N307" s="2"/>
      <c r="O307" s="2"/>
      <c r="P307" s="53"/>
      <c r="Q307" s="53"/>
      <c r="R307" s="2"/>
      <c r="S307" s="2"/>
      <c r="T307" s="2"/>
    </row>
    <row r="308" spans="1:20">
      <c r="A308" s="3"/>
      <c r="B308" s="3"/>
      <c r="C308" s="2"/>
      <c r="D308" s="2"/>
      <c r="E308" s="56"/>
      <c r="F308" s="56"/>
      <c r="G308" s="56"/>
      <c r="H308" s="56"/>
      <c r="I308" s="56"/>
      <c r="J308" s="2"/>
      <c r="K308" s="2"/>
      <c r="L308" s="2"/>
      <c r="M308" s="2"/>
      <c r="N308" s="2"/>
      <c r="O308" s="2"/>
      <c r="P308" s="53"/>
      <c r="Q308" s="53"/>
      <c r="R308" s="2"/>
      <c r="S308" s="2"/>
      <c r="T308" s="2"/>
    </row>
    <row r="309" spans="1:20">
      <c r="A309" s="3"/>
      <c r="B309" s="3"/>
      <c r="C309" s="2"/>
      <c r="D309" s="2"/>
      <c r="E309" s="51"/>
      <c r="F309" s="51"/>
      <c r="G309" s="51"/>
      <c r="H309" s="51"/>
      <c r="I309" s="2"/>
      <c r="J309" s="2"/>
      <c r="K309" s="2"/>
      <c r="L309" s="2"/>
      <c r="M309" s="2"/>
      <c r="N309" s="2"/>
      <c r="O309" s="2"/>
      <c r="P309" s="53"/>
      <c r="Q309" s="53"/>
      <c r="R309" s="2"/>
      <c r="S309" s="2"/>
      <c r="T309" s="2"/>
    </row>
    <row r="310" spans="1:20">
      <c r="A310" s="3"/>
      <c r="B310" s="3"/>
      <c r="C310" s="2"/>
      <c r="D310" s="2"/>
      <c r="E310" s="51"/>
      <c r="F310" s="51"/>
      <c r="G310" s="51"/>
      <c r="H310" s="51"/>
      <c r="I310" s="2"/>
      <c r="J310" s="2"/>
      <c r="K310" s="2"/>
      <c r="L310" s="2"/>
      <c r="M310" s="2"/>
      <c r="N310" s="2"/>
      <c r="O310" s="2"/>
      <c r="P310" s="53"/>
      <c r="Q310" s="53"/>
      <c r="R310" s="2"/>
      <c r="S310" s="2"/>
      <c r="T310" s="2"/>
    </row>
    <row r="311" spans="1:20">
      <c r="A311" s="3"/>
      <c r="B311" s="3"/>
      <c r="C311" s="2"/>
      <c r="D311" s="2"/>
      <c r="E311" s="51"/>
      <c r="F311" s="51"/>
      <c r="G311" s="51"/>
      <c r="H311" s="51"/>
      <c r="I311" s="2"/>
      <c r="J311" s="2"/>
      <c r="K311" s="2"/>
      <c r="L311" s="2"/>
      <c r="M311" s="2"/>
      <c r="N311" s="2"/>
      <c r="O311" s="2"/>
      <c r="P311" s="53"/>
      <c r="Q311" s="53"/>
      <c r="R311" s="2"/>
      <c r="S311" s="2"/>
      <c r="T311" s="2"/>
    </row>
    <row r="312" spans="1:20">
      <c r="A312" s="3"/>
      <c r="B312" s="3"/>
      <c r="C312" s="2"/>
      <c r="D312" s="2"/>
      <c r="E312" s="51"/>
      <c r="F312" s="51"/>
      <c r="G312" s="51"/>
      <c r="H312" s="51"/>
      <c r="I312" s="2"/>
      <c r="J312" s="2"/>
      <c r="K312" s="2"/>
      <c r="L312" s="2"/>
      <c r="M312" s="2"/>
      <c r="N312" s="2"/>
      <c r="O312" s="2"/>
      <c r="P312" s="53"/>
      <c r="Q312" s="53"/>
      <c r="R312" s="2"/>
      <c r="S312" s="2"/>
      <c r="T312" s="2"/>
    </row>
    <row r="313" spans="1:20">
      <c r="A313" s="3"/>
      <c r="B313" s="3"/>
      <c r="C313" s="2"/>
      <c r="D313" s="2"/>
      <c r="E313" s="51"/>
      <c r="F313" s="51"/>
      <c r="G313" s="51"/>
      <c r="H313" s="51"/>
      <c r="I313" s="2"/>
      <c r="J313" s="2"/>
      <c r="K313" s="2"/>
      <c r="L313" s="2"/>
      <c r="M313" s="2"/>
      <c r="N313" s="2"/>
      <c r="O313" s="2"/>
      <c r="P313" s="53"/>
      <c r="Q313" s="53"/>
      <c r="R313" s="2"/>
      <c r="S313" s="2"/>
      <c r="T313" s="2"/>
    </row>
    <row r="314" spans="1:20">
      <c r="A314" s="3"/>
      <c r="B314" s="3"/>
      <c r="C314" s="2"/>
      <c r="D314" s="2"/>
      <c r="E314" s="51"/>
      <c r="F314" s="51"/>
      <c r="G314" s="51"/>
      <c r="H314" s="51"/>
      <c r="I314" s="2"/>
      <c r="J314" s="2"/>
      <c r="K314" s="2"/>
      <c r="L314" s="2"/>
      <c r="M314" s="2"/>
      <c r="N314" s="2"/>
      <c r="O314" s="2"/>
      <c r="P314" s="53"/>
      <c r="Q314" s="53"/>
      <c r="R314" s="2"/>
      <c r="S314" s="2"/>
      <c r="T314" s="2"/>
    </row>
    <row r="315" spans="1:20">
      <c r="A315" s="3"/>
      <c r="B315" s="3"/>
      <c r="C315" s="2"/>
      <c r="D315" s="2"/>
      <c r="E315" s="51"/>
      <c r="F315" s="51"/>
      <c r="G315" s="51"/>
      <c r="H315" s="51"/>
      <c r="I315" s="2"/>
      <c r="J315" s="2"/>
      <c r="K315" s="2"/>
      <c r="L315" s="2"/>
      <c r="M315" s="2"/>
      <c r="N315" s="2"/>
      <c r="O315" s="2"/>
      <c r="P315" s="53"/>
      <c r="Q315" s="53"/>
      <c r="R315" s="2"/>
      <c r="S315" s="2"/>
      <c r="T315" s="2"/>
    </row>
    <row r="316" spans="1:20">
      <c r="A316" s="3"/>
      <c r="B316" s="3"/>
      <c r="C316" s="2"/>
      <c r="D316" s="2"/>
      <c r="E316" s="51"/>
      <c r="F316" s="51"/>
      <c r="G316" s="51"/>
      <c r="H316" s="51"/>
      <c r="I316" s="2"/>
      <c r="J316" s="2"/>
      <c r="K316" s="2"/>
      <c r="L316" s="2"/>
      <c r="M316" s="2"/>
      <c r="N316" s="2"/>
      <c r="O316" s="2"/>
      <c r="P316" s="53"/>
      <c r="Q316" s="53"/>
      <c r="R316" s="2"/>
      <c r="S316" s="2"/>
      <c r="T316" s="2"/>
    </row>
    <row r="317" spans="1:20">
      <c r="A317" s="3"/>
      <c r="B317" s="3"/>
      <c r="C317" s="2"/>
      <c r="D317" s="2"/>
      <c r="E317" s="51"/>
      <c r="F317" s="51"/>
      <c r="G317" s="51"/>
      <c r="H317" s="51"/>
      <c r="I317" s="2"/>
      <c r="J317" s="2"/>
      <c r="K317" s="2"/>
      <c r="L317" s="2"/>
      <c r="M317" s="2"/>
      <c r="N317" s="2"/>
      <c r="O317" s="2"/>
      <c r="P317" s="53"/>
      <c r="Q317" s="53"/>
      <c r="R317" s="2"/>
      <c r="S317" s="2"/>
      <c r="T317" s="2"/>
    </row>
    <row r="318" spans="1:20">
      <c r="A318" s="3"/>
      <c r="B318" s="3"/>
      <c r="C318" s="2"/>
      <c r="D318" s="2"/>
      <c r="E318" s="51"/>
      <c r="F318" s="51"/>
      <c r="G318" s="51"/>
      <c r="H318" s="51"/>
      <c r="I318" s="2"/>
      <c r="J318" s="2"/>
      <c r="K318" s="2"/>
      <c r="L318" s="2"/>
      <c r="M318" s="2"/>
      <c r="N318" s="2"/>
      <c r="O318" s="2"/>
      <c r="P318" s="53"/>
      <c r="Q318" s="53"/>
      <c r="R318" s="2"/>
      <c r="S318" s="2"/>
      <c r="T318" s="2"/>
    </row>
    <row r="319" spans="1:20">
      <c r="A319" s="3"/>
      <c r="B319" s="3"/>
      <c r="C319" s="2"/>
      <c r="D319" s="2"/>
      <c r="E319" s="51"/>
      <c r="F319" s="51"/>
      <c r="G319" s="51"/>
      <c r="H319" s="51"/>
      <c r="I319" s="2"/>
      <c r="J319" s="2"/>
      <c r="K319" s="2"/>
      <c r="L319" s="2"/>
      <c r="M319" s="2"/>
      <c r="N319" s="2"/>
      <c r="O319" s="2"/>
      <c r="P319" s="53"/>
      <c r="Q319" s="53"/>
      <c r="R319" s="2"/>
      <c r="S319" s="2"/>
      <c r="T319" s="2"/>
    </row>
    <row r="320" spans="1:20">
      <c r="A320" s="3"/>
      <c r="B320" s="3"/>
      <c r="C320" s="2"/>
      <c r="D320" s="2"/>
      <c r="E320" s="51"/>
      <c r="F320" s="51"/>
      <c r="G320" s="51"/>
      <c r="H320" s="51"/>
      <c r="I320" s="2"/>
      <c r="J320" s="2"/>
      <c r="K320" s="2"/>
      <c r="L320" s="2"/>
      <c r="M320" s="2"/>
      <c r="N320" s="2"/>
      <c r="O320" s="2"/>
      <c r="P320" s="53"/>
      <c r="Q320" s="53"/>
      <c r="R320" s="2"/>
      <c r="S320" s="2"/>
      <c r="T320" s="2"/>
    </row>
    <row r="321" spans="1:20">
      <c r="A321" s="3"/>
      <c r="B321" s="3"/>
      <c r="C321" s="2"/>
      <c r="D321" s="2"/>
      <c r="E321" s="51"/>
      <c r="F321" s="51"/>
      <c r="G321" s="51"/>
      <c r="H321" s="51"/>
      <c r="I321" s="2"/>
      <c r="J321" s="2"/>
      <c r="K321" s="2"/>
      <c r="L321" s="2"/>
      <c r="M321" s="2"/>
      <c r="N321" s="2"/>
      <c r="O321" s="2"/>
      <c r="P321" s="53"/>
      <c r="Q321" s="53"/>
      <c r="R321" s="2"/>
      <c r="S321" s="2"/>
      <c r="T321" s="2"/>
    </row>
    <row r="322" spans="1:20">
      <c r="A322" s="3"/>
      <c r="B322" s="3"/>
      <c r="C322" s="2"/>
      <c r="D322" s="2"/>
      <c r="E322" s="51"/>
      <c r="F322" s="51"/>
      <c r="G322" s="51"/>
      <c r="H322" s="51"/>
      <c r="I322" s="2"/>
      <c r="J322" s="2"/>
      <c r="K322" s="2"/>
      <c r="L322" s="2"/>
      <c r="M322" s="2"/>
      <c r="N322" s="2"/>
      <c r="O322" s="2"/>
      <c r="P322" s="53"/>
      <c r="Q322" s="53"/>
      <c r="R322" s="2"/>
      <c r="S322" s="2"/>
      <c r="T322" s="2"/>
    </row>
    <row r="323" spans="1:20">
      <c r="A323" s="3"/>
      <c r="B323" s="3"/>
      <c r="C323" s="2"/>
      <c r="D323" s="2"/>
      <c r="E323" s="51"/>
      <c r="F323" s="51"/>
      <c r="G323" s="51"/>
      <c r="H323" s="51"/>
      <c r="I323" s="2"/>
      <c r="J323" s="2"/>
      <c r="K323" s="2"/>
      <c r="L323" s="2"/>
      <c r="M323" s="2"/>
      <c r="N323" s="2"/>
      <c r="O323" s="2"/>
      <c r="P323" s="53"/>
      <c r="Q323" s="53"/>
      <c r="R323" s="2"/>
      <c r="S323" s="2"/>
      <c r="T323" s="2"/>
    </row>
    <row r="324" spans="1:20">
      <c r="A324" s="3"/>
      <c r="B324" s="3"/>
      <c r="C324" s="2"/>
      <c r="D324" s="2"/>
      <c r="E324" s="51"/>
      <c r="F324" s="51"/>
      <c r="G324" s="51"/>
      <c r="H324" s="51"/>
      <c r="I324" s="2"/>
      <c r="J324" s="2"/>
      <c r="K324" s="2"/>
      <c r="L324" s="2"/>
      <c r="M324" s="2"/>
      <c r="N324" s="2"/>
      <c r="O324" s="2"/>
      <c r="P324" s="53"/>
      <c r="Q324" s="53"/>
      <c r="R324" s="2"/>
      <c r="S324" s="2"/>
      <c r="T324" s="2"/>
    </row>
    <row r="325" spans="1:20">
      <c r="A325" s="3"/>
      <c r="B325" s="3"/>
      <c r="C325" s="2"/>
      <c r="D325" s="2"/>
      <c r="E325" s="51"/>
      <c r="F325" s="51"/>
      <c r="G325" s="51"/>
      <c r="H325" s="51"/>
      <c r="I325" s="2"/>
      <c r="J325" s="2"/>
      <c r="K325" s="2"/>
      <c r="L325" s="2"/>
      <c r="M325" s="2"/>
      <c r="N325" s="2"/>
      <c r="O325" s="2"/>
      <c r="P325" s="53"/>
      <c r="Q325" s="53"/>
      <c r="R325" s="2"/>
      <c r="S325" s="2"/>
      <c r="T325" s="2"/>
    </row>
    <row r="326" spans="1:20">
      <c r="A326" s="3"/>
      <c r="B326" s="3"/>
      <c r="C326" s="2"/>
      <c r="D326" s="2"/>
      <c r="E326" s="51"/>
      <c r="F326" s="51"/>
      <c r="G326" s="51"/>
      <c r="H326" s="51"/>
      <c r="I326" s="2"/>
      <c r="J326" s="2"/>
      <c r="K326" s="2"/>
      <c r="L326" s="2"/>
      <c r="M326" s="2"/>
      <c r="N326" s="2"/>
      <c r="O326" s="2"/>
      <c r="P326" s="53"/>
      <c r="Q326" s="53"/>
      <c r="R326" s="2"/>
      <c r="S326" s="2"/>
      <c r="T326" s="2"/>
    </row>
    <row r="327" spans="1:20">
      <c r="A327" s="3"/>
      <c r="B327" s="3"/>
      <c r="C327" s="2"/>
      <c r="D327" s="2"/>
      <c r="E327" s="51"/>
      <c r="F327" s="51"/>
      <c r="G327" s="51"/>
      <c r="H327" s="51"/>
      <c r="I327" s="2"/>
      <c r="J327" s="2"/>
      <c r="K327" s="2"/>
      <c r="L327" s="2"/>
      <c r="M327" s="2"/>
      <c r="N327" s="2"/>
      <c r="O327" s="2"/>
      <c r="P327" s="53"/>
      <c r="Q327" s="53"/>
      <c r="R327" s="2"/>
      <c r="S327" s="2"/>
      <c r="T327" s="2"/>
    </row>
    <row r="328" spans="1:20">
      <c r="A328" s="3"/>
      <c r="B328" s="3"/>
      <c r="C328" s="2"/>
      <c r="D328" s="2"/>
      <c r="E328" s="51"/>
      <c r="F328" s="51"/>
      <c r="G328" s="51"/>
      <c r="H328" s="51"/>
      <c r="I328" s="2"/>
      <c r="J328" s="2"/>
      <c r="K328" s="2"/>
      <c r="L328" s="2"/>
      <c r="M328" s="2"/>
      <c r="N328" s="2"/>
      <c r="O328" s="2"/>
      <c r="P328" s="53"/>
      <c r="Q328" s="53"/>
      <c r="R328" s="2"/>
      <c r="S328" s="2"/>
      <c r="T328" s="2"/>
    </row>
    <row r="329" spans="1:20">
      <c r="A329" s="3"/>
      <c r="B329" s="3"/>
      <c r="C329" s="2"/>
      <c r="D329" s="2"/>
      <c r="E329" s="51"/>
      <c r="F329" s="51"/>
      <c r="G329" s="51"/>
      <c r="H329" s="51"/>
      <c r="I329" s="2"/>
      <c r="J329" s="2"/>
      <c r="K329" s="2"/>
      <c r="L329" s="2"/>
      <c r="M329" s="2"/>
      <c r="N329" s="2"/>
      <c r="O329" s="2"/>
      <c r="P329" s="53"/>
      <c r="Q329" s="53"/>
      <c r="R329" s="2"/>
      <c r="S329" s="2"/>
      <c r="T329" s="2"/>
    </row>
    <row r="330" spans="1:20">
      <c r="A330" s="3"/>
      <c r="B330" s="3"/>
      <c r="C330" s="2"/>
      <c r="D330" s="2"/>
      <c r="E330" s="51"/>
      <c r="F330" s="51"/>
      <c r="G330" s="51"/>
      <c r="H330" s="51"/>
      <c r="I330" s="2"/>
      <c r="J330" s="2"/>
      <c r="K330" s="2"/>
      <c r="L330" s="2"/>
      <c r="M330" s="2"/>
      <c r="N330" s="2"/>
      <c r="O330" s="2"/>
      <c r="P330" s="53"/>
      <c r="Q330" s="53"/>
      <c r="R330" s="2"/>
      <c r="S330" s="2"/>
      <c r="T330" s="2"/>
    </row>
    <row r="331" spans="1:20">
      <c r="A331" s="3"/>
      <c r="B331" s="3"/>
      <c r="C331" s="2"/>
      <c r="D331" s="2"/>
      <c r="E331" s="51"/>
      <c r="F331" s="51"/>
      <c r="G331" s="51"/>
      <c r="H331" s="51"/>
      <c r="I331" s="2"/>
      <c r="J331" s="2"/>
      <c r="K331" s="2"/>
      <c r="L331" s="2"/>
      <c r="M331" s="2"/>
      <c r="N331" s="2"/>
      <c r="O331" s="2"/>
      <c r="P331" s="53"/>
      <c r="Q331" s="53"/>
      <c r="R331" s="2"/>
      <c r="S331" s="2"/>
      <c r="T331" s="2"/>
    </row>
    <row r="332" spans="1:20">
      <c r="A332" s="3"/>
      <c r="B332" s="3"/>
      <c r="C332" s="2"/>
      <c r="D332" s="2"/>
      <c r="E332" s="51"/>
      <c r="F332" s="51"/>
      <c r="G332" s="51"/>
      <c r="H332" s="51"/>
      <c r="I332" s="2"/>
      <c r="J332" s="2"/>
      <c r="K332" s="2"/>
      <c r="L332" s="2"/>
      <c r="M332" s="2"/>
      <c r="N332" s="2"/>
      <c r="O332" s="2"/>
      <c r="P332" s="53"/>
      <c r="Q332" s="53"/>
      <c r="R332" s="2"/>
      <c r="S332" s="2"/>
      <c r="T332" s="2"/>
    </row>
    <row r="333" spans="1:20">
      <c r="A333" s="3"/>
      <c r="B333" s="3"/>
      <c r="C333" s="2"/>
      <c r="D333" s="2"/>
      <c r="E333" s="51"/>
      <c r="F333" s="51"/>
      <c r="G333" s="51"/>
      <c r="H333" s="51"/>
      <c r="I333" s="2"/>
      <c r="J333" s="2"/>
      <c r="K333" s="2"/>
      <c r="L333" s="2"/>
      <c r="M333" s="2"/>
      <c r="N333" s="2"/>
      <c r="O333" s="2"/>
      <c r="P333" s="53"/>
      <c r="Q333" s="53"/>
      <c r="R333" s="2"/>
      <c r="S333" s="2"/>
      <c r="T333" s="2"/>
    </row>
    <row r="334" spans="1:20">
      <c r="A334" s="3"/>
      <c r="B334" s="3"/>
      <c r="C334" s="2"/>
      <c r="D334" s="2"/>
      <c r="E334" s="51"/>
      <c r="F334" s="51"/>
      <c r="G334" s="51"/>
      <c r="H334" s="51"/>
      <c r="I334" s="2"/>
      <c r="J334" s="2"/>
      <c r="K334" s="2"/>
      <c r="L334" s="2"/>
      <c r="M334" s="2"/>
      <c r="N334" s="2"/>
      <c r="O334" s="2"/>
      <c r="P334" s="53"/>
      <c r="Q334" s="53"/>
      <c r="R334" s="2"/>
      <c r="S334" s="2"/>
      <c r="T334" s="2"/>
    </row>
    <row r="335" spans="1:20">
      <c r="A335" s="3"/>
      <c r="B335" s="3"/>
      <c r="C335" s="2"/>
      <c r="D335" s="2"/>
      <c r="E335" s="51"/>
      <c r="F335" s="51"/>
      <c r="G335" s="51"/>
      <c r="H335" s="51"/>
      <c r="I335" s="2"/>
      <c r="J335" s="2"/>
      <c r="K335" s="2"/>
      <c r="L335" s="2"/>
      <c r="M335" s="2"/>
      <c r="N335" s="2"/>
      <c r="O335" s="2"/>
      <c r="P335" s="53"/>
      <c r="Q335" s="53"/>
      <c r="R335" s="2"/>
      <c r="S335" s="2"/>
      <c r="T335" s="2"/>
    </row>
    <row r="336" spans="1:20">
      <c r="A336" s="3"/>
      <c r="B336" s="3"/>
      <c r="C336" s="2"/>
      <c r="D336" s="2"/>
      <c r="E336" s="51"/>
      <c r="F336" s="51"/>
      <c r="G336" s="51"/>
      <c r="H336" s="51"/>
      <c r="I336" s="2"/>
      <c r="J336" s="2"/>
      <c r="K336" s="2"/>
      <c r="L336" s="2"/>
      <c r="M336" s="2"/>
      <c r="N336" s="2"/>
      <c r="O336" s="2"/>
      <c r="P336" s="53"/>
      <c r="Q336" s="53"/>
      <c r="R336" s="2"/>
      <c r="S336" s="2"/>
      <c r="T336" s="2"/>
    </row>
    <row r="337" spans="1:20">
      <c r="A337" s="3"/>
      <c r="B337" s="3"/>
      <c r="C337" s="2"/>
      <c r="D337" s="2"/>
      <c r="E337" s="51"/>
      <c r="F337" s="51"/>
      <c r="G337" s="51"/>
      <c r="H337" s="51"/>
      <c r="I337" s="2"/>
      <c r="J337" s="2"/>
      <c r="K337" s="2"/>
      <c r="L337" s="2"/>
      <c r="M337" s="2"/>
      <c r="N337" s="2"/>
      <c r="O337" s="2"/>
      <c r="P337" s="53"/>
      <c r="Q337" s="53"/>
      <c r="R337" s="2"/>
      <c r="S337" s="2"/>
      <c r="T337" s="2"/>
    </row>
    <row r="338" spans="1:20">
      <c r="A338" s="3"/>
      <c r="B338" s="3"/>
      <c r="C338" s="2"/>
      <c r="D338" s="2"/>
      <c r="E338" s="51"/>
      <c r="F338" s="51"/>
      <c r="G338" s="51"/>
      <c r="H338" s="51"/>
      <c r="I338" s="2"/>
      <c r="J338" s="2"/>
      <c r="K338" s="2"/>
      <c r="L338" s="2"/>
      <c r="M338" s="2"/>
      <c r="N338" s="2"/>
      <c r="O338" s="2"/>
      <c r="P338" s="53"/>
      <c r="Q338" s="53"/>
      <c r="R338" s="2"/>
      <c r="S338" s="2"/>
      <c r="T338" s="2"/>
    </row>
    <row r="339" spans="1:20">
      <c r="A339" s="3"/>
      <c r="B339" s="3"/>
      <c r="C339" s="2"/>
      <c r="D339" s="2"/>
      <c r="E339" s="51"/>
      <c r="F339" s="51"/>
      <c r="G339" s="51"/>
      <c r="H339" s="51"/>
      <c r="I339" s="2"/>
      <c r="J339" s="2"/>
      <c r="K339" s="2"/>
      <c r="L339" s="2"/>
      <c r="M339" s="2"/>
      <c r="N339" s="2"/>
      <c r="O339" s="2"/>
      <c r="P339" s="53"/>
      <c r="Q339" s="53"/>
      <c r="R339" s="2"/>
      <c r="S339" s="2"/>
      <c r="T339" s="2"/>
    </row>
    <row r="340" spans="1:20">
      <c r="A340" s="3"/>
      <c r="B340" s="3"/>
      <c r="C340" s="2"/>
      <c r="D340" s="2"/>
      <c r="E340" s="51"/>
      <c r="F340" s="51"/>
      <c r="G340" s="51"/>
      <c r="H340" s="51"/>
      <c r="I340" s="2"/>
      <c r="J340" s="2"/>
      <c r="K340" s="2"/>
      <c r="L340" s="2"/>
      <c r="M340" s="2"/>
      <c r="N340" s="2"/>
      <c r="O340" s="2"/>
      <c r="P340" s="53"/>
      <c r="Q340" s="53"/>
      <c r="R340" s="2"/>
      <c r="S340" s="2"/>
      <c r="T340" s="2"/>
    </row>
    <row r="341" spans="1:20">
      <c r="A341" s="3"/>
      <c r="B341" s="3"/>
      <c r="C341" s="2"/>
      <c r="D341" s="2"/>
      <c r="E341" s="51"/>
      <c r="F341" s="51"/>
      <c r="G341" s="51"/>
      <c r="H341" s="51"/>
      <c r="I341" s="2"/>
      <c r="J341" s="2"/>
      <c r="K341" s="2"/>
      <c r="L341" s="2"/>
      <c r="M341" s="2"/>
      <c r="N341" s="2"/>
      <c r="O341" s="2"/>
      <c r="P341" s="53"/>
      <c r="Q341" s="53"/>
      <c r="R341" s="2"/>
      <c r="S341" s="2"/>
      <c r="T341" s="2"/>
    </row>
    <row r="342" spans="1:20">
      <c r="A342" s="3"/>
      <c r="B342" s="3"/>
      <c r="C342" s="2"/>
      <c r="D342" s="2"/>
      <c r="E342" s="51"/>
      <c r="F342" s="51"/>
      <c r="G342" s="51"/>
      <c r="H342" s="51"/>
      <c r="I342" s="2"/>
      <c r="J342" s="2"/>
      <c r="K342" s="2"/>
      <c r="L342" s="2"/>
      <c r="M342" s="2"/>
      <c r="N342" s="2"/>
      <c r="O342" s="2"/>
      <c r="P342" s="53"/>
      <c r="Q342" s="53"/>
      <c r="R342" s="2"/>
      <c r="S342" s="2"/>
      <c r="T342" s="2"/>
    </row>
    <row r="343" spans="1:20">
      <c r="A343" s="3"/>
      <c r="B343" s="3"/>
      <c r="C343" s="2"/>
      <c r="D343" s="2"/>
      <c r="E343" s="51"/>
      <c r="F343" s="51"/>
      <c r="G343" s="51"/>
      <c r="H343" s="51"/>
      <c r="I343" s="2"/>
      <c r="J343" s="2"/>
      <c r="K343" s="2"/>
      <c r="L343" s="2"/>
      <c r="M343" s="2"/>
      <c r="N343" s="2"/>
      <c r="O343" s="2"/>
      <c r="P343" s="53"/>
      <c r="Q343" s="53"/>
      <c r="R343" s="2"/>
      <c r="S343" s="2"/>
      <c r="T343" s="2"/>
    </row>
    <row r="344" spans="1:20">
      <c r="A344" s="3"/>
      <c r="B344" s="3"/>
      <c r="C344" s="2"/>
      <c r="D344" s="2"/>
      <c r="E344" s="51"/>
      <c r="F344" s="51"/>
      <c r="G344" s="51"/>
      <c r="H344" s="51"/>
      <c r="I344" s="2"/>
      <c r="J344" s="2"/>
      <c r="K344" s="2"/>
      <c r="L344" s="2"/>
      <c r="M344" s="2"/>
      <c r="N344" s="2"/>
      <c r="O344" s="2"/>
      <c r="P344" s="53"/>
      <c r="Q344" s="53"/>
      <c r="R344" s="2"/>
      <c r="S344" s="2"/>
      <c r="T344" s="2"/>
    </row>
    <row r="345" spans="1:20">
      <c r="A345" s="3"/>
      <c r="B345" s="3"/>
      <c r="C345" s="2"/>
      <c r="D345" s="2"/>
      <c r="E345" s="51"/>
      <c r="F345" s="51"/>
      <c r="G345" s="51"/>
      <c r="H345" s="51"/>
      <c r="I345" s="2"/>
      <c r="J345" s="2"/>
      <c r="K345" s="2"/>
      <c r="L345" s="2"/>
      <c r="M345" s="2"/>
      <c r="N345" s="2"/>
      <c r="O345" s="2"/>
      <c r="P345" s="53"/>
      <c r="Q345" s="53"/>
      <c r="R345" s="2"/>
      <c r="S345" s="2"/>
      <c r="T345" s="2"/>
    </row>
    <row r="346" spans="1:20">
      <c r="A346" s="3"/>
      <c r="B346" s="3"/>
      <c r="C346" s="2"/>
      <c r="D346" s="2"/>
      <c r="E346" s="51"/>
      <c r="F346" s="51"/>
      <c r="G346" s="51"/>
      <c r="H346" s="51"/>
      <c r="I346" s="2"/>
      <c r="J346" s="2"/>
      <c r="K346" s="2"/>
      <c r="L346" s="2"/>
      <c r="M346" s="2"/>
      <c r="N346" s="2"/>
      <c r="O346" s="2"/>
      <c r="P346" s="53"/>
      <c r="Q346" s="53"/>
      <c r="R346" s="2"/>
      <c r="S346" s="2"/>
      <c r="T346" s="2"/>
    </row>
    <row r="347" spans="1:20">
      <c r="A347" s="3"/>
      <c r="B347" s="3"/>
      <c r="C347" s="2"/>
      <c r="D347" s="2"/>
      <c r="E347" s="51"/>
      <c r="F347" s="51"/>
      <c r="G347" s="51"/>
      <c r="H347" s="51"/>
      <c r="I347" s="2"/>
      <c r="J347" s="2"/>
      <c r="K347" s="2"/>
      <c r="L347" s="2"/>
      <c r="M347" s="2"/>
      <c r="N347" s="2"/>
      <c r="O347" s="2"/>
      <c r="P347" s="53"/>
      <c r="Q347" s="53"/>
      <c r="R347" s="2"/>
      <c r="S347" s="2"/>
      <c r="T347" s="2"/>
    </row>
    <row r="348" spans="1:20">
      <c r="A348" s="3"/>
      <c r="B348" s="3"/>
      <c r="C348" s="2"/>
      <c r="D348" s="2"/>
      <c r="E348" s="51"/>
      <c r="F348" s="51"/>
      <c r="G348" s="51"/>
      <c r="H348" s="51"/>
      <c r="I348" s="2"/>
      <c r="J348" s="2"/>
      <c r="K348" s="2"/>
      <c r="L348" s="2"/>
      <c r="M348" s="2"/>
      <c r="N348" s="2"/>
      <c r="O348" s="2"/>
      <c r="P348" s="53"/>
      <c r="Q348" s="53"/>
      <c r="R348" s="2"/>
      <c r="S348" s="2"/>
      <c r="T348" s="2"/>
    </row>
    <row r="349" spans="1:20">
      <c r="A349" s="3"/>
      <c r="B349" s="3"/>
      <c r="C349" s="2"/>
      <c r="D349" s="2"/>
      <c r="E349" s="51"/>
      <c r="F349" s="51"/>
      <c r="G349" s="51"/>
      <c r="H349" s="51"/>
      <c r="I349" s="2"/>
      <c r="J349" s="2"/>
      <c r="K349" s="2"/>
      <c r="L349" s="2"/>
      <c r="M349" s="2"/>
      <c r="N349" s="2"/>
      <c r="O349" s="2"/>
      <c r="P349" s="53"/>
      <c r="Q349" s="53"/>
      <c r="R349" s="2"/>
      <c r="S349" s="2"/>
      <c r="T349" s="2"/>
    </row>
    <row r="350" spans="1:20">
      <c r="A350" s="3"/>
      <c r="B350" s="3"/>
      <c r="C350" s="2"/>
      <c r="D350" s="2"/>
      <c r="E350" s="51"/>
      <c r="F350" s="51"/>
      <c r="G350" s="51"/>
      <c r="H350" s="51"/>
      <c r="I350" s="2"/>
      <c r="J350" s="2"/>
      <c r="K350" s="2"/>
      <c r="L350" s="2"/>
      <c r="M350" s="2"/>
      <c r="N350" s="2"/>
      <c r="O350" s="2"/>
      <c r="P350" s="53"/>
      <c r="Q350" s="53"/>
      <c r="R350" s="2"/>
      <c r="S350" s="2"/>
      <c r="T350" s="2"/>
    </row>
    <row r="351" spans="1:20">
      <c r="A351" s="3"/>
      <c r="B351" s="3"/>
      <c r="C351" s="2"/>
      <c r="D351" s="2"/>
      <c r="E351" s="51"/>
      <c r="F351" s="51"/>
      <c r="G351" s="51"/>
      <c r="H351" s="51"/>
      <c r="I351" s="2"/>
      <c r="J351" s="2"/>
      <c r="K351" s="2"/>
      <c r="L351" s="2"/>
      <c r="M351" s="2"/>
      <c r="N351" s="2"/>
      <c r="O351" s="2"/>
      <c r="P351" s="53"/>
      <c r="Q351" s="53"/>
      <c r="R351" s="2"/>
      <c r="S351" s="2"/>
      <c r="T351" s="2"/>
    </row>
    <row r="352" spans="1:20">
      <c r="A352" s="3"/>
      <c r="B352" s="3"/>
      <c r="C352" s="2"/>
      <c r="D352" s="2"/>
      <c r="E352" s="51"/>
      <c r="F352" s="51"/>
      <c r="G352" s="51"/>
      <c r="H352" s="51"/>
      <c r="I352" s="2"/>
      <c r="J352" s="2"/>
      <c r="K352" s="2"/>
      <c r="L352" s="2"/>
      <c r="M352" s="2"/>
      <c r="N352" s="2"/>
      <c r="O352" s="2"/>
      <c r="P352" s="53"/>
      <c r="Q352" s="53"/>
      <c r="R352" s="2"/>
      <c r="S352" s="2"/>
      <c r="T352" s="2"/>
    </row>
    <row r="353" spans="1:20">
      <c r="A353" s="3"/>
      <c r="B353" s="3"/>
      <c r="C353" s="2"/>
      <c r="D353" s="2"/>
      <c r="E353" s="51"/>
      <c r="F353" s="51"/>
      <c r="G353" s="51"/>
      <c r="H353" s="51"/>
      <c r="I353" s="2"/>
      <c r="J353" s="2"/>
      <c r="K353" s="2"/>
      <c r="L353" s="2"/>
      <c r="M353" s="2"/>
      <c r="N353" s="2"/>
      <c r="O353" s="2"/>
      <c r="P353" s="53"/>
      <c r="Q353" s="53"/>
      <c r="R353" s="2"/>
      <c r="S353" s="2"/>
      <c r="T353" s="2"/>
    </row>
    <row r="354" spans="1:20">
      <c r="A354" s="3"/>
      <c r="B354" s="3"/>
      <c r="C354" s="2"/>
      <c r="D354" s="2"/>
      <c r="E354" s="51"/>
      <c r="F354" s="51"/>
      <c r="G354" s="51"/>
      <c r="H354" s="51"/>
      <c r="I354" s="2"/>
      <c r="J354" s="2"/>
      <c r="K354" s="2"/>
      <c r="L354" s="2"/>
      <c r="M354" s="2"/>
      <c r="N354" s="2"/>
      <c r="O354" s="2"/>
      <c r="P354" s="53"/>
      <c r="Q354" s="53"/>
      <c r="R354" s="2"/>
      <c r="S354" s="2"/>
      <c r="T354" s="2"/>
    </row>
    <row r="355" spans="1:20">
      <c r="A355" s="3"/>
      <c r="B355" s="3"/>
      <c r="C355" s="2"/>
      <c r="D355" s="2"/>
      <c r="E355" s="51"/>
      <c r="F355" s="51"/>
      <c r="G355" s="51"/>
      <c r="H355" s="51"/>
      <c r="I355" s="2"/>
      <c r="J355" s="2"/>
      <c r="K355" s="2"/>
      <c r="L355" s="2"/>
      <c r="M355" s="2"/>
      <c r="N355" s="2"/>
      <c r="O355" s="2"/>
      <c r="P355" s="53"/>
      <c r="Q355" s="53"/>
      <c r="R355" s="2"/>
      <c r="S355" s="2"/>
      <c r="T355" s="2"/>
    </row>
    <row r="356" spans="1:20">
      <c r="A356" s="3"/>
      <c r="B356" s="3"/>
      <c r="C356" s="2"/>
      <c r="D356" s="2"/>
      <c r="E356" s="51"/>
      <c r="F356" s="51"/>
      <c r="G356" s="51"/>
      <c r="H356" s="51"/>
      <c r="I356" s="2"/>
      <c r="J356" s="2"/>
      <c r="K356" s="2"/>
      <c r="L356" s="2"/>
      <c r="M356" s="2"/>
      <c r="N356" s="2"/>
      <c r="O356" s="2"/>
      <c r="P356" s="53"/>
      <c r="Q356" s="53"/>
      <c r="R356" s="2"/>
      <c r="S356" s="2"/>
      <c r="T356" s="2"/>
    </row>
    <row r="357" spans="1:20">
      <c r="A357" s="3"/>
      <c r="B357" s="3"/>
      <c r="C357" s="2"/>
      <c r="D357" s="2"/>
      <c r="E357" s="51"/>
      <c r="F357" s="51"/>
      <c r="G357" s="51"/>
      <c r="H357" s="51"/>
      <c r="I357" s="2"/>
      <c r="J357" s="2"/>
      <c r="K357" s="2"/>
      <c r="L357" s="2"/>
      <c r="M357" s="2"/>
      <c r="N357" s="2"/>
      <c r="O357" s="2"/>
      <c r="P357" s="53"/>
      <c r="Q357" s="53"/>
      <c r="R357" s="2"/>
      <c r="S357" s="2"/>
      <c r="T357" s="2"/>
    </row>
    <row r="358" spans="1:20">
      <c r="A358" s="3"/>
      <c r="B358" s="3"/>
      <c r="C358" s="2"/>
      <c r="D358" s="2"/>
      <c r="E358" s="51"/>
      <c r="F358" s="51"/>
      <c r="G358" s="51"/>
      <c r="H358" s="51"/>
      <c r="I358" s="2"/>
      <c r="J358" s="2"/>
      <c r="K358" s="2"/>
      <c r="L358" s="2"/>
      <c r="M358" s="2"/>
      <c r="N358" s="2"/>
      <c r="O358" s="2"/>
      <c r="P358" s="53"/>
      <c r="Q358" s="53"/>
      <c r="R358" s="2"/>
      <c r="S358" s="2"/>
      <c r="T358" s="2"/>
    </row>
    <row r="359" spans="1:20">
      <c r="A359" s="3"/>
      <c r="B359" s="3"/>
      <c r="C359" s="2"/>
      <c r="D359" s="2"/>
      <c r="E359" s="51"/>
      <c r="F359" s="51"/>
      <c r="G359" s="51"/>
      <c r="H359" s="51"/>
      <c r="I359" s="2"/>
      <c r="J359" s="2"/>
      <c r="K359" s="2"/>
      <c r="L359" s="2"/>
      <c r="M359" s="2"/>
      <c r="N359" s="2"/>
      <c r="O359" s="2"/>
      <c r="P359" s="53"/>
      <c r="Q359" s="53"/>
      <c r="R359" s="2"/>
      <c r="S359" s="2"/>
      <c r="T359" s="2"/>
    </row>
    <row r="360" spans="1:20">
      <c r="A360" s="3"/>
      <c r="B360" s="3"/>
      <c r="C360" s="2"/>
      <c r="D360" s="2"/>
      <c r="E360" s="51"/>
      <c r="F360" s="51"/>
      <c r="G360" s="51"/>
      <c r="H360" s="51"/>
      <c r="I360" s="2"/>
      <c r="J360" s="2"/>
      <c r="K360" s="2"/>
      <c r="L360" s="2"/>
      <c r="M360" s="2"/>
      <c r="N360" s="2"/>
      <c r="O360" s="2"/>
      <c r="P360" s="53"/>
      <c r="Q360" s="53"/>
      <c r="R360" s="2"/>
      <c r="S360" s="2"/>
      <c r="T360" s="2"/>
    </row>
    <row r="361" spans="1:20">
      <c r="A361" s="3"/>
      <c r="B361" s="3"/>
      <c r="C361" s="2"/>
      <c r="D361" s="2"/>
      <c r="E361" s="51"/>
      <c r="F361" s="51"/>
      <c r="G361" s="51"/>
      <c r="H361" s="51"/>
      <c r="I361" s="2"/>
      <c r="J361" s="2"/>
      <c r="K361" s="2"/>
      <c r="L361" s="2"/>
      <c r="M361" s="2"/>
      <c r="N361" s="2"/>
      <c r="O361" s="2"/>
      <c r="P361" s="53"/>
      <c r="Q361" s="53"/>
      <c r="R361" s="2"/>
      <c r="S361" s="2"/>
      <c r="T361" s="2"/>
    </row>
    <row r="362" spans="1:20">
      <c r="A362" s="3"/>
      <c r="B362" s="3"/>
      <c r="C362" s="2"/>
      <c r="D362" s="2"/>
      <c r="E362" s="51"/>
      <c r="F362" s="51"/>
      <c r="G362" s="51"/>
      <c r="H362" s="51"/>
      <c r="I362" s="2"/>
      <c r="J362" s="2"/>
      <c r="K362" s="2"/>
      <c r="L362" s="2"/>
      <c r="M362" s="2"/>
      <c r="N362" s="2"/>
      <c r="O362" s="2"/>
      <c r="P362" s="53"/>
      <c r="Q362" s="53"/>
      <c r="R362" s="2"/>
      <c r="S362" s="2"/>
      <c r="T362" s="2"/>
    </row>
    <row r="363" spans="1:20">
      <c r="A363" s="3"/>
      <c r="B363" s="3"/>
      <c r="C363" s="2"/>
      <c r="D363" s="2"/>
      <c r="E363" s="51"/>
      <c r="F363" s="51"/>
      <c r="G363" s="51"/>
      <c r="H363" s="51"/>
      <c r="I363" s="2"/>
      <c r="J363" s="2"/>
      <c r="K363" s="2"/>
      <c r="L363" s="2"/>
      <c r="M363" s="2"/>
      <c r="N363" s="2"/>
      <c r="O363" s="2"/>
      <c r="P363" s="53"/>
      <c r="Q363" s="53"/>
      <c r="R363" s="2"/>
      <c r="S363" s="2"/>
      <c r="T363" s="2"/>
    </row>
    <row r="364" spans="1:20">
      <c r="A364" s="3"/>
      <c r="B364" s="3"/>
      <c r="C364" s="2"/>
      <c r="D364" s="2"/>
      <c r="E364" s="51"/>
      <c r="F364" s="51"/>
      <c r="G364" s="51"/>
      <c r="H364" s="51"/>
      <c r="I364" s="2"/>
      <c r="J364" s="2"/>
      <c r="K364" s="2"/>
      <c r="L364" s="2"/>
      <c r="M364" s="2"/>
      <c r="N364" s="2"/>
      <c r="O364" s="2"/>
      <c r="P364" s="53"/>
      <c r="Q364" s="53"/>
      <c r="R364" s="2"/>
      <c r="S364" s="2"/>
      <c r="T364" s="2"/>
    </row>
    <row r="365" spans="1:20">
      <c r="A365" s="3"/>
      <c r="B365" s="3"/>
      <c r="C365" s="2"/>
      <c r="D365" s="2"/>
      <c r="E365" s="51"/>
      <c r="F365" s="51"/>
      <c r="G365" s="51"/>
      <c r="H365" s="51"/>
      <c r="I365" s="2"/>
      <c r="J365" s="2"/>
      <c r="K365" s="2"/>
      <c r="L365" s="2"/>
      <c r="M365" s="2"/>
      <c r="N365" s="2"/>
      <c r="O365" s="2"/>
      <c r="P365" s="53"/>
      <c r="Q365" s="53"/>
      <c r="R365" s="2"/>
      <c r="S365" s="2"/>
      <c r="T365" s="2"/>
    </row>
    <row r="366" spans="1:20">
      <c r="A366" s="3"/>
      <c r="B366" s="3"/>
      <c r="C366" s="2"/>
      <c r="D366" s="2"/>
      <c r="E366" s="51"/>
      <c r="F366" s="51"/>
      <c r="G366" s="51"/>
      <c r="H366" s="51"/>
      <c r="I366" s="2"/>
      <c r="J366" s="2"/>
      <c r="K366" s="2"/>
      <c r="L366" s="2"/>
      <c r="M366" s="2"/>
      <c r="N366" s="2"/>
      <c r="O366" s="2"/>
      <c r="P366" s="53"/>
      <c r="Q366" s="53"/>
      <c r="R366" s="2"/>
      <c r="S366" s="2"/>
      <c r="T366" s="2"/>
    </row>
    <row r="367" spans="1:20">
      <c r="A367" s="3"/>
      <c r="B367" s="3"/>
      <c r="C367" s="2"/>
      <c r="D367" s="2"/>
      <c r="E367" s="51"/>
      <c r="F367" s="51"/>
      <c r="G367" s="51"/>
      <c r="H367" s="51"/>
      <c r="I367" s="2"/>
      <c r="J367" s="2"/>
      <c r="K367" s="2"/>
      <c r="L367" s="2"/>
      <c r="M367" s="2"/>
      <c r="N367" s="2"/>
      <c r="O367" s="2"/>
      <c r="P367" s="53"/>
      <c r="Q367" s="53"/>
      <c r="R367" s="2"/>
      <c r="S367" s="2"/>
      <c r="T367" s="2"/>
    </row>
    <row r="368" spans="1:20">
      <c r="A368" s="3"/>
      <c r="B368" s="3"/>
      <c r="C368" s="2"/>
      <c r="D368" s="2"/>
      <c r="E368" s="51"/>
      <c r="F368" s="51"/>
      <c r="G368" s="51"/>
      <c r="H368" s="51"/>
      <c r="I368" s="2"/>
      <c r="J368" s="2"/>
      <c r="K368" s="2"/>
      <c r="L368" s="2"/>
      <c r="M368" s="2"/>
      <c r="N368" s="2"/>
      <c r="O368" s="2"/>
      <c r="P368" s="53"/>
      <c r="Q368" s="53"/>
      <c r="R368" s="2"/>
      <c r="S368" s="2"/>
      <c r="T368" s="2"/>
    </row>
    <row r="369" spans="1:20">
      <c r="A369" s="3"/>
      <c r="B369" s="3"/>
      <c r="C369" s="2"/>
      <c r="D369" s="2"/>
      <c r="E369" s="51"/>
      <c r="F369" s="51"/>
      <c r="G369" s="51"/>
      <c r="H369" s="51"/>
      <c r="I369" s="2"/>
      <c r="J369" s="2"/>
      <c r="K369" s="2"/>
      <c r="L369" s="2"/>
      <c r="M369" s="2"/>
      <c r="N369" s="2"/>
      <c r="O369" s="2"/>
      <c r="P369" s="53"/>
      <c r="Q369" s="53"/>
      <c r="R369" s="2"/>
      <c r="S369" s="2"/>
      <c r="T369" s="2"/>
    </row>
    <row r="370" spans="1:20">
      <c r="A370" s="3"/>
      <c r="B370" s="3"/>
      <c r="C370" s="2"/>
      <c r="D370" s="2"/>
      <c r="E370" s="51"/>
      <c r="F370" s="51"/>
      <c r="G370" s="51"/>
      <c r="H370" s="51"/>
      <c r="I370" s="2"/>
      <c r="J370" s="2"/>
      <c r="K370" s="2"/>
      <c r="L370" s="2"/>
      <c r="M370" s="2"/>
      <c r="N370" s="2"/>
      <c r="O370" s="2"/>
      <c r="P370" s="53"/>
      <c r="Q370" s="53"/>
      <c r="R370" s="2"/>
      <c r="S370" s="2"/>
      <c r="T370" s="2"/>
    </row>
    <row r="371" spans="1:20">
      <c r="A371" s="3"/>
      <c r="B371" s="3"/>
      <c r="C371" s="2"/>
      <c r="D371" s="2"/>
      <c r="E371" s="51"/>
      <c r="F371" s="51"/>
      <c r="G371" s="51"/>
      <c r="H371" s="51"/>
      <c r="I371" s="2"/>
      <c r="J371" s="2"/>
      <c r="K371" s="2"/>
      <c r="L371" s="2"/>
      <c r="M371" s="2"/>
      <c r="N371" s="2"/>
      <c r="O371" s="2"/>
      <c r="P371" s="53"/>
      <c r="Q371" s="53"/>
      <c r="R371" s="2"/>
      <c r="S371" s="2"/>
      <c r="T371" s="2"/>
    </row>
    <row r="372" spans="1:20">
      <c r="A372" s="3"/>
      <c r="B372" s="3"/>
      <c r="C372" s="2"/>
      <c r="D372" s="2"/>
      <c r="E372" s="51"/>
      <c r="F372" s="51"/>
      <c r="G372" s="51"/>
      <c r="H372" s="51"/>
      <c r="I372" s="2"/>
      <c r="J372" s="2"/>
      <c r="K372" s="2"/>
      <c r="L372" s="2"/>
      <c r="M372" s="2"/>
      <c r="N372" s="2"/>
      <c r="O372" s="2"/>
      <c r="P372" s="53"/>
      <c r="Q372" s="53"/>
      <c r="R372" s="2"/>
      <c r="S372" s="2"/>
      <c r="T372" s="2"/>
    </row>
    <row r="373" spans="1:20">
      <c r="A373" s="3"/>
      <c r="B373" s="3"/>
      <c r="C373" s="2"/>
      <c r="D373" s="2"/>
      <c r="E373" s="51"/>
      <c r="F373" s="51"/>
      <c r="G373" s="51"/>
      <c r="H373" s="51"/>
      <c r="I373" s="2"/>
      <c r="J373" s="2"/>
      <c r="K373" s="2"/>
      <c r="L373" s="2"/>
      <c r="M373" s="2"/>
      <c r="N373" s="2"/>
      <c r="O373" s="2"/>
      <c r="P373" s="53"/>
      <c r="Q373" s="53"/>
      <c r="R373" s="2"/>
      <c r="S373" s="2"/>
      <c r="T373" s="2"/>
    </row>
    <row r="374" spans="1:20">
      <c r="A374" s="3"/>
      <c r="B374" s="3"/>
      <c r="C374" s="2"/>
      <c r="D374" s="2"/>
      <c r="E374" s="51"/>
      <c r="F374" s="51"/>
      <c r="G374" s="51"/>
      <c r="H374" s="51"/>
      <c r="I374" s="2"/>
      <c r="J374" s="2"/>
      <c r="K374" s="2"/>
      <c r="L374" s="2"/>
      <c r="M374" s="2"/>
      <c r="N374" s="2"/>
      <c r="O374" s="2"/>
      <c r="P374" s="53"/>
      <c r="Q374" s="53"/>
      <c r="R374" s="2"/>
      <c r="S374" s="2"/>
      <c r="T374" s="2"/>
    </row>
    <row r="375" spans="1:20">
      <c r="A375" s="3"/>
      <c r="B375" s="3"/>
      <c r="C375" s="2"/>
      <c r="D375" s="2"/>
      <c r="E375" s="51"/>
      <c r="F375" s="51"/>
      <c r="G375" s="51"/>
      <c r="H375" s="51"/>
      <c r="I375" s="2"/>
      <c r="J375" s="2"/>
      <c r="K375" s="2"/>
      <c r="L375" s="2"/>
      <c r="M375" s="2"/>
      <c r="N375" s="2"/>
      <c r="O375" s="2"/>
      <c r="P375" s="53"/>
      <c r="Q375" s="53"/>
      <c r="R375" s="2"/>
      <c r="S375" s="2"/>
      <c r="T375" s="2"/>
    </row>
    <row r="376" spans="1:20">
      <c r="A376" s="3"/>
      <c r="B376" s="3"/>
      <c r="C376" s="2"/>
      <c r="D376" s="2"/>
      <c r="E376" s="51"/>
      <c r="F376" s="51"/>
      <c r="G376" s="51"/>
      <c r="H376" s="51"/>
      <c r="I376" s="2"/>
      <c r="J376" s="2"/>
      <c r="K376" s="2"/>
      <c r="L376" s="2"/>
      <c r="M376" s="2"/>
      <c r="N376" s="2"/>
      <c r="O376" s="2"/>
      <c r="P376" s="53"/>
      <c r="Q376" s="53"/>
      <c r="R376" s="2"/>
      <c r="S376" s="2"/>
      <c r="T376" s="2"/>
    </row>
    <row r="377" spans="1:20">
      <c r="A377" s="3"/>
      <c r="B377" s="3"/>
      <c r="C377" s="2"/>
      <c r="D377" s="2"/>
      <c r="E377" s="51"/>
      <c r="F377" s="51"/>
      <c r="G377" s="51"/>
      <c r="H377" s="51"/>
      <c r="I377" s="2"/>
      <c r="J377" s="2"/>
      <c r="K377" s="2"/>
      <c r="L377" s="2"/>
      <c r="M377" s="2"/>
      <c r="N377" s="2"/>
      <c r="O377" s="2"/>
      <c r="P377" s="53"/>
      <c r="Q377" s="53"/>
      <c r="R377" s="2"/>
      <c r="S377" s="2"/>
      <c r="T377" s="2"/>
    </row>
    <row r="378" spans="1:20">
      <c r="A378" s="3"/>
      <c r="B378" s="3"/>
      <c r="C378" s="2"/>
      <c r="D378" s="2"/>
      <c r="E378" s="51"/>
      <c r="F378" s="51"/>
      <c r="G378" s="51"/>
      <c r="H378" s="51"/>
      <c r="I378" s="2"/>
      <c r="J378" s="2"/>
      <c r="K378" s="2"/>
      <c r="L378" s="2"/>
      <c r="M378" s="2"/>
      <c r="N378" s="2"/>
      <c r="O378" s="2"/>
      <c r="P378" s="53"/>
      <c r="Q378" s="53"/>
      <c r="R378" s="2"/>
      <c r="S378" s="2"/>
      <c r="T378" s="2"/>
    </row>
    <row r="379" spans="1:20">
      <c r="A379" s="3"/>
      <c r="B379" s="3"/>
      <c r="C379" s="2"/>
      <c r="D379" s="2"/>
      <c r="E379" s="51"/>
      <c r="F379" s="51"/>
      <c r="G379" s="51"/>
      <c r="H379" s="51"/>
      <c r="I379" s="2"/>
      <c r="J379" s="2"/>
      <c r="K379" s="2"/>
      <c r="L379" s="2"/>
      <c r="M379" s="2"/>
      <c r="N379" s="2"/>
      <c r="O379" s="2"/>
      <c r="P379" s="53"/>
      <c r="Q379" s="53"/>
      <c r="R379" s="2"/>
      <c r="S379" s="2"/>
      <c r="T379" s="2"/>
    </row>
    <row r="380" spans="1:20">
      <c r="A380" s="3"/>
      <c r="B380" s="3"/>
      <c r="C380" s="2"/>
      <c r="D380" s="2"/>
      <c r="E380" s="51"/>
      <c r="F380" s="51"/>
      <c r="G380" s="51"/>
      <c r="H380" s="51"/>
      <c r="I380" s="2"/>
      <c r="J380" s="2"/>
      <c r="K380" s="2"/>
      <c r="L380" s="2"/>
      <c r="M380" s="2"/>
      <c r="N380" s="2"/>
      <c r="O380" s="2"/>
      <c r="P380" s="53"/>
      <c r="Q380" s="53"/>
      <c r="R380" s="2"/>
      <c r="S380" s="2"/>
      <c r="T380" s="2"/>
    </row>
    <row r="381" spans="1:20">
      <c r="A381" s="3"/>
      <c r="B381" s="3"/>
      <c r="C381" s="2"/>
      <c r="D381" s="2"/>
      <c r="E381" s="51"/>
      <c r="F381" s="51"/>
      <c r="G381" s="51"/>
      <c r="H381" s="51"/>
      <c r="I381" s="2"/>
      <c r="J381" s="2"/>
      <c r="K381" s="2"/>
      <c r="L381" s="2"/>
      <c r="M381" s="2"/>
      <c r="N381" s="2"/>
      <c r="O381" s="2"/>
      <c r="P381" s="53"/>
      <c r="Q381" s="53"/>
      <c r="R381" s="2"/>
      <c r="S381" s="2"/>
      <c r="T381" s="2"/>
    </row>
    <row r="382" spans="1:20">
      <c r="A382" s="3"/>
      <c r="B382" s="3"/>
      <c r="C382" s="2"/>
      <c r="D382" s="2"/>
      <c r="E382" s="51"/>
      <c r="F382" s="51"/>
      <c r="G382" s="51"/>
      <c r="H382" s="51"/>
      <c r="I382" s="2"/>
      <c r="J382" s="2"/>
      <c r="K382" s="2"/>
      <c r="L382" s="2"/>
      <c r="M382" s="2"/>
      <c r="N382" s="2"/>
      <c r="O382" s="2"/>
      <c r="P382" s="53"/>
      <c r="Q382" s="53"/>
      <c r="R382" s="2"/>
      <c r="S382" s="2"/>
      <c r="T382" s="2"/>
    </row>
    <row r="383" spans="1:20">
      <c r="A383" s="3"/>
      <c r="B383" s="3"/>
      <c r="C383" s="2"/>
      <c r="D383" s="2"/>
      <c r="E383" s="51"/>
      <c r="F383" s="51"/>
      <c r="G383" s="51"/>
      <c r="H383" s="51"/>
      <c r="I383" s="2"/>
      <c r="J383" s="2"/>
      <c r="K383" s="2"/>
      <c r="L383" s="2"/>
      <c r="M383" s="2"/>
      <c r="N383" s="2"/>
      <c r="O383" s="2"/>
      <c r="P383" s="53"/>
      <c r="Q383" s="53"/>
      <c r="R383" s="2"/>
      <c r="S383" s="2"/>
      <c r="T383" s="2"/>
    </row>
    <row r="384" spans="1:20">
      <c r="A384" s="3"/>
      <c r="B384" s="3"/>
      <c r="C384" s="2"/>
      <c r="D384" s="2"/>
      <c r="E384" s="51"/>
      <c r="F384" s="51"/>
      <c r="G384" s="51"/>
      <c r="H384" s="51"/>
      <c r="I384" s="2"/>
      <c r="J384" s="2"/>
      <c r="K384" s="2"/>
      <c r="L384" s="2"/>
      <c r="M384" s="2"/>
      <c r="N384" s="2"/>
      <c r="O384" s="2"/>
      <c r="P384" s="53"/>
      <c r="Q384" s="53"/>
      <c r="R384" s="2"/>
      <c r="S384" s="2"/>
      <c r="T384" s="2"/>
    </row>
    <row r="385" spans="1:20">
      <c r="A385" s="3"/>
      <c r="B385" s="3"/>
      <c r="C385" s="2"/>
      <c r="D385" s="2"/>
      <c r="E385" s="51"/>
      <c r="F385" s="51"/>
      <c r="G385" s="51"/>
      <c r="H385" s="51"/>
      <c r="I385" s="2"/>
      <c r="J385" s="2"/>
      <c r="K385" s="2"/>
      <c r="L385" s="2"/>
      <c r="M385" s="2"/>
      <c r="N385" s="2"/>
      <c r="O385" s="2"/>
      <c r="P385" s="53"/>
      <c r="Q385" s="53"/>
      <c r="R385" s="2"/>
      <c r="S385" s="2"/>
      <c r="T385" s="2"/>
    </row>
    <row r="386" spans="1:20">
      <c r="A386" s="3"/>
      <c r="B386" s="3"/>
      <c r="C386" s="2"/>
      <c r="D386" s="2"/>
      <c r="E386" s="51"/>
      <c r="F386" s="51"/>
      <c r="G386" s="51"/>
      <c r="H386" s="51"/>
      <c r="I386" s="2"/>
      <c r="J386" s="2"/>
      <c r="K386" s="2"/>
      <c r="L386" s="2"/>
      <c r="M386" s="2"/>
      <c r="N386" s="2"/>
      <c r="O386" s="2"/>
      <c r="P386" s="53"/>
      <c r="Q386" s="53"/>
      <c r="R386" s="2"/>
      <c r="S386" s="2"/>
      <c r="T386" s="2"/>
    </row>
    <row r="387" spans="1:20">
      <c r="A387" s="3"/>
      <c r="B387" s="3"/>
      <c r="C387" s="2"/>
      <c r="D387" s="2"/>
      <c r="E387" s="51"/>
      <c r="F387" s="51"/>
      <c r="G387" s="51"/>
      <c r="H387" s="51"/>
      <c r="I387" s="2"/>
      <c r="J387" s="2"/>
      <c r="K387" s="2"/>
      <c r="L387" s="2"/>
      <c r="M387" s="2"/>
      <c r="N387" s="2"/>
      <c r="O387" s="2"/>
      <c r="P387" s="53"/>
      <c r="Q387" s="53"/>
      <c r="R387" s="2"/>
      <c r="S387" s="2"/>
      <c r="T387" s="2"/>
    </row>
    <row r="388" spans="1:20">
      <c r="A388" s="3"/>
      <c r="B388" s="3"/>
      <c r="C388" s="2"/>
      <c r="D388" s="2"/>
      <c r="E388" s="51"/>
      <c r="F388" s="51"/>
      <c r="G388" s="51"/>
      <c r="H388" s="51"/>
      <c r="I388" s="2"/>
      <c r="J388" s="2"/>
      <c r="K388" s="2"/>
      <c r="L388" s="2"/>
      <c r="M388" s="2"/>
      <c r="N388" s="2"/>
      <c r="O388" s="2"/>
      <c r="P388" s="53"/>
      <c r="Q388" s="53"/>
      <c r="R388" s="2"/>
      <c r="S388" s="2"/>
      <c r="T388" s="2"/>
    </row>
    <row r="389" spans="1:20">
      <c r="A389" s="3"/>
      <c r="B389" s="3"/>
      <c r="C389" s="2"/>
      <c r="D389" s="2"/>
      <c r="E389" s="51"/>
      <c r="F389" s="51"/>
      <c r="G389" s="51"/>
      <c r="H389" s="51"/>
      <c r="I389" s="2"/>
      <c r="J389" s="2"/>
      <c r="K389" s="2"/>
      <c r="L389" s="2"/>
      <c r="M389" s="2"/>
      <c r="N389" s="2"/>
      <c r="O389" s="2"/>
      <c r="P389" s="53"/>
      <c r="Q389" s="53"/>
      <c r="R389" s="2"/>
      <c r="S389" s="2"/>
      <c r="T389" s="2"/>
    </row>
    <row r="390" spans="1:20">
      <c r="A390" s="3"/>
      <c r="B390" s="3"/>
      <c r="C390" s="2"/>
      <c r="D390" s="2"/>
      <c r="E390" s="51"/>
      <c r="F390" s="51"/>
      <c r="G390" s="51"/>
      <c r="H390" s="51"/>
      <c r="I390" s="2"/>
      <c r="J390" s="2"/>
      <c r="K390" s="2"/>
      <c r="L390" s="2"/>
      <c r="M390" s="2"/>
      <c r="N390" s="2"/>
      <c r="O390" s="2"/>
      <c r="P390" s="53"/>
      <c r="Q390" s="53"/>
      <c r="R390" s="2"/>
      <c r="S390" s="2"/>
      <c r="T390" s="2"/>
    </row>
    <row r="391" spans="1:20">
      <c r="A391" s="3"/>
      <c r="B391" s="3"/>
      <c r="C391" s="2"/>
      <c r="D391" s="2"/>
      <c r="E391" s="51"/>
      <c r="F391" s="51"/>
      <c r="G391" s="51"/>
      <c r="H391" s="51"/>
      <c r="I391" s="2"/>
      <c r="J391" s="2"/>
      <c r="K391" s="2"/>
      <c r="L391" s="2"/>
      <c r="M391" s="2"/>
      <c r="N391" s="2"/>
      <c r="O391" s="2"/>
      <c r="P391" s="53"/>
      <c r="Q391" s="53"/>
      <c r="R391" s="2"/>
      <c r="S391" s="2"/>
      <c r="T391" s="2"/>
    </row>
    <row r="392" spans="1:20">
      <c r="A392" s="3"/>
      <c r="B392" s="3"/>
      <c r="C392" s="2"/>
      <c r="D392" s="2"/>
      <c r="E392" s="51"/>
      <c r="F392" s="51"/>
      <c r="G392" s="51"/>
      <c r="H392" s="51"/>
      <c r="I392" s="2"/>
      <c r="J392" s="2"/>
      <c r="K392" s="2"/>
      <c r="L392" s="2"/>
      <c r="M392" s="2"/>
      <c r="N392" s="2"/>
      <c r="O392" s="2"/>
      <c r="P392" s="53"/>
      <c r="Q392" s="53"/>
      <c r="R392" s="2"/>
      <c r="S392" s="2"/>
      <c r="T392" s="2"/>
    </row>
    <row r="393" spans="1:20">
      <c r="A393" s="3"/>
      <c r="B393" s="3"/>
      <c r="C393" s="2"/>
      <c r="D393" s="2"/>
      <c r="E393" s="51"/>
      <c r="F393" s="51"/>
      <c r="G393" s="51"/>
      <c r="H393" s="51"/>
      <c r="I393" s="2"/>
      <c r="J393" s="2"/>
      <c r="K393" s="2"/>
      <c r="L393" s="2"/>
      <c r="M393" s="2"/>
      <c r="N393" s="2"/>
      <c r="O393" s="2"/>
      <c r="P393" s="53"/>
      <c r="Q393" s="53"/>
      <c r="R393" s="2"/>
      <c r="S393" s="2"/>
      <c r="T393" s="2"/>
    </row>
    <row r="394" spans="1:20">
      <c r="A394" s="3"/>
      <c r="B394" s="3"/>
      <c r="C394" s="2"/>
      <c r="D394" s="2"/>
      <c r="E394" s="51"/>
      <c r="F394" s="51"/>
      <c r="G394" s="51"/>
      <c r="H394" s="51"/>
      <c r="I394" s="2"/>
      <c r="J394" s="2"/>
      <c r="K394" s="2"/>
      <c r="L394" s="2"/>
      <c r="M394" s="2"/>
      <c r="N394" s="2"/>
      <c r="O394" s="2"/>
      <c r="P394" s="53"/>
      <c r="Q394" s="53"/>
      <c r="R394" s="2"/>
      <c r="S394" s="2"/>
      <c r="T394" s="2"/>
    </row>
    <row r="395" spans="1:20">
      <c r="A395" s="3"/>
      <c r="B395" s="3"/>
      <c r="C395" s="2"/>
      <c r="D395" s="2"/>
      <c r="E395" s="51"/>
      <c r="F395" s="51"/>
      <c r="G395" s="51"/>
      <c r="H395" s="51"/>
      <c r="I395" s="2"/>
      <c r="J395" s="2"/>
      <c r="K395" s="2"/>
      <c r="L395" s="2"/>
      <c r="M395" s="2"/>
      <c r="N395" s="2"/>
      <c r="O395" s="2"/>
      <c r="P395" s="53"/>
      <c r="Q395" s="53"/>
      <c r="R395" s="2"/>
      <c r="S395" s="2"/>
      <c r="T395" s="2"/>
    </row>
    <row r="396" spans="1:20">
      <c r="A396" s="3"/>
      <c r="B396" s="3"/>
      <c r="C396" s="2"/>
      <c r="D396" s="2"/>
      <c r="E396" s="51"/>
      <c r="F396" s="51"/>
      <c r="G396" s="51"/>
      <c r="H396" s="51"/>
      <c r="I396" s="2"/>
      <c r="J396" s="2"/>
      <c r="K396" s="2"/>
      <c r="L396" s="2"/>
      <c r="M396" s="2"/>
      <c r="N396" s="2"/>
      <c r="O396" s="2"/>
      <c r="P396" s="53"/>
      <c r="Q396" s="53"/>
      <c r="R396" s="2"/>
      <c r="S396" s="2"/>
      <c r="T396" s="2"/>
    </row>
    <row r="397" spans="1:20">
      <c r="A397" s="3"/>
      <c r="B397" s="3"/>
      <c r="C397" s="2"/>
      <c r="D397" s="2"/>
      <c r="E397" s="51"/>
      <c r="F397" s="51"/>
      <c r="G397" s="51"/>
      <c r="H397" s="51"/>
      <c r="I397" s="2"/>
      <c r="J397" s="2"/>
      <c r="K397" s="2"/>
      <c r="L397" s="2"/>
      <c r="M397" s="2"/>
      <c r="N397" s="2"/>
      <c r="O397" s="2"/>
      <c r="P397" s="53"/>
      <c r="Q397" s="53"/>
      <c r="R397" s="2"/>
      <c r="S397" s="2"/>
      <c r="T397" s="2"/>
    </row>
    <row r="398" spans="1:20">
      <c r="A398" s="3"/>
      <c r="B398" s="3"/>
      <c r="C398" s="2"/>
      <c r="D398" s="2"/>
      <c r="E398" s="51"/>
      <c r="F398" s="51"/>
      <c r="G398" s="51"/>
      <c r="H398" s="51"/>
      <c r="I398" s="2"/>
      <c r="J398" s="2"/>
      <c r="K398" s="2"/>
      <c r="L398" s="2"/>
      <c r="M398" s="2"/>
      <c r="N398" s="2"/>
      <c r="O398" s="2"/>
      <c r="P398" s="53"/>
      <c r="Q398" s="53"/>
      <c r="R398" s="2"/>
      <c r="S398" s="2"/>
      <c r="T398" s="2"/>
    </row>
    <row r="399" spans="1:20">
      <c r="A399" s="3"/>
      <c r="B399" s="3"/>
      <c r="C399" s="2"/>
      <c r="D399" s="2"/>
      <c r="E399" s="51"/>
      <c r="F399" s="51"/>
      <c r="G399" s="51"/>
      <c r="H399" s="51"/>
      <c r="I399" s="2"/>
      <c r="J399" s="2"/>
      <c r="K399" s="2"/>
      <c r="L399" s="2"/>
      <c r="M399" s="2"/>
      <c r="N399" s="2"/>
      <c r="O399" s="2"/>
      <c r="P399" s="53"/>
      <c r="Q399" s="53"/>
      <c r="R399" s="2"/>
      <c r="S399" s="2"/>
      <c r="T399" s="2"/>
    </row>
    <row r="400" spans="1:20">
      <c r="A400" s="3"/>
      <c r="B400" s="3"/>
      <c r="C400" s="2"/>
      <c r="D400" s="2"/>
      <c r="E400" s="51"/>
      <c r="F400" s="51"/>
      <c r="G400" s="51"/>
      <c r="H400" s="51"/>
      <c r="I400" s="2"/>
      <c r="J400" s="2"/>
      <c r="K400" s="2"/>
      <c r="L400" s="2"/>
      <c r="M400" s="2"/>
      <c r="N400" s="2"/>
      <c r="O400" s="2"/>
      <c r="P400" s="53"/>
      <c r="Q400" s="53"/>
      <c r="R400" s="2"/>
      <c r="S400" s="2"/>
      <c r="T400" s="2"/>
    </row>
    <row r="401" spans="1:20">
      <c r="A401" s="3"/>
      <c r="B401" s="3"/>
      <c r="C401" s="2"/>
      <c r="D401" s="2"/>
      <c r="E401" s="51"/>
      <c r="F401" s="51"/>
      <c r="G401" s="51"/>
      <c r="H401" s="51"/>
      <c r="I401" s="2"/>
      <c r="J401" s="2"/>
      <c r="K401" s="2"/>
      <c r="L401" s="2"/>
      <c r="M401" s="2"/>
      <c r="N401" s="2"/>
      <c r="O401" s="2"/>
      <c r="P401" s="53"/>
      <c r="Q401" s="53"/>
      <c r="R401" s="2"/>
      <c r="S401" s="2"/>
      <c r="T401" s="2"/>
    </row>
    <row r="402" spans="1:20">
      <c r="A402" s="3"/>
      <c r="B402" s="3"/>
      <c r="C402" s="2"/>
      <c r="D402" s="2"/>
      <c r="E402" s="51"/>
      <c r="F402" s="51"/>
      <c r="G402" s="51"/>
      <c r="H402" s="51"/>
      <c r="I402" s="2"/>
      <c r="J402" s="2"/>
      <c r="K402" s="2"/>
      <c r="L402" s="2"/>
      <c r="M402" s="2"/>
      <c r="N402" s="2"/>
      <c r="O402" s="2"/>
      <c r="P402" s="53"/>
      <c r="Q402" s="53"/>
      <c r="R402" s="2"/>
      <c r="S402" s="2"/>
      <c r="T402" s="2"/>
    </row>
    <row r="403" spans="1:20">
      <c r="A403" s="3"/>
      <c r="B403" s="3"/>
      <c r="C403" s="2"/>
      <c r="D403" s="2"/>
      <c r="E403" s="51"/>
      <c r="F403" s="51"/>
      <c r="G403" s="51"/>
      <c r="H403" s="51"/>
      <c r="I403" s="2"/>
      <c r="J403" s="2"/>
      <c r="K403" s="2"/>
      <c r="L403" s="2"/>
      <c r="M403" s="2"/>
      <c r="N403" s="2"/>
      <c r="O403" s="2"/>
      <c r="P403" s="53"/>
      <c r="Q403" s="53"/>
      <c r="R403" s="2"/>
      <c r="S403" s="2"/>
      <c r="T403" s="2"/>
    </row>
    <row r="404" spans="1:20">
      <c r="A404" s="3"/>
      <c r="B404" s="3"/>
      <c r="C404" s="2"/>
      <c r="D404" s="2"/>
      <c r="E404" s="51"/>
      <c r="F404" s="51"/>
      <c r="G404" s="51"/>
      <c r="H404" s="51"/>
      <c r="I404" s="2"/>
      <c r="J404" s="2"/>
      <c r="K404" s="2"/>
      <c r="L404" s="2"/>
      <c r="M404" s="2"/>
      <c r="N404" s="2"/>
      <c r="O404" s="2"/>
      <c r="P404" s="53"/>
      <c r="Q404" s="53"/>
      <c r="R404" s="2"/>
      <c r="S404" s="2"/>
      <c r="T404" s="2"/>
    </row>
    <row r="405" spans="1:20">
      <c r="A405" s="3"/>
      <c r="B405" s="3"/>
      <c r="C405" s="2"/>
      <c r="D405" s="2"/>
      <c r="E405" s="51"/>
      <c r="F405" s="51"/>
      <c r="G405" s="51"/>
      <c r="H405" s="51"/>
      <c r="I405" s="2"/>
      <c r="J405" s="2"/>
      <c r="K405" s="2"/>
      <c r="L405" s="2"/>
      <c r="M405" s="2"/>
      <c r="N405" s="2"/>
      <c r="O405" s="2"/>
      <c r="P405" s="53"/>
      <c r="Q405" s="53"/>
      <c r="R405" s="2"/>
      <c r="S405" s="2"/>
      <c r="T405" s="2"/>
    </row>
    <row r="406" spans="1:20">
      <c r="A406" s="3"/>
      <c r="B406" s="3"/>
      <c r="C406" s="2"/>
      <c r="D406" s="2"/>
      <c r="E406" s="51"/>
      <c r="F406" s="51"/>
      <c r="G406" s="51"/>
      <c r="H406" s="51"/>
      <c r="I406" s="2"/>
      <c r="J406" s="2"/>
      <c r="K406" s="2"/>
      <c r="L406" s="2"/>
      <c r="M406" s="2"/>
      <c r="N406" s="2"/>
      <c r="O406" s="2"/>
      <c r="P406" s="53"/>
      <c r="Q406" s="53"/>
      <c r="R406" s="2"/>
      <c r="S406" s="2"/>
      <c r="T406" s="2"/>
    </row>
    <row r="407" spans="1:20">
      <c r="A407" s="3"/>
      <c r="B407" s="3"/>
      <c r="C407" s="2"/>
      <c r="D407" s="2"/>
      <c r="E407" s="51"/>
      <c r="F407" s="51"/>
      <c r="G407" s="51"/>
      <c r="H407" s="51"/>
      <c r="I407" s="2"/>
      <c r="J407" s="2"/>
      <c r="K407" s="2"/>
      <c r="L407" s="2"/>
      <c r="M407" s="2"/>
      <c r="N407" s="2"/>
      <c r="O407" s="2"/>
      <c r="P407" s="53"/>
      <c r="Q407" s="53"/>
      <c r="R407" s="2"/>
      <c r="S407" s="2"/>
      <c r="T407" s="2"/>
    </row>
    <row r="408" spans="1:20">
      <c r="A408" s="3"/>
      <c r="B408" s="3"/>
      <c r="C408" s="2"/>
      <c r="D408" s="2"/>
      <c r="E408" s="51"/>
      <c r="F408" s="51"/>
      <c r="G408" s="51"/>
      <c r="H408" s="51"/>
      <c r="I408" s="2"/>
      <c r="J408" s="2"/>
      <c r="K408" s="2"/>
      <c r="L408" s="2"/>
      <c r="M408" s="2"/>
      <c r="N408" s="2"/>
      <c r="O408" s="2"/>
      <c r="P408" s="53"/>
      <c r="Q408" s="53"/>
      <c r="R408" s="2"/>
      <c r="S408" s="2"/>
      <c r="T408" s="2"/>
    </row>
    <row r="409" spans="1:20">
      <c r="A409" s="3"/>
      <c r="B409" s="3"/>
      <c r="C409" s="2"/>
      <c r="D409" s="2"/>
      <c r="E409" s="51"/>
      <c r="F409" s="51"/>
      <c r="G409" s="51"/>
      <c r="H409" s="51"/>
      <c r="I409" s="2"/>
      <c r="J409" s="2"/>
      <c r="K409" s="2"/>
      <c r="L409" s="2"/>
      <c r="M409" s="2"/>
      <c r="N409" s="2"/>
      <c r="O409" s="2"/>
      <c r="P409" s="53"/>
      <c r="Q409" s="53"/>
      <c r="R409" s="2"/>
      <c r="S409" s="2"/>
      <c r="T409" s="2"/>
    </row>
    <row r="410" spans="1:20">
      <c r="A410" s="3"/>
      <c r="B410" s="3"/>
      <c r="C410" s="2"/>
      <c r="D410" s="2"/>
      <c r="E410" s="51"/>
      <c r="F410" s="51"/>
      <c r="G410" s="51"/>
      <c r="H410" s="51"/>
      <c r="I410" s="2"/>
      <c r="J410" s="2"/>
      <c r="K410" s="2"/>
      <c r="L410" s="2"/>
      <c r="M410" s="2"/>
      <c r="N410" s="2"/>
      <c r="O410" s="2"/>
      <c r="P410" s="53"/>
      <c r="Q410" s="53"/>
      <c r="R410" s="2"/>
      <c r="S410" s="2"/>
      <c r="T410" s="2"/>
    </row>
    <row r="411" spans="1:20">
      <c r="A411" s="3"/>
      <c r="B411" s="3"/>
      <c r="C411" s="2"/>
      <c r="D411" s="2"/>
      <c r="E411" s="51"/>
      <c r="F411" s="51"/>
      <c r="G411" s="51"/>
      <c r="H411" s="51"/>
      <c r="I411" s="2"/>
      <c r="J411" s="2"/>
      <c r="K411" s="2"/>
      <c r="L411" s="2"/>
      <c r="M411" s="2"/>
      <c r="N411" s="2"/>
      <c r="O411" s="2"/>
      <c r="P411" s="53"/>
      <c r="Q411" s="53"/>
      <c r="R411" s="2"/>
      <c r="S411" s="2"/>
      <c r="T411" s="2"/>
    </row>
    <row r="412" spans="1:20">
      <c r="A412" s="3"/>
      <c r="B412" s="3"/>
      <c r="C412" s="2"/>
      <c r="D412" s="2"/>
      <c r="E412" s="51"/>
      <c r="F412" s="51"/>
      <c r="G412" s="51"/>
      <c r="H412" s="51"/>
      <c r="I412" s="2"/>
      <c r="J412" s="2"/>
      <c r="K412" s="2"/>
      <c r="L412" s="2"/>
      <c r="M412" s="2"/>
      <c r="N412" s="2"/>
      <c r="O412" s="2"/>
      <c r="P412" s="53"/>
      <c r="Q412" s="53"/>
      <c r="R412" s="2"/>
      <c r="S412" s="2"/>
      <c r="T412" s="2"/>
    </row>
    <row r="413" spans="1:20">
      <c r="A413" s="3"/>
      <c r="B413" s="3"/>
      <c r="C413" s="2"/>
      <c r="D413" s="2"/>
      <c r="E413" s="51"/>
      <c r="F413" s="51"/>
      <c r="G413" s="51"/>
      <c r="H413" s="51"/>
      <c r="I413" s="2"/>
      <c r="J413" s="2"/>
      <c r="K413" s="2"/>
      <c r="L413" s="2"/>
      <c r="M413" s="2"/>
      <c r="N413" s="2"/>
      <c r="O413" s="2"/>
      <c r="P413" s="53"/>
      <c r="Q413" s="53"/>
      <c r="R413" s="2"/>
      <c r="S413" s="2"/>
      <c r="T413" s="2"/>
    </row>
    <row r="414" spans="1:20">
      <c r="A414" s="3"/>
      <c r="B414" s="3"/>
      <c r="C414" s="2"/>
      <c r="D414" s="2"/>
      <c r="E414" s="51"/>
      <c r="F414" s="51"/>
      <c r="G414" s="51"/>
      <c r="H414" s="51"/>
      <c r="I414" s="2"/>
      <c r="J414" s="2"/>
      <c r="K414" s="2"/>
      <c r="L414" s="2"/>
      <c r="M414" s="2"/>
      <c r="N414" s="2"/>
      <c r="O414" s="2"/>
      <c r="P414" s="53"/>
      <c r="Q414" s="53"/>
      <c r="R414" s="2"/>
      <c r="S414" s="2"/>
      <c r="T414" s="2"/>
    </row>
    <row r="415" spans="1:20">
      <c r="A415" s="3"/>
      <c r="B415" s="3"/>
      <c r="C415" s="2"/>
      <c r="D415" s="2"/>
      <c r="E415" s="51"/>
      <c r="F415" s="51"/>
      <c r="G415" s="51"/>
      <c r="H415" s="51"/>
      <c r="I415" s="2"/>
      <c r="J415" s="2"/>
      <c r="K415" s="2"/>
      <c r="L415" s="2"/>
      <c r="M415" s="2"/>
      <c r="N415" s="2"/>
      <c r="O415" s="2"/>
      <c r="P415" s="53"/>
      <c r="Q415" s="53"/>
      <c r="R415" s="2"/>
      <c r="S415" s="2"/>
      <c r="T415" s="2"/>
    </row>
    <row r="416" spans="1:20">
      <c r="A416" s="3"/>
      <c r="B416" s="3"/>
      <c r="C416" s="2"/>
      <c r="D416" s="2"/>
      <c r="E416" s="51"/>
      <c r="F416" s="51"/>
      <c r="G416" s="51"/>
      <c r="H416" s="51"/>
      <c r="I416" s="2"/>
      <c r="J416" s="2"/>
      <c r="K416" s="2"/>
      <c r="L416" s="2"/>
      <c r="M416" s="2"/>
      <c r="N416" s="2"/>
      <c r="O416" s="2"/>
      <c r="P416" s="53"/>
      <c r="Q416" s="53"/>
      <c r="R416" s="2"/>
      <c r="S416" s="2"/>
      <c r="T416" s="2"/>
    </row>
    <row r="417" spans="1:20">
      <c r="A417" s="3"/>
      <c r="B417" s="3"/>
      <c r="C417" s="2"/>
      <c r="D417" s="2"/>
      <c r="E417" s="51"/>
      <c r="F417" s="51"/>
      <c r="G417" s="51"/>
      <c r="H417" s="51"/>
      <c r="I417" s="2"/>
      <c r="J417" s="2"/>
      <c r="K417" s="2"/>
      <c r="L417" s="2"/>
      <c r="M417" s="2"/>
      <c r="N417" s="2"/>
      <c r="O417" s="2"/>
      <c r="P417" s="53"/>
      <c r="Q417" s="53"/>
      <c r="R417" s="2"/>
      <c r="S417" s="2"/>
      <c r="T417" s="2"/>
    </row>
    <row r="418" spans="1:20">
      <c r="A418" s="3"/>
      <c r="B418" s="3"/>
      <c r="C418" s="2"/>
      <c r="D418" s="2"/>
      <c r="E418" s="51"/>
      <c r="F418" s="51"/>
      <c r="G418" s="51"/>
      <c r="H418" s="51"/>
      <c r="I418" s="2"/>
      <c r="J418" s="2"/>
      <c r="K418" s="2"/>
      <c r="L418" s="2"/>
      <c r="M418" s="2"/>
      <c r="N418" s="2"/>
      <c r="O418" s="2"/>
      <c r="P418" s="53"/>
      <c r="Q418" s="53"/>
      <c r="R418" s="2"/>
      <c r="S418" s="2"/>
      <c r="T418" s="2"/>
    </row>
    <row r="419" spans="1:20">
      <c r="A419" s="3"/>
      <c r="B419" s="3"/>
      <c r="C419" s="2"/>
      <c r="D419" s="2"/>
      <c r="E419" s="51"/>
      <c r="F419" s="51"/>
      <c r="G419" s="51"/>
      <c r="H419" s="51"/>
      <c r="I419" s="2"/>
      <c r="J419" s="2"/>
      <c r="K419" s="2"/>
      <c r="L419" s="2"/>
      <c r="M419" s="2"/>
      <c r="N419" s="2"/>
      <c r="O419" s="2"/>
      <c r="P419" s="53"/>
      <c r="Q419" s="53"/>
      <c r="R419" s="2"/>
      <c r="S419" s="2"/>
      <c r="T419" s="2"/>
    </row>
    <row r="420" spans="1:20">
      <c r="A420" s="3"/>
      <c r="B420" s="3"/>
      <c r="C420" s="2"/>
      <c r="D420" s="2"/>
      <c r="E420" s="51"/>
      <c r="F420" s="51"/>
      <c r="G420" s="51"/>
      <c r="H420" s="51"/>
      <c r="I420" s="2"/>
      <c r="J420" s="2"/>
      <c r="K420" s="2"/>
      <c r="L420" s="2"/>
      <c r="M420" s="2"/>
      <c r="N420" s="2"/>
      <c r="O420" s="2"/>
      <c r="P420" s="53"/>
      <c r="Q420" s="53"/>
      <c r="R420" s="2"/>
      <c r="S420" s="2"/>
      <c r="T420" s="2"/>
    </row>
    <row r="421" spans="1:20">
      <c r="A421" s="3"/>
      <c r="B421" s="3"/>
      <c r="C421" s="2"/>
      <c r="D421" s="2"/>
      <c r="E421" s="51"/>
      <c r="F421" s="51"/>
      <c r="G421" s="51"/>
      <c r="H421" s="51"/>
      <c r="I421" s="2"/>
      <c r="J421" s="2"/>
      <c r="K421" s="2"/>
      <c r="L421" s="2"/>
      <c r="M421" s="2"/>
      <c r="N421" s="2"/>
      <c r="O421" s="2"/>
      <c r="P421" s="53"/>
      <c r="Q421" s="53"/>
      <c r="R421" s="2"/>
      <c r="S421" s="2"/>
      <c r="T421" s="2"/>
    </row>
    <row r="422" spans="1:20">
      <c r="A422" s="3"/>
      <c r="B422" s="3"/>
      <c r="C422" s="2"/>
      <c r="D422" s="2"/>
      <c r="E422" s="51"/>
      <c r="F422" s="51"/>
      <c r="G422" s="51"/>
      <c r="H422" s="51"/>
      <c r="I422" s="2"/>
      <c r="J422" s="2"/>
      <c r="K422" s="2"/>
      <c r="L422" s="2"/>
      <c r="M422" s="2"/>
      <c r="N422" s="2"/>
      <c r="O422" s="2"/>
      <c r="P422" s="53"/>
      <c r="Q422" s="53"/>
      <c r="R422" s="2"/>
      <c r="S422" s="2"/>
      <c r="T422" s="2"/>
    </row>
    <row r="423" spans="1:20">
      <c r="A423" s="3"/>
      <c r="B423" s="3"/>
      <c r="C423" s="2"/>
      <c r="D423" s="2"/>
      <c r="E423" s="51"/>
      <c r="F423" s="51"/>
      <c r="G423" s="51"/>
      <c r="H423" s="51"/>
      <c r="I423" s="2"/>
      <c r="J423" s="2"/>
      <c r="K423" s="2"/>
      <c r="L423" s="2"/>
      <c r="M423" s="2"/>
      <c r="N423" s="2"/>
      <c r="O423" s="2"/>
      <c r="P423" s="53"/>
      <c r="Q423" s="53"/>
      <c r="R423" s="2"/>
      <c r="S423" s="2"/>
      <c r="T423" s="2"/>
    </row>
    <row r="424" spans="1:20">
      <c r="A424" s="3"/>
      <c r="B424" s="3"/>
      <c r="C424" s="2"/>
      <c r="D424" s="2"/>
      <c r="E424" s="51"/>
      <c r="F424" s="51"/>
      <c r="G424" s="51"/>
      <c r="H424" s="51"/>
      <c r="I424" s="2"/>
      <c r="J424" s="2"/>
      <c r="K424" s="2"/>
      <c r="L424" s="2"/>
      <c r="M424" s="2"/>
      <c r="N424" s="2"/>
      <c r="O424" s="2"/>
      <c r="P424" s="53"/>
      <c r="Q424" s="53"/>
      <c r="R424" s="2"/>
      <c r="S424" s="2"/>
      <c r="T424" s="2"/>
    </row>
    <row r="425" spans="1:20">
      <c r="A425" s="3"/>
      <c r="B425" s="3"/>
      <c r="C425" s="2"/>
      <c r="D425" s="2"/>
      <c r="E425" s="51"/>
      <c r="F425" s="51"/>
      <c r="G425" s="51"/>
      <c r="H425" s="51"/>
      <c r="I425" s="2"/>
      <c r="J425" s="2"/>
      <c r="K425" s="2"/>
      <c r="L425" s="2"/>
      <c r="M425" s="2"/>
      <c r="N425" s="2"/>
      <c r="O425" s="2"/>
      <c r="P425" s="53"/>
      <c r="Q425" s="53"/>
      <c r="R425" s="2"/>
      <c r="S425" s="2"/>
      <c r="T425" s="2"/>
    </row>
    <row r="426" spans="1:20">
      <c r="A426" s="3"/>
      <c r="B426" s="3"/>
      <c r="C426" s="2"/>
      <c r="D426" s="2"/>
      <c r="E426" s="51"/>
      <c r="F426" s="51"/>
      <c r="G426" s="51"/>
      <c r="H426" s="51"/>
      <c r="I426" s="2"/>
      <c r="J426" s="2"/>
      <c r="K426" s="2"/>
      <c r="L426" s="2"/>
      <c r="M426" s="2"/>
      <c r="N426" s="2"/>
      <c r="O426" s="2"/>
      <c r="P426" s="53"/>
      <c r="Q426" s="53"/>
      <c r="R426" s="2"/>
      <c r="S426" s="2"/>
      <c r="T426" s="2"/>
    </row>
    <row r="427" spans="1:20">
      <c r="A427" s="3"/>
      <c r="B427" s="3"/>
      <c r="C427" s="2"/>
      <c r="D427" s="2"/>
      <c r="E427" s="51"/>
      <c r="F427" s="51"/>
      <c r="G427" s="51"/>
      <c r="H427" s="51"/>
      <c r="I427" s="2"/>
      <c r="J427" s="2"/>
      <c r="K427" s="2"/>
      <c r="L427" s="2"/>
      <c r="M427" s="2"/>
      <c r="N427" s="2"/>
      <c r="O427" s="2"/>
      <c r="P427" s="53"/>
      <c r="Q427" s="53"/>
      <c r="R427" s="2"/>
      <c r="S427" s="2"/>
      <c r="T427" s="2"/>
    </row>
    <row r="428" spans="1:20">
      <c r="A428" s="3"/>
      <c r="B428" s="3"/>
      <c r="C428" s="2"/>
      <c r="D428" s="2"/>
      <c r="E428" s="51"/>
      <c r="F428" s="51"/>
      <c r="G428" s="51"/>
      <c r="H428" s="51"/>
      <c r="I428" s="2"/>
      <c r="J428" s="2"/>
      <c r="K428" s="2"/>
      <c r="L428" s="2"/>
      <c r="M428" s="2"/>
      <c r="N428" s="2"/>
      <c r="O428" s="2"/>
      <c r="P428" s="53"/>
      <c r="Q428" s="53"/>
      <c r="R428" s="2"/>
      <c r="S428" s="2"/>
      <c r="T428" s="2"/>
    </row>
    <row r="429" spans="1:20">
      <c r="A429" s="3"/>
      <c r="B429" s="3"/>
      <c r="C429" s="2"/>
      <c r="D429" s="2"/>
      <c r="E429" s="51"/>
      <c r="F429" s="51"/>
      <c r="G429" s="51"/>
      <c r="H429" s="51"/>
      <c r="I429" s="2"/>
      <c r="J429" s="2"/>
      <c r="K429" s="2"/>
      <c r="L429" s="2"/>
      <c r="M429" s="2"/>
      <c r="N429" s="2"/>
      <c r="O429" s="2"/>
      <c r="P429" s="53"/>
      <c r="Q429" s="53"/>
      <c r="R429" s="2"/>
      <c r="S429" s="2"/>
      <c r="T429" s="2"/>
    </row>
    <row r="430" spans="1:20">
      <c r="A430" s="3"/>
      <c r="B430" s="3"/>
      <c r="C430" s="2"/>
      <c r="D430" s="2"/>
      <c r="E430" s="51"/>
      <c r="F430" s="51"/>
      <c r="G430" s="51"/>
      <c r="H430" s="51"/>
      <c r="I430" s="2"/>
      <c r="J430" s="2"/>
      <c r="K430" s="2"/>
      <c r="L430" s="2"/>
      <c r="M430" s="2"/>
      <c r="N430" s="2"/>
      <c r="O430" s="2"/>
      <c r="P430" s="53"/>
      <c r="Q430" s="53"/>
      <c r="R430" s="2"/>
      <c r="S430" s="2"/>
      <c r="T430" s="2"/>
    </row>
    <row r="431" spans="1:20">
      <c r="A431" s="3"/>
      <c r="B431" s="3"/>
      <c r="C431" s="2"/>
      <c r="D431" s="2"/>
      <c r="E431" s="51"/>
      <c r="F431" s="51"/>
      <c r="G431" s="51"/>
      <c r="H431" s="51"/>
      <c r="I431" s="2"/>
      <c r="J431" s="2"/>
      <c r="K431" s="2"/>
      <c r="L431" s="2"/>
      <c r="M431" s="2"/>
      <c r="N431" s="2"/>
      <c r="O431" s="2"/>
      <c r="P431" s="53"/>
      <c r="Q431" s="53"/>
      <c r="R431" s="2"/>
      <c r="S431" s="2"/>
      <c r="T431" s="2"/>
    </row>
    <row r="432" spans="1:20">
      <c r="A432" s="3"/>
      <c r="B432" s="3"/>
      <c r="C432" s="2"/>
      <c r="D432" s="2"/>
      <c r="E432" s="51"/>
      <c r="F432" s="51"/>
      <c r="G432" s="51"/>
      <c r="H432" s="51"/>
      <c r="I432" s="2"/>
      <c r="J432" s="2"/>
      <c r="K432" s="2"/>
      <c r="L432" s="2"/>
      <c r="M432" s="2"/>
      <c r="N432" s="2"/>
      <c r="O432" s="2"/>
      <c r="P432" s="53"/>
      <c r="Q432" s="53"/>
      <c r="R432" s="2"/>
      <c r="S432" s="2"/>
      <c r="T432" s="2"/>
    </row>
    <row r="433" spans="1:20">
      <c r="A433" s="3"/>
      <c r="B433" s="3"/>
      <c r="C433" s="2"/>
      <c r="D433" s="2"/>
      <c r="E433" s="51"/>
      <c r="F433" s="51"/>
      <c r="G433" s="51"/>
      <c r="H433" s="51"/>
      <c r="I433" s="2"/>
      <c r="J433" s="2"/>
      <c r="K433" s="2"/>
      <c r="L433" s="2"/>
      <c r="M433" s="2"/>
      <c r="N433" s="2"/>
      <c r="O433" s="2"/>
      <c r="P433" s="53"/>
      <c r="Q433" s="53"/>
      <c r="R433" s="2"/>
      <c r="S433" s="2"/>
      <c r="T433" s="2"/>
    </row>
    <row r="434" spans="1:20">
      <c r="A434" s="3"/>
      <c r="B434" s="3"/>
      <c r="C434" s="2"/>
      <c r="D434" s="2"/>
      <c r="E434" s="51"/>
      <c r="F434" s="51"/>
      <c r="G434" s="51"/>
      <c r="H434" s="51"/>
      <c r="I434" s="2"/>
      <c r="J434" s="2"/>
      <c r="K434" s="2"/>
      <c r="L434" s="2"/>
      <c r="M434" s="2"/>
      <c r="N434" s="2"/>
      <c r="O434" s="2"/>
      <c r="P434" s="53"/>
      <c r="Q434" s="53"/>
      <c r="R434" s="2"/>
      <c r="S434" s="2"/>
      <c r="T434" s="2"/>
    </row>
    <row r="435" spans="1:20">
      <c r="A435" s="3"/>
      <c r="B435" s="3"/>
      <c r="C435" s="2"/>
      <c r="D435" s="2"/>
      <c r="E435" s="51"/>
      <c r="F435" s="51"/>
      <c r="G435" s="51"/>
      <c r="H435" s="51"/>
      <c r="I435" s="2"/>
      <c r="J435" s="2"/>
      <c r="K435" s="2"/>
      <c r="L435" s="2"/>
      <c r="M435" s="2"/>
      <c r="N435" s="2"/>
      <c r="O435" s="2"/>
      <c r="P435" s="53"/>
      <c r="Q435" s="53"/>
      <c r="R435" s="2"/>
      <c r="S435" s="2"/>
      <c r="T435" s="2"/>
    </row>
    <row r="436" spans="1:20">
      <c r="A436" s="3"/>
      <c r="B436" s="3"/>
      <c r="C436" s="2"/>
      <c r="D436" s="2"/>
      <c r="E436" s="51"/>
      <c r="F436" s="51"/>
      <c r="G436" s="51"/>
      <c r="H436" s="51"/>
      <c r="I436" s="2"/>
      <c r="J436" s="2"/>
      <c r="K436" s="2"/>
      <c r="L436" s="2"/>
      <c r="M436" s="2"/>
      <c r="N436" s="2"/>
      <c r="O436" s="2"/>
      <c r="P436" s="53"/>
      <c r="Q436" s="53"/>
      <c r="R436" s="2"/>
      <c r="S436" s="2"/>
      <c r="T436" s="2"/>
    </row>
    <row r="437" spans="1:20">
      <c r="A437" s="3"/>
      <c r="B437" s="3"/>
      <c r="C437" s="2"/>
      <c r="D437" s="2"/>
      <c r="E437" s="51"/>
      <c r="F437" s="51"/>
      <c r="G437" s="51"/>
      <c r="H437" s="51"/>
      <c r="I437" s="2"/>
      <c r="J437" s="2"/>
      <c r="K437" s="2"/>
      <c r="L437" s="2"/>
      <c r="M437" s="2"/>
      <c r="N437" s="2"/>
      <c r="O437" s="2"/>
      <c r="P437" s="53"/>
      <c r="Q437" s="53"/>
      <c r="R437" s="2"/>
      <c r="S437" s="2"/>
      <c r="T437" s="2"/>
    </row>
    <row r="438" spans="1:20">
      <c r="A438" s="3"/>
      <c r="B438" s="3"/>
      <c r="C438" s="2"/>
      <c r="D438" s="2"/>
      <c r="E438" s="51"/>
      <c r="F438" s="51"/>
      <c r="G438" s="51"/>
      <c r="H438" s="51"/>
      <c r="I438" s="2"/>
      <c r="J438" s="2"/>
      <c r="K438" s="2"/>
      <c r="L438" s="2"/>
      <c r="M438" s="2"/>
      <c r="N438" s="2"/>
      <c r="O438" s="2"/>
      <c r="P438" s="53"/>
      <c r="Q438" s="53"/>
      <c r="R438" s="2"/>
      <c r="S438" s="2"/>
      <c r="T438" s="2"/>
    </row>
    <row r="439" spans="1:20">
      <c r="A439" s="3"/>
      <c r="B439" s="3"/>
      <c r="C439" s="2"/>
      <c r="D439" s="2"/>
      <c r="E439" s="51"/>
      <c r="F439" s="51"/>
      <c r="G439" s="51"/>
      <c r="H439" s="51"/>
      <c r="I439" s="2"/>
      <c r="J439" s="2"/>
      <c r="K439" s="2"/>
      <c r="L439" s="2"/>
      <c r="M439" s="2"/>
      <c r="N439" s="2"/>
      <c r="O439" s="2"/>
      <c r="P439" s="53"/>
      <c r="Q439" s="53"/>
      <c r="R439" s="2"/>
      <c r="S439" s="2"/>
      <c r="T439" s="2"/>
    </row>
    <row r="440" spans="1:20">
      <c r="A440" s="3"/>
      <c r="B440" s="3"/>
      <c r="C440" s="2"/>
      <c r="D440" s="2"/>
      <c r="E440" s="51"/>
      <c r="F440" s="51"/>
      <c r="G440" s="51"/>
      <c r="H440" s="51"/>
      <c r="I440" s="2"/>
      <c r="J440" s="2"/>
      <c r="K440" s="2"/>
      <c r="L440" s="2"/>
      <c r="M440" s="2"/>
      <c r="N440" s="2"/>
      <c r="O440" s="2"/>
      <c r="P440" s="53"/>
      <c r="Q440" s="53"/>
      <c r="R440" s="2"/>
      <c r="S440" s="2"/>
      <c r="T440" s="2"/>
    </row>
    <row r="441" spans="1:20">
      <c r="A441" s="3"/>
      <c r="B441" s="3"/>
      <c r="C441" s="2"/>
      <c r="D441" s="2"/>
      <c r="E441" s="51"/>
      <c r="F441" s="51"/>
      <c r="G441" s="51"/>
      <c r="H441" s="51"/>
      <c r="I441" s="2"/>
      <c r="J441" s="2"/>
      <c r="K441" s="2"/>
      <c r="L441" s="2"/>
      <c r="M441" s="2"/>
      <c r="N441" s="2"/>
      <c r="O441" s="2"/>
      <c r="P441" s="53"/>
      <c r="Q441" s="53"/>
      <c r="R441" s="2"/>
      <c r="S441" s="2"/>
      <c r="T441" s="2"/>
    </row>
    <row r="442" spans="1:20">
      <c r="A442" s="3"/>
      <c r="B442" s="3"/>
      <c r="C442" s="2"/>
      <c r="D442" s="2"/>
      <c r="E442" s="51"/>
      <c r="F442" s="51"/>
      <c r="G442" s="51"/>
      <c r="H442" s="51"/>
      <c r="I442" s="2"/>
      <c r="J442" s="2"/>
      <c r="K442" s="2"/>
      <c r="L442" s="2"/>
      <c r="M442" s="2"/>
      <c r="N442" s="2"/>
      <c r="O442" s="2"/>
      <c r="P442" s="53"/>
      <c r="Q442" s="53"/>
      <c r="R442" s="2"/>
      <c r="S442" s="2"/>
      <c r="T442" s="2"/>
    </row>
    <row r="443" spans="1:20">
      <c r="A443" s="3"/>
      <c r="B443" s="3"/>
      <c r="C443" s="2"/>
      <c r="D443" s="2"/>
      <c r="E443" s="51"/>
      <c r="F443" s="51"/>
      <c r="G443" s="51"/>
      <c r="H443" s="51"/>
      <c r="I443" s="2"/>
      <c r="J443" s="2"/>
      <c r="K443" s="2"/>
      <c r="L443" s="2"/>
      <c r="M443" s="2"/>
      <c r="N443" s="2"/>
      <c r="O443" s="2"/>
      <c r="P443" s="53"/>
      <c r="Q443" s="53"/>
      <c r="R443" s="2"/>
      <c r="S443" s="2"/>
      <c r="T443" s="2"/>
    </row>
    <row r="444" spans="1:20">
      <c r="A444" s="3"/>
      <c r="B444" s="3"/>
      <c r="C444" s="2"/>
      <c r="D444" s="2"/>
      <c r="E444" s="51"/>
      <c r="F444" s="51"/>
      <c r="G444" s="51"/>
      <c r="H444" s="51"/>
      <c r="I444" s="2"/>
      <c r="J444" s="2"/>
      <c r="K444" s="2"/>
      <c r="L444" s="2"/>
      <c r="M444" s="2"/>
      <c r="N444" s="2"/>
      <c r="O444" s="2"/>
      <c r="P444" s="53"/>
      <c r="Q444" s="53"/>
      <c r="R444" s="2"/>
      <c r="S444" s="2"/>
      <c r="T444" s="2"/>
    </row>
    <row r="445" spans="1:20">
      <c r="A445" s="3"/>
      <c r="B445" s="3"/>
      <c r="C445" s="2"/>
      <c r="D445" s="2"/>
      <c r="E445" s="51"/>
      <c r="F445" s="51"/>
      <c r="G445" s="51"/>
      <c r="H445" s="51"/>
      <c r="I445" s="2"/>
      <c r="J445" s="2"/>
      <c r="K445" s="2"/>
      <c r="L445" s="2"/>
      <c r="M445" s="2"/>
      <c r="N445" s="2"/>
      <c r="O445" s="2"/>
      <c r="P445" s="53"/>
      <c r="Q445" s="53"/>
      <c r="R445" s="2"/>
      <c r="S445" s="2"/>
      <c r="T445" s="2"/>
    </row>
    <row r="446" spans="1:20">
      <c r="A446" s="3"/>
      <c r="B446" s="3"/>
      <c r="C446" s="2"/>
      <c r="D446" s="2"/>
      <c r="E446" s="51"/>
      <c r="F446" s="51"/>
      <c r="G446" s="51"/>
      <c r="H446" s="51"/>
      <c r="I446" s="2"/>
      <c r="J446" s="2"/>
      <c r="K446" s="2"/>
      <c r="L446" s="2"/>
      <c r="M446" s="2"/>
      <c r="N446" s="2"/>
      <c r="O446" s="2"/>
      <c r="P446" s="53"/>
      <c r="Q446" s="53"/>
      <c r="R446" s="2"/>
      <c r="S446" s="2"/>
      <c r="T446" s="2"/>
    </row>
    <row r="447" spans="1:20">
      <c r="A447" s="3"/>
      <c r="B447" s="3"/>
      <c r="C447" s="2"/>
      <c r="D447" s="2"/>
      <c r="E447" s="51"/>
      <c r="F447" s="51"/>
      <c r="G447" s="51"/>
      <c r="H447" s="51"/>
      <c r="I447" s="2"/>
      <c r="J447" s="2"/>
      <c r="K447" s="2"/>
      <c r="L447" s="2"/>
      <c r="M447" s="2"/>
      <c r="N447" s="2"/>
      <c r="O447" s="2"/>
      <c r="P447" s="53"/>
      <c r="Q447" s="53"/>
      <c r="R447" s="2"/>
      <c r="S447" s="2"/>
      <c r="T447" s="2"/>
    </row>
    <row r="448" spans="1:20">
      <c r="A448" s="3"/>
      <c r="B448" s="3"/>
      <c r="C448" s="2"/>
      <c r="D448" s="2"/>
      <c r="E448" s="51"/>
      <c r="F448" s="51"/>
      <c r="G448" s="51"/>
      <c r="H448" s="51"/>
      <c r="I448" s="2"/>
      <c r="J448" s="2"/>
      <c r="K448" s="2"/>
      <c r="L448" s="2"/>
      <c r="M448" s="2"/>
      <c r="N448" s="2"/>
      <c r="O448" s="2"/>
      <c r="P448" s="53"/>
      <c r="Q448" s="53"/>
      <c r="R448" s="2"/>
      <c r="S448" s="2"/>
      <c r="T448" s="2"/>
    </row>
    <row r="449" spans="1:20">
      <c r="A449" s="3"/>
      <c r="B449" s="3"/>
      <c r="C449" s="2"/>
      <c r="D449" s="2"/>
      <c r="E449" s="51"/>
      <c r="F449" s="51"/>
      <c r="G449" s="51"/>
      <c r="H449" s="51"/>
      <c r="I449" s="2"/>
      <c r="J449" s="2"/>
      <c r="K449" s="2"/>
      <c r="L449" s="2"/>
      <c r="M449" s="2"/>
      <c r="N449" s="2"/>
      <c r="O449" s="2"/>
      <c r="P449" s="53"/>
      <c r="Q449" s="53"/>
      <c r="R449" s="2"/>
      <c r="S449" s="2"/>
      <c r="T449" s="2"/>
    </row>
    <row r="450" spans="1:20">
      <c r="A450" s="3"/>
      <c r="B450" s="3"/>
      <c r="C450" s="2"/>
      <c r="D450" s="2"/>
      <c r="E450" s="51"/>
      <c r="F450" s="51"/>
      <c r="G450" s="51"/>
      <c r="H450" s="51"/>
      <c r="I450" s="2"/>
      <c r="J450" s="2"/>
      <c r="K450" s="2"/>
      <c r="L450" s="2"/>
      <c r="M450" s="2"/>
      <c r="N450" s="2"/>
      <c r="O450" s="2"/>
      <c r="P450" s="53"/>
      <c r="Q450" s="53"/>
      <c r="R450" s="2"/>
      <c r="S450" s="2"/>
      <c r="T450" s="2"/>
    </row>
    <row r="451" spans="1:20">
      <c r="A451" s="3"/>
      <c r="B451" s="3"/>
      <c r="C451" s="2"/>
      <c r="D451" s="2"/>
      <c r="E451" s="51"/>
      <c r="F451" s="51"/>
      <c r="G451" s="51"/>
      <c r="H451" s="51"/>
      <c r="I451" s="2"/>
      <c r="J451" s="2"/>
      <c r="K451" s="2"/>
      <c r="L451" s="2"/>
      <c r="M451" s="2"/>
      <c r="N451" s="2"/>
      <c r="O451" s="2"/>
      <c r="P451" s="53"/>
      <c r="Q451" s="53"/>
      <c r="R451" s="2"/>
      <c r="S451" s="2"/>
      <c r="T451" s="2"/>
    </row>
    <row r="452" spans="1:20">
      <c r="A452" s="3"/>
      <c r="B452" s="3"/>
      <c r="C452" s="2"/>
      <c r="D452" s="2"/>
      <c r="E452" s="51"/>
      <c r="F452" s="51"/>
      <c r="G452" s="51"/>
      <c r="H452" s="51"/>
      <c r="I452" s="2"/>
      <c r="J452" s="2"/>
      <c r="K452" s="2"/>
      <c r="L452" s="2"/>
      <c r="M452" s="2"/>
      <c r="N452" s="2"/>
      <c r="O452" s="2"/>
      <c r="P452" s="53"/>
      <c r="Q452" s="53"/>
      <c r="R452" s="2"/>
      <c r="S452" s="2"/>
      <c r="T452" s="2"/>
    </row>
    <row r="453" spans="1:20">
      <c r="A453" s="3"/>
      <c r="B453" s="3"/>
      <c r="C453" s="2"/>
      <c r="D453" s="2"/>
      <c r="E453" s="51"/>
      <c r="F453" s="51"/>
      <c r="G453" s="51"/>
      <c r="H453" s="51"/>
      <c r="I453" s="2"/>
      <c r="J453" s="2"/>
      <c r="K453" s="2"/>
      <c r="L453" s="2"/>
      <c r="M453" s="2"/>
      <c r="N453" s="2"/>
      <c r="O453" s="2"/>
      <c r="P453" s="53"/>
      <c r="Q453" s="53"/>
      <c r="R453" s="2"/>
      <c r="S453" s="2"/>
      <c r="T453" s="2"/>
    </row>
    <row r="454" spans="1:20">
      <c r="A454" s="3"/>
      <c r="B454" s="3"/>
      <c r="C454" s="2"/>
      <c r="D454" s="2"/>
      <c r="E454" s="51"/>
      <c r="F454" s="51"/>
      <c r="G454" s="51"/>
      <c r="H454" s="51"/>
      <c r="I454" s="2"/>
      <c r="J454" s="2"/>
      <c r="K454" s="2"/>
      <c r="L454" s="2"/>
      <c r="M454" s="2"/>
      <c r="N454" s="2"/>
      <c r="O454" s="2"/>
      <c r="P454" s="53"/>
      <c r="Q454" s="53"/>
      <c r="R454" s="2"/>
      <c r="S454" s="2"/>
      <c r="T454" s="2"/>
    </row>
    <row r="455" spans="1:20">
      <c r="A455" s="3"/>
      <c r="B455" s="3"/>
      <c r="C455" s="2"/>
      <c r="D455" s="2"/>
      <c r="E455" s="51"/>
      <c r="F455" s="51"/>
      <c r="G455" s="51"/>
      <c r="H455" s="51"/>
      <c r="I455" s="2"/>
      <c r="J455" s="2"/>
      <c r="K455" s="2"/>
      <c r="L455" s="2"/>
      <c r="M455" s="2"/>
      <c r="N455" s="2"/>
      <c r="O455" s="2"/>
      <c r="P455" s="53"/>
      <c r="Q455" s="53"/>
      <c r="R455" s="2"/>
      <c r="S455" s="2"/>
      <c r="T455" s="2"/>
    </row>
    <row r="456" spans="1:20">
      <c r="A456" s="3"/>
      <c r="B456" s="3"/>
      <c r="C456" s="2"/>
      <c r="D456" s="2"/>
      <c r="E456" s="51"/>
      <c r="F456" s="51"/>
      <c r="G456" s="51"/>
      <c r="H456" s="51"/>
      <c r="I456" s="2"/>
      <c r="J456" s="2"/>
      <c r="K456" s="2"/>
      <c r="L456" s="2"/>
      <c r="M456" s="2"/>
      <c r="N456" s="2"/>
      <c r="O456" s="2"/>
      <c r="P456" s="53"/>
      <c r="Q456" s="53"/>
      <c r="R456" s="2"/>
      <c r="S456" s="2"/>
      <c r="T456" s="2"/>
    </row>
    <row r="457" spans="1:20">
      <c r="A457" s="3"/>
      <c r="B457" s="3"/>
      <c r="C457" s="2"/>
      <c r="D457" s="2"/>
      <c r="E457" s="51"/>
      <c r="F457" s="51"/>
      <c r="G457" s="51"/>
      <c r="H457" s="51"/>
      <c r="I457" s="2"/>
      <c r="J457" s="2"/>
      <c r="K457" s="2"/>
      <c r="L457" s="2"/>
      <c r="M457" s="2"/>
      <c r="N457" s="2"/>
      <c r="O457" s="2"/>
      <c r="P457" s="53"/>
      <c r="Q457" s="53"/>
      <c r="R457" s="2"/>
      <c r="S457" s="2"/>
      <c r="T457" s="2"/>
    </row>
    <row r="458" spans="1:20">
      <c r="A458" s="3"/>
      <c r="B458" s="3"/>
      <c r="C458" s="2"/>
      <c r="D458" s="2"/>
      <c r="E458" s="51"/>
      <c r="F458" s="51"/>
      <c r="G458" s="51"/>
      <c r="H458" s="51"/>
      <c r="I458" s="2"/>
      <c r="J458" s="2"/>
      <c r="K458" s="2"/>
      <c r="L458" s="2"/>
      <c r="M458" s="2"/>
      <c r="N458" s="2"/>
      <c r="O458" s="2"/>
      <c r="P458" s="53"/>
      <c r="Q458" s="53"/>
      <c r="R458" s="2"/>
      <c r="S458" s="2"/>
      <c r="T458" s="2"/>
    </row>
    <row r="459" spans="1:20">
      <c r="A459" s="3"/>
      <c r="B459" s="3"/>
      <c r="C459" s="2"/>
      <c r="D459" s="2"/>
      <c r="E459" s="51"/>
      <c r="F459" s="51"/>
      <c r="G459" s="51"/>
      <c r="H459" s="51"/>
      <c r="I459" s="2"/>
      <c r="J459" s="2"/>
      <c r="K459" s="2"/>
      <c r="L459" s="2"/>
      <c r="M459" s="2"/>
      <c r="N459" s="2"/>
      <c r="O459" s="2"/>
      <c r="P459" s="53"/>
      <c r="Q459" s="53"/>
      <c r="R459" s="2"/>
      <c r="S459" s="2"/>
      <c r="T459" s="2"/>
    </row>
    <row r="460" spans="1:20">
      <c r="A460" s="3"/>
      <c r="B460" s="3"/>
      <c r="C460" s="2"/>
      <c r="D460" s="2"/>
      <c r="E460" s="51"/>
      <c r="F460" s="51"/>
      <c r="G460" s="51"/>
      <c r="H460" s="51"/>
      <c r="I460" s="2"/>
      <c r="J460" s="2"/>
      <c r="K460" s="2"/>
      <c r="L460" s="2"/>
      <c r="M460" s="2"/>
      <c r="N460" s="2"/>
      <c r="O460" s="2"/>
      <c r="P460" s="53"/>
      <c r="Q460" s="53"/>
      <c r="R460" s="2"/>
      <c r="S460" s="2"/>
      <c r="T460" s="2"/>
    </row>
    <row r="461" spans="1:20">
      <c r="A461" s="3"/>
      <c r="B461" s="3"/>
      <c r="C461" s="2"/>
      <c r="D461" s="2"/>
      <c r="E461" s="51"/>
      <c r="F461" s="51"/>
      <c r="G461" s="51"/>
      <c r="H461" s="51"/>
      <c r="I461" s="2"/>
      <c r="J461" s="2"/>
      <c r="K461" s="2"/>
      <c r="L461" s="2"/>
      <c r="M461" s="2"/>
      <c r="N461" s="2"/>
      <c r="O461" s="2"/>
      <c r="P461" s="53"/>
      <c r="Q461" s="53"/>
      <c r="R461" s="2"/>
      <c r="S461" s="2"/>
      <c r="T461" s="2"/>
    </row>
    <row r="462" spans="1:20">
      <c r="A462" s="3"/>
      <c r="B462" s="3"/>
      <c r="C462" s="2"/>
      <c r="D462" s="2"/>
      <c r="E462" s="51"/>
      <c r="F462" s="51"/>
      <c r="G462" s="51"/>
      <c r="H462" s="51"/>
      <c r="I462" s="2"/>
      <c r="J462" s="2"/>
      <c r="K462" s="2"/>
      <c r="L462" s="2"/>
      <c r="M462" s="2"/>
      <c r="N462" s="2"/>
      <c r="O462" s="2"/>
      <c r="P462" s="53"/>
      <c r="Q462" s="53"/>
      <c r="R462" s="2"/>
      <c r="S462" s="2"/>
      <c r="T462" s="2"/>
    </row>
    <row r="463" spans="1:20">
      <c r="A463" s="3"/>
      <c r="B463" s="3"/>
      <c r="C463" s="2"/>
      <c r="D463" s="2"/>
      <c r="E463" s="51"/>
      <c r="F463" s="51"/>
      <c r="G463" s="51"/>
      <c r="H463" s="51"/>
      <c r="I463" s="2"/>
      <c r="J463" s="2"/>
      <c r="K463" s="2"/>
      <c r="L463" s="2"/>
      <c r="M463" s="2"/>
      <c r="N463" s="2"/>
      <c r="O463" s="2"/>
      <c r="P463" s="53"/>
      <c r="Q463" s="53"/>
      <c r="R463" s="2"/>
      <c r="S463" s="2"/>
      <c r="T463" s="2"/>
    </row>
    <row r="464" spans="1:20">
      <c r="A464" s="3"/>
      <c r="B464" s="3"/>
      <c r="C464" s="2"/>
      <c r="D464" s="2"/>
      <c r="E464" s="51"/>
      <c r="F464" s="51"/>
      <c r="G464" s="51"/>
      <c r="H464" s="51"/>
      <c r="I464" s="2"/>
      <c r="J464" s="2"/>
      <c r="K464" s="2"/>
      <c r="L464" s="2"/>
      <c r="M464" s="2"/>
      <c r="N464" s="2"/>
      <c r="O464" s="2"/>
      <c r="P464" s="53"/>
      <c r="Q464" s="53"/>
      <c r="R464" s="2"/>
      <c r="S464" s="2"/>
      <c r="T464" s="2"/>
    </row>
    <row r="465" spans="1:20">
      <c r="A465" s="3"/>
      <c r="B465" s="3"/>
      <c r="C465" s="2"/>
      <c r="D465" s="2"/>
      <c r="E465" s="51"/>
      <c r="F465" s="51"/>
      <c r="G465" s="51"/>
      <c r="H465" s="51"/>
      <c r="I465" s="2"/>
      <c r="J465" s="2"/>
      <c r="K465" s="2"/>
      <c r="L465" s="2"/>
      <c r="M465" s="2"/>
      <c r="N465" s="2"/>
      <c r="O465" s="2"/>
      <c r="P465" s="53"/>
      <c r="Q465" s="53"/>
      <c r="R465" s="2"/>
      <c r="S465" s="2"/>
      <c r="T465" s="2"/>
    </row>
    <row r="466" spans="1:20">
      <c r="A466" s="3"/>
      <c r="B466" s="3"/>
      <c r="C466" s="2"/>
      <c r="D466" s="2"/>
      <c r="E466" s="51"/>
      <c r="F466" s="51"/>
      <c r="G466" s="51"/>
      <c r="H466" s="51"/>
      <c r="I466" s="2"/>
      <c r="J466" s="2"/>
      <c r="K466" s="2"/>
      <c r="L466" s="2"/>
      <c r="M466" s="2"/>
      <c r="N466" s="2"/>
      <c r="O466" s="2"/>
      <c r="P466" s="53"/>
      <c r="Q466" s="53"/>
      <c r="R466" s="2"/>
      <c r="S466" s="2"/>
      <c r="T466" s="2"/>
    </row>
    <row r="467" spans="1:20">
      <c r="A467" s="3"/>
      <c r="B467" s="3"/>
      <c r="C467" s="2"/>
      <c r="D467" s="2"/>
      <c r="E467" s="51"/>
      <c r="F467" s="51"/>
      <c r="G467" s="51"/>
      <c r="H467" s="51"/>
      <c r="I467" s="2"/>
      <c r="J467" s="2"/>
      <c r="K467" s="2"/>
      <c r="L467" s="2"/>
      <c r="M467" s="2"/>
      <c r="N467" s="2"/>
      <c r="O467" s="2"/>
      <c r="P467" s="53"/>
      <c r="Q467" s="53"/>
      <c r="R467" s="2"/>
      <c r="S467" s="2"/>
      <c r="T467" s="2"/>
    </row>
    <row r="468" spans="1:20">
      <c r="A468" s="3"/>
      <c r="B468" s="3"/>
      <c r="C468" s="2"/>
      <c r="D468" s="2"/>
      <c r="E468" s="51"/>
      <c r="F468" s="51"/>
      <c r="G468" s="51"/>
      <c r="H468" s="51"/>
      <c r="I468" s="2"/>
      <c r="J468" s="2"/>
      <c r="K468" s="2"/>
      <c r="L468" s="2"/>
      <c r="M468" s="2"/>
      <c r="N468" s="2"/>
      <c r="O468" s="2"/>
      <c r="P468" s="53"/>
      <c r="Q468" s="53"/>
      <c r="R468" s="2"/>
      <c r="S468" s="2"/>
      <c r="T468" s="2"/>
    </row>
    <row r="469" spans="1:20">
      <c r="A469" s="3"/>
      <c r="B469" s="3"/>
      <c r="C469" s="2"/>
      <c r="D469" s="2"/>
      <c r="E469" s="51"/>
      <c r="F469" s="51"/>
      <c r="G469" s="51"/>
      <c r="H469" s="51"/>
      <c r="I469" s="2"/>
      <c r="J469" s="2"/>
      <c r="K469" s="2"/>
      <c r="L469" s="2"/>
      <c r="M469" s="2"/>
      <c r="N469" s="2"/>
      <c r="O469" s="2"/>
      <c r="P469" s="53"/>
      <c r="Q469" s="53"/>
      <c r="R469" s="2"/>
      <c r="S469" s="2"/>
      <c r="T469" s="2"/>
    </row>
    <row r="470" spans="1:20">
      <c r="A470" s="3"/>
      <c r="B470" s="3"/>
      <c r="C470" s="2"/>
      <c r="D470" s="2"/>
      <c r="E470" s="51"/>
      <c r="F470" s="51"/>
      <c r="G470" s="51"/>
      <c r="H470" s="51"/>
      <c r="I470" s="2"/>
      <c r="J470" s="2"/>
      <c r="K470" s="2"/>
      <c r="L470" s="2"/>
      <c r="M470" s="2"/>
      <c r="N470" s="2"/>
      <c r="O470" s="2"/>
      <c r="P470" s="53"/>
      <c r="Q470" s="53"/>
      <c r="R470" s="2"/>
      <c r="S470" s="2"/>
      <c r="T470" s="2"/>
    </row>
    <row r="471" spans="1:20">
      <c r="A471" s="3"/>
      <c r="B471" s="3"/>
      <c r="C471" s="2"/>
      <c r="D471" s="2"/>
      <c r="E471" s="51"/>
      <c r="F471" s="51"/>
      <c r="G471" s="51"/>
      <c r="H471" s="51"/>
      <c r="I471" s="2"/>
      <c r="J471" s="2"/>
      <c r="K471" s="2"/>
      <c r="L471" s="2"/>
      <c r="M471" s="2"/>
      <c r="N471" s="2"/>
      <c r="O471" s="2"/>
      <c r="P471" s="53"/>
      <c r="Q471" s="53"/>
      <c r="R471" s="2"/>
      <c r="S471" s="2"/>
      <c r="T471" s="2"/>
    </row>
    <row r="472" spans="1:20">
      <c r="A472" s="3"/>
      <c r="B472" s="3"/>
      <c r="C472" s="2"/>
      <c r="D472" s="2"/>
      <c r="E472" s="51"/>
      <c r="F472" s="51"/>
      <c r="G472" s="51"/>
      <c r="H472" s="51"/>
      <c r="I472" s="2"/>
      <c r="J472" s="2"/>
      <c r="K472" s="2"/>
      <c r="L472" s="2"/>
      <c r="M472" s="2"/>
      <c r="N472" s="2"/>
      <c r="O472" s="2"/>
      <c r="P472" s="53"/>
      <c r="Q472" s="53"/>
      <c r="R472" s="2"/>
      <c r="S472" s="2"/>
      <c r="T472" s="2"/>
    </row>
    <row r="473" spans="1:20">
      <c r="A473" s="3"/>
      <c r="B473" s="3"/>
      <c r="C473" s="2"/>
      <c r="D473" s="2"/>
      <c r="E473" s="51"/>
      <c r="F473" s="51"/>
      <c r="G473" s="51"/>
      <c r="H473" s="51"/>
      <c r="I473" s="2"/>
      <c r="J473" s="2"/>
      <c r="K473" s="2"/>
      <c r="L473" s="2"/>
      <c r="M473" s="2"/>
      <c r="N473" s="2"/>
      <c r="O473" s="2"/>
      <c r="P473" s="53"/>
      <c r="Q473" s="53"/>
      <c r="R473" s="2"/>
      <c r="S473" s="2"/>
      <c r="T473" s="2"/>
    </row>
    <row r="474" spans="1:20">
      <c r="A474" s="3"/>
      <c r="B474" s="3"/>
      <c r="C474" s="2"/>
      <c r="D474" s="2"/>
      <c r="E474" s="51"/>
      <c r="F474" s="51"/>
      <c r="G474" s="51"/>
      <c r="H474" s="51"/>
      <c r="I474" s="2"/>
      <c r="J474" s="2"/>
      <c r="K474" s="2"/>
      <c r="L474" s="2"/>
      <c r="M474" s="2"/>
      <c r="N474" s="2"/>
      <c r="O474" s="2"/>
      <c r="P474" s="53"/>
      <c r="Q474" s="53"/>
      <c r="R474" s="2"/>
      <c r="S474" s="2"/>
      <c r="T474" s="2"/>
    </row>
    <row r="475" spans="1:20">
      <c r="A475" s="3"/>
      <c r="B475" s="3"/>
      <c r="C475" s="2"/>
      <c r="D475" s="2"/>
      <c r="E475" s="51"/>
      <c r="F475" s="51"/>
      <c r="G475" s="51"/>
      <c r="H475" s="51"/>
      <c r="I475" s="2"/>
      <c r="J475" s="2"/>
      <c r="K475" s="2"/>
      <c r="L475" s="2"/>
      <c r="M475" s="2"/>
      <c r="N475" s="2"/>
      <c r="O475" s="2"/>
      <c r="P475" s="53"/>
      <c r="Q475" s="53"/>
      <c r="R475" s="2"/>
      <c r="S475" s="2"/>
      <c r="T475" s="2"/>
    </row>
    <row r="476" spans="1:20">
      <c r="A476" s="3"/>
      <c r="B476" s="3"/>
      <c r="C476" s="2"/>
      <c r="D476" s="2"/>
      <c r="E476" s="51"/>
      <c r="F476" s="51"/>
      <c r="G476" s="51"/>
      <c r="H476" s="51"/>
      <c r="I476" s="2"/>
      <c r="J476" s="2"/>
      <c r="K476" s="2"/>
      <c r="L476" s="2"/>
      <c r="M476" s="2"/>
      <c r="N476" s="2"/>
      <c r="O476" s="2"/>
      <c r="P476" s="53"/>
      <c r="Q476" s="53"/>
      <c r="R476" s="2"/>
      <c r="S476" s="2"/>
      <c r="T476" s="2"/>
    </row>
    <row r="477" spans="1:20">
      <c r="A477" s="3"/>
      <c r="B477" s="3"/>
      <c r="C477" s="2"/>
      <c r="D477" s="2"/>
      <c r="E477" s="51"/>
      <c r="F477" s="51"/>
      <c r="G477" s="51"/>
      <c r="H477" s="51"/>
      <c r="I477" s="2"/>
      <c r="J477" s="2"/>
      <c r="K477" s="2"/>
      <c r="L477" s="2"/>
      <c r="M477" s="2"/>
      <c r="N477" s="2"/>
      <c r="O477" s="2"/>
      <c r="P477" s="53"/>
      <c r="Q477" s="53"/>
      <c r="R477" s="2"/>
      <c r="S477" s="2"/>
      <c r="T477" s="2"/>
    </row>
    <row r="478" spans="1:20">
      <c r="A478" s="3"/>
      <c r="B478" s="3"/>
      <c r="C478" s="2"/>
      <c r="D478" s="2"/>
      <c r="E478" s="51"/>
      <c r="F478" s="51"/>
      <c r="G478" s="51"/>
      <c r="H478" s="51"/>
      <c r="I478" s="2"/>
      <c r="J478" s="2"/>
      <c r="K478" s="2"/>
      <c r="L478" s="2"/>
      <c r="M478" s="2"/>
      <c r="N478" s="2"/>
      <c r="O478" s="2"/>
      <c r="P478" s="53"/>
      <c r="Q478" s="53"/>
      <c r="R478" s="2"/>
      <c r="S478" s="2"/>
      <c r="T478" s="2"/>
    </row>
    <row r="479" spans="1:20">
      <c r="A479" s="3"/>
      <c r="B479" s="3"/>
      <c r="C479" s="2"/>
      <c r="D479" s="2"/>
      <c r="E479" s="51"/>
      <c r="F479" s="51"/>
      <c r="G479" s="51"/>
      <c r="H479" s="51"/>
      <c r="I479" s="2"/>
      <c r="J479" s="2"/>
      <c r="K479" s="2"/>
      <c r="L479" s="2"/>
      <c r="M479" s="2"/>
      <c r="N479" s="2"/>
      <c r="O479" s="2"/>
      <c r="P479" s="53"/>
      <c r="Q479" s="53"/>
      <c r="R479" s="2"/>
      <c r="S479" s="2"/>
      <c r="T479" s="2"/>
    </row>
    <row r="480" spans="1:20">
      <c r="A480" s="3"/>
      <c r="B480" s="3"/>
      <c r="C480" s="2"/>
      <c r="D480" s="2"/>
      <c r="E480" s="51"/>
      <c r="F480" s="51"/>
      <c r="G480" s="51"/>
      <c r="H480" s="51"/>
      <c r="I480" s="2"/>
      <c r="J480" s="2"/>
      <c r="K480" s="2"/>
      <c r="L480" s="2"/>
      <c r="M480" s="2"/>
      <c r="N480" s="2"/>
      <c r="O480" s="2"/>
      <c r="P480" s="53"/>
      <c r="Q480" s="53"/>
      <c r="R480" s="2"/>
      <c r="S480" s="2"/>
      <c r="T480" s="2"/>
    </row>
    <row r="481" spans="1:20">
      <c r="A481" s="3"/>
      <c r="B481" s="3"/>
      <c r="C481" s="2"/>
      <c r="D481" s="2"/>
      <c r="E481" s="51"/>
      <c r="F481" s="51"/>
      <c r="G481" s="51"/>
      <c r="H481" s="51"/>
      <c r="I481" s="2"/>
      <c r="J481" s="2"/>
      <c r="K481" s="2"/>
      <c r="L481" s="2"/>
      <c r="M481" s="2"/>
      <c r="N481" s="2"/>
      <c r="O481" s="2"/>
      <c r="P481" s="53"/>
      <c r="Q481" s="53"/>
      <c r="R481" s="2"/>
      <c r="S481" s="2"/>
      <c r="T481" s="2"/>
    </row>
    <row r="482" spans="1:20">
      <c r="A482" s="3"/>
      <c r="B482" s="3"/>
      <c r="C482" s="2"/>
      <c r="D482" s="2"/>
      <c r="E482" s="51"/>
      <c r="F482" s="51"/>
      <c r="G482" s="51"/>
      <c r="H482" s="51"/>
      <c r="I482" s="2"/>
      <c r="J482" s="2"/>
      <c r="K482" s="2"/>
      <c r="L482" s="2"/>
      <c r="M482" s="2"/>
      <c r="N482" s="2"/>
      <c r="O482" s="2"/>
      <c r="P482" s="53"/>
      <c r="Q482" s="53"/>
      <c r="R482" s="2"/>
      <c r="S482" s="2"/>
      <c r="T482" s="2"/>
    </row>
    <row r="483" spans="1:20">
      <c r="A483" s="3"/>
      <c r="B483" s="3"/>
      <c r="C483" s="2"/>
      <c r="D483" s="2"/>
      <c r="E483" s="51"/>
      <c r="F483" s="51"/>
      <c r="G483" s="51"/>
      <c r="H483" s="51"/>
      <c r="I483" s="2"/>
      <c r="J483" s="2"/>
      <c r="K483" s="2"/>
      <c r="L483" s="2"/>
      <c r="M483" s="2"/>
      <c r="N483" s="2"/>
      <c r="O483" s="2"/>
      <c r="P483" s="53"/>
      <c r="Q483" s="53"/>
      <c r="R483" s="2"/>
      <c r="S483" s="2"/>
      <c r="T483" s="2"/>
    </row>
    <row r="484" spans="1:20">
      <c r="A484" s="3"/>
      <c r="B484" s="3"/>
      <c r="C484" s="2"/>
      <c r="D484" s="2"/>
      <c r="E484" s="51"/>
      <c r="F484" s="51"/>
      <c r="G484" s="51"/>
      <c r="H484" s="51"/>
      <c r="I484" s="2"/>
      <c r="J484" s="2"/>
      <c r="K484" s="2"/>
      <c r="L484" s="2"/>
      <c r="M484" s="2"/>
      <c r="N484" s="2"/>
      <c r="O484" s="2"/>
      <c r="P484" s="53"/>
      <c r="Q484" s="53"/>
      <c r="R484" s="2"/>
      <c r="S484" s="2"/>
      <c r="T484" s="2"/>
    </row>
    <row r="485" spans="1:20">
      <c r="A485" s="3"/>
      <c r="B485" s="3"/>
      <c r="C485" s="2"/>
      <c r="D485" s="2"/>
      <c r="E485" s="51"/>
      <c r="F485" s="51"/>
      <c r="G485" s="51"/>
      <c r="H485" s="51"/>
      <c r="I485" s="2"/>
      <c r="J485" s="2"/>
      <c r="K485" s="2"/>
      <c r="L485" s="2"/>
      <c r="M485" s="2"/>
      <c r="N485" s="2"/>
      <c r="O485" s="2"/>
      <c r="P485" s="53"/>
      <c r="Q485" s="53"/>
      <c r="R485" s="2"/>
      <c r="S485" s="2"/>
      <c r="T485" s="2"/>
    </row>
    <row r="486" spans="1:20">
      <c r="A486" s="3"/>
      <c r="B486" s="3"/>
      <c r="C486" s="2"/>
      <c r="D486" s="2"/>
      <c r="E486" s="51"/>
      <c r="F486" s="51"/>
      <c r="G486" s="51"/>
      <c r="H486" s="51"/>
      <c r="I486" s="2"/>
      <c r="J486" s="2"/>
      <c r="K486" s="2"/>
      <c r="L486" s="2"/>
      <c r="M486" s="2"/>
      <c r="N486" s="2"/>
      <c r="O486" s="2"/>
      <c r="P486" s="53"/>
      <c r="Q486" s="53"/>
      <c r="R486" s="2"/>
      <c r="S486" s="2"/>
      <c r="T486" s="2"/>
    </row>
    <row r="487" spans="1:20">
      <c r="A487" s="3"/>
      <c r="B487" s="3"/>
      <c r="C487" s="2"/>
      <c r="D487" s="2"/>
      <c r="E487" s="51"/>
      <c r="F487" s="51"/>
      <c r="G487" s="51"/>
      <c r="H487" s="51"/>
      <c r="I487" s="2"/>
      <c r="J487" s="2"/>
      <c r="K487" s="2"/>
      <c r="L487" s="2"/>
      <c r="M487" s="2"/>
      <c r="N487" s="2"/>
      <c r="O487" s="2"/>
      <c r="P487" s="53"/>
      <c r="Q487" s="53"/>
      <c r="R487" s="2"/>
      <c r="S487" s="2"/>
      <c r="T487" s="2"/>
    </row>
    <row r="488" spans="1:20">
      <c r="A488" s="3"/>
      <c r="B488" s="3"/>
      <c r="C488" s="2"/>
      <c r="D488" s="2"/>
      <c r="E488" s="51"/>
      <c r="F488" s="51"/>
      <c r="G488" s="51"/>
      <c r="H488" s="51"/>
      <c r="I488" s="2"/>
      <c r="J488" s="2"/>
      <c r="K488" s="2"/>
      <c r="L488" s="2"/>
      <c r="M488" s="2"/>
      <c r="N488" s="2"/>
      <c r="O488" s="2"/>
      <c r="P488" s="53"/>
      <c r="Q488" s="53"/>
      <c r="R488" s="2"/>
      <c r="S488" s="2"/>
      <c r="T488" s="2"/>
    </row>
    <row r="489" spans="1:20">
      <c r="A489" s="3"/>
      <c r="B489" s="3"/>
      <c r="C489" s="2"/>
      <c r="D489" s="2"/>
      <c r="E489" s="51"/>
      <c r="F489" s="51"/>
      <c r="G489" s="51"/>
      <c r="H489" s="51"/>
      <c r="I489" s="2"/>
      <c r="J489" s="2"/>
      <c r="K489" s="2"/>
      <c r="L489" s="2"/>
      <c r="M489" s="2"/>
      <c r="N489" s="2"/>
      <c r="O489" s="2"/>
      <c r="P489" s="53"/>
      <c r="Q489" s="53"/>
      <c r="R489" s="2"/>
      <c r="S489" s="2"/>
      <c r="T489" s="2"/>
    </row>
    <row r="490" spans="1:20">
      <c r="A490" s="3"/>
      <c r="B490" s="3"/>
      <c r="C490" s="2"/>
      <c r="D490" s="2"/>
      <c r="E490" s="51"/>
      <c r="F490" s="51"/>
      <c r="G490" s="51"/>
      <c r="H490" s="51"/>
      <c r="I490" s="2"/>
      <c r="J490" s="2"/>
      <c r="K490" s="2"/>
      <c r="L490" s="2"/>
      <c r="M490" s="2"/>
      <c r="N490" s="2"/>
      <c r="O490" s="2"/>
      <c r="P490" s="53"/>
      <c r="Q490" s="53"/>
      <c r="R490" s="2"/>
      <c r="S490" s="2"/>
      <c r="T490" s="2"/>
    </row>
    <row r="491" spans="1:20">
      <c r="A491" s="3"/>
      <c r="B491" s="3"/>
      <c r="C491" s="2"/>
      <c r="D491" s="2"/>
      <c r="E491" s="51"/>
      <c r="F491" s="51"/>
      <c r="G491" s="51"/>
      <c r="H491" s="51"/>
      <c r="I491" s="2"/>
      <c r="J491" s="2"/>
      <c r="K491" s="2"/>
      <c r="L491" s="2"/>
      <c r="M491" s="2"/>
      <c r="N491" s="2"/>
      <c r="O491" s="2"/>
      <c r="P491" s="53"/>
      <c r="Q491" s="53"/>
      <c r="R491" s="2"/>
      <c r="S491" s="2"/>
      <c r="T491" s="2"/>
    </row>
    <row r="492" spans="1:20">
      <c r="A492" s="3"/>
      <c r="B492" s="3"/>
      <c r="C492" s="2"/>
      <c r="D492" s="2"/>
      <c r="E492" s="51"/>
      <c r="F492" s="51"/>
      <c r="G492" s="51"/>
      <c r="H492" s="51"/>
      <c r="I492" s="2"/>
      <c r="J492" s="2"/>
      <c r="K492" s="2"/>
      <c r="L492" s="2"/>
      <c r="M492" s="2"/>
      <c r="N492" s="2"/>
      <c r="O492" s="2"/>
      <c r="P492" s="53"/>
      <c r="Q492" s="53"/>
      <c r="R492" s="2"/>
      <c r="S492" s="2"/>
      <c r="T492" s="2"/>
    </row>
    <row r="493" spans="1:20">
      <c r="A493" s="3"/>
      <c r="B493" s="3"/>
      <c r="C493" s="2"/>
      <c r="D493" s="2"/>
      <c r="E493" s="51"/>
      <c r="F493" s="51"/>
      <c r="G493" s="51"/>
      <c r="H493" s="51"/>
      <c r="I493" s="2"/>
      <c r="J493" s="2"/>
      <c r="K493" s="2"/>
      <c r="L493" s="2"/>
      <c r="M493" s="2"/>
      <c r="N493" s="2"/>
      <c r="O493" s="2"/>
      <c r="P493" s="53"/>
      <c r="Q493" s="53"/>
      <c r="R493" s="2"/>
      <c r="S493" s="2"/>
      <c r="T493" s="2"/>
    </row>
    <row r="494" spans="1:20">
      <c r="A494" s="3"/>
      <c r="B494" s="3"/>
      <c r="C494" s="2"/>
      <c r="D494" s="2"/>
      <c r="E494" s="51"/>
      <c r="F494" s="51"/>
      <c r="G494" s="51"/>
      <c r="H494" s="51"/>
      <c r="I494" s="2"/>
      <c r="J494" s="2"/>
      <c r="K494" s="2"/>
      <c r="L494" s="2"/>
      <c r="M494" s="2"/>
      <c r="N494" s="2"/>
      <c r="O494" s="2"/>
      <c r="P494" s="53"/>
      <c r="Q494" s="53"/>
      <c r="R494" s="2"/>
      <c r="S494" s="2"/>
      <c r="T494" s="2"/>
    </row>
    <row r="495" spans="1:20">
      <c r="A495" s="3"/>
      <c r="B495" s="3"/>
      <c r="C495" s="2"/>
      <c r="D495" s="2"/>
      <c r="E495" s="51"/>
      <c r="F495" s="51"/>
      <c r="G495" s="51"/>
      <c r="H495" s="51"/>
      <c r="I495" s="2"/>
      <c r="J495" s="2"/>
      <c r="K495" s="2"/>
      <c r="L495" s="2"/>
      <c r="M495" s="2"/>
      <c r="N495" s="2"/>
      <c r="O495" s="2"/>
      <c r="P495" s="53"/>
      <c r="Q495" s="53"/>
      <c r="R495" s="2"/>
      <c r="S495" s="2"/>
      <c r="T495" s="2"/>
    </row>
    <row r="496" spans="1:20">
      <c r="A496" s="3"/>
      <c r="B496" s="3"/>
      <c r="C496" s="2"/>
      <c r="D496" s="2"/>
      <c r="E496" s="51"/>
      <c r="F496" s="51"/>
      <c r="G496" s="51"/>
      <c r="H496" s="51"/>
      <c r="I496" s="2"/>
      <c r="J496" s="2"/>
      <c r="K496" s="2"/>
      <c r="L496" s="2"/>
      <c r="M496" s="2"/>
      <c r="N496" s="2"/>
      <c r="O496" s="2"/>
      <c r="P496" s="53"/>
      <c r="Q496" s="53"/>
      <c r="R496" s="2"/>
      <c r="S496" s="2"/>
      <c r="T496" s="2"/>
    </row>
    <row r="497" spans="1:20">
      <c r="A497" s="3"/>
      <c r="B497" s="3"/>
      <c r="C497" s="2"/>
      <c r="D497" s="2"/>
      <c r="E497" s="51"/>
      <c r="F497" s="51"/>
      <c r="G497" s="51"/>
      <c r="H497" s="51"/>
      <c r="I497" s="2"/>
      <c r="J497" s="2"/>
      <c r="K497" s="2"/>
      <c r="L497" s="2"/>
      <c r="M497" s="2"/>
      <c r="N497" s="2"/>
      <c r="O497" s="2"/>
      <c r="P497" s="53"/>
      <c r="Q497" s="53"/>
      <c r="R497" s="2"/>
      <c r="S497" s="2"/>
      <c r="T497" s="2"/>
    </row>
    <row r="498" spans="1:20">
      <c r="A498" s="3"/>
      <c r="B498" s="3"/>
      <c r="C498" s="2"/>
      <c r="D498" s="2"/>
      <c r="E498" s="51"/>
      <c r="F498" s="51"/>
      <c r="G498" s="51"/>
      <c r="H498" s="51"/>
      <c r="I498" s="2"/>
      <c r="J498" s="2"/>
      <c r="K498" s="2"/>
      <c r="L498" s="2"/>
      <c r="M498" s="2"/>
      <c r="N498" s="2"/>
      <c r="O498" s="2"/>
      <c r="P498" s="53"/>
      <c r="Q498" s="53"/>
      <c r="R498" s="2"/>
      <c r="S498" s="2"/>
      <c r="T498" s="2"/>
    </row>
    <row r="499" spans="1:20">
      <c r="A499" s="3"/>
      <c r="B499" s="3"/>
      <c r="C499" s="2"/>
      <c r="D499" s="2"/>
      <c r="E499" s="51"/>
      <c r="F499" s="51"/>
      <c r="G499" s="51"/>
      <c r="H499" s="51"/>
      <c r="I499" s="2"/>
      <c r="J499" s="2"/>
      <c r="K499" s="2"/>
      <c r="L499" s="2"/>
      <c r="M499" s="2"/>
      <c r="N499" s="2"/>
      <c r="O499" s="2"/>
      <c r="P499" s="53"/>
      <c r="Q499" s="53"/>
      <c r="R499" s="2"/>
      <c r="S499" s="2"/>
      <c r="T499" s="2"/>
    </row>
    <row r="500" spans="1:20">
      <c r="A500" s="3"/>
      <c r="B500" s="3"/>
      <c r="C500" s="2"/>
      <c r="D500" s="2"/>
      <c r="E500" s="51"/>
      <c r="F500" s="51"/>
      <c r="G500" s="51"/>
      <c r="H500" s="51"/>
      <c r="I500" s="2"/>
      <c r="J500" s="2"/>
      <c r="K500" s="2"/>
      <c r="L500" s="2"/>
      <c r="M500" s="2"/>
      <c r="N500" s="2"/>
      <c r="O500" s="2"/>
      <c r="P500" s="53"/>
      <c r="Q500" s="53"/>
      <c r="R500" s="2"/>
      <c r="S500" s="2"/>
      <c r="T500" s="2"/>
    </row>
    <row r="501" spans="1:20">
      <c r="A501" s="3"/>
      <c r="B501" s="3"/>
      <c r="C501" s="2"/>
      <c r="D501" s="2"/>
      <c r="E501" s="51"/>
      <c r="F501" s="51"/>
      <c r="G501" s="51"/>
      <c r="H501" s="51"/>
      <c r="I501" s="2"/>
      <c r="J501" s="2"/>
      <c r="K501" s="2"/>
      <c r="L501" s="2"/>
      <c r="M501" s="2"/>
      <c r="N501" s="2"/>
      <c r="O501" s="2"/>
      <c r="P501" s="53"/>
      <c r="Q501" s="53"/>
      <c r="R501" s="2"/>
      <c r="S501" s="2"/>
      <c r="T501" s="2"/>
    </row>
    <row r="502" spans="1:20">
      <c r="A502" s="3"/>
      <c r="B502" s="3"/>
      <c r="C502" s="2"/>
      <c r="D502" s="2"/>
      <c r="E502" s="51"/>
      <c r="F502" s="51"/>
      <c r="G502" s="51"/>
      <c r="H502" s="51"/>
      <c r="I502" s="2"/>
      <c r="J502" s="2"/>
      <c r="K502" s="2"/>
      <c r="L502" s="2"/>
      <c r="M502" s="2"/>
      <c r="N502" s="2"/>
      <c r="O502" s="2"/>
      <c r="P502" s="53"/>
      <c r="Q502" s="53"/>
      <c r="R502" s="2"/>
      <c r="S502" s="2"/>
      <c r="T502" s="2"/>
    </row>
    <row r="503" spans="1:20">
      <c r="A503" s="3"/>
      <c r="B503" s="3"/>
      <c r="C503" s="2"/>
      <c r="D503" s="2"/>
      <c r="E503" s="51"/>
      <c r="F503" s="51"/>
      <c r="G503" s="51"/>
      <c r="H503" s="51"/>
      <c r="I503" s="2"/>
      <c r="J503" s="2"/>
      <c r="K503" s="2"/>
      <c r="L503" s="2"/>
      <c r="M503" s="2"/>
      <c r="N503" s="2"/>
      <c r="O503" s="2"/>
      <c r="P503" s="53"/>
      <c r="Q503" s="53"/>
      <c r="R503" s="2"/>
      <c r="S503" s="2"/>
      <c r="T503" s="2"/>
    </row>
    <row r="504" spans="1:20">
      <c r="A504" s="3"/>
      <c r="B504" s="3"/>
      <c r="C504" s="2"/>
      <c r="D504" s="2"/>
      <c r="E504" s="51"/>
      <c r="F504" s="51"/>
      <c r="G504" s="51"/>
      <c r="H504" s="51"/>
      <c r="I504" s="2"/>
      <c r="J504" s="2"/>
      <c r="K504" s="2"/>
      <c r="L504" s="2"/>
      <c r="M504" s="2"/>
      <c r="N504" s="2"/>
      <c r="O504" s="2"/>
      <c r="P504" s="53"/>
      <c r="Q504" s="53"/>
      <c r="R504" s="2"/>
      <c r="S504" s="2"/>
      <c r="T504" s="2"/>
    </row>
    <row r="505" spans="1:20">
      <c r="A505" s="3"/>
      <c r="B505" s="3"/>
      <c r="C505" s="2"/>
      <c r="D505" s="2"/>
      <c r="E505" s="51"/>
      <c r="F505" s="51"/>
      <c r="G505" s="51"/>
      <c r="H505" s="51"/>
      <c r="I505" s="2"/>
      <c r="J505" s="2"/>
      <c r="K505" s="2"/>
      <c r="L505" s="2"/>
      <c r="M505" s="2"/>
      <c r="N505" s="2"/>
      <c r="O505" s="2"/>
      <c r="P505" s="53"/>
      <c r="Q505" s="53"/>
      <c r="R505" s="2"/>
      <c r="S505" s="2"/>
      <c r="T505" s="2"/>
    </row>
    <row r="506" spans="1:20">
      <c r="A506" s="3"/>
      <c r="B506" s="3"/>
      <c r="C506" s="2"/>
      <c r="D506" s="2"/>
      <c r="E506" s="51"/>
      <c r="F506" s="51"/>
      <c r="G506" s="51"/>
      <c r="H506" s="51"/>
      <c r="I506" s="2"/>
      <c r="J506" s="2"/>
      <c r="K506" s="2"/>
      <c r="L506" s="2"/>
      <c r="M506" s="2"/>
      <c r="N506" s="2"/>
      <c r="O506" s="2"/>
      <c r="P506" s="53"/>
      <c r="Q506" s="53"/>
      <c r="R506" s="2"/>
      <c r="S506" s="2"/>
      <c r="T506" s="2"/>
    </row>
    <row r="507" spans="1:20">
      <c r="A507" s="3"/>
      <c r="B507" s="3"/>
      <c r="C507" s="2"/>
      <c r="D507" s="2"/>
      <c r="E507" s="51"/>
      <c r="F507" s="51"/>
      <c r="G507" s="51"/>
      <c r="H507" s="51"/>
      <c r="I507" s="2"/>
      <c r="J507" s="2"/>
      <c r="K507" s="2"/>
      <c r="L507" s="2"/>
      <c r="M507" s="2"/>
      <c r="N507" s="2"/>
      <c r="O507" s="2"/>
      <c r="P507" s="53"/>
      <c r="Q507" s="53"/>
      <c r="R507" s="2"/>
      <c r="S507" s="2"/>
      <c r="T507" s="2"/>
    </row>
    <row r="508" spans="1:20">
      <c r="A508" s="3"/>
      <c r="B508" s="3"/>
      <c r="C508" s="2"/>
      <c r="D508" s="2"/>
      <c r="E508" s="51"/>
      <c r="F508" s="51"/>
      <c r="G508" s="51"/>
      <c r="H508" s="51"/>
      <c r="I508" s="2"/>
      <c r="J508" s="2"/>
      <c r="K508" s="2"/>
      <c r="L508" s="2"/>
      <c r="M508" s="2"/>
      <c r="N508" s="2"/>
      <c r="O508" s="2"/>
      <c r="P508" s="53"/>
      <c r="Q508" s="53"/>
      <c r="R508" s="2"/>
      <c r="S508" s="2"/>
      <c r="T508" s="2"/>
    </row>
    <row r="509" spans="1:20">
      <c r="A509" s="3"/>
      <c r="B509" s="3"/>
      <c r="C509" s="2"/>
      <c r="D509" s="2"/>
      <c r="E509" s="51"/>
      <c r="F509" s="51"/>
      <c r="G509" s="51"/>
      <c r="H509" s="51"/>
      <c r="I509" s="2"/>
      <c r="J509" s="2"/>
      <c r="K509" s="2"/>
      <c r="L509" s="2"/>
      <c r="M509" s="2"/>
      <c r="N509" s="2"/>
      <c r="O509" s="2"/>
      <c r="P509" s="53"/>
      <c r="Q509" s="53"/>
      <c r="R509" s="2"/>
      <c r="S509" s="2"/>
      <c r="T509" s="2"/>
    </row>
    <row r="510" spans="1:20">
      <c r="A510" s="3"/>
      <c r="B510" s="3"/>
      <c r="C510" s="2"/>
      <c r="D510" s="2"/>
      <c r="E510" s="51"/>
      <c r="F510" s="51"/>
      <c r="G510" s="51"/>
      <c r="H510" s="51"/>
      <c r="I510" s="2"/>
      <c r="J510" s="2"/>
      <c r="K510" s="2"/>
      <c r="L510" s="2"/>
      <c r="M510" s="2"/>
      <c r="N510" s="2"/>
      <c r="O510" s="2"/>
      <c r="P510" s="53"/>
      <c r="Q510" s="53"/>
      <c r="R510" s="2"/>
      <c r="S510" s="2"/>
      <c r="T510" s="2"/>
    </row>
    <row r="511" spans="1:20">
      <c r="A511" s="3"/>
      <c r="B511" s="3"/>
      <c r="C511" s="2"/>
      <c r="D511" s="2"/>
      <c r="E511" s="51"/>
      <c r="F511" s="51"/>
      <c r="G511" s="51"/>
      <c r="H511" s="51"/>
      <c r="I511" s="2"/>
      <c r="J511" s="2"/>
      <c r="K511" s="2"/>
      <c r="L511" s="2"/>
      <c r="M511" s="2"/>
      <c r="N511" s="2"/>
      <c r="O511" s="2"/>
      <c r="P511" s="53"/>
      <c r="Q511" s="53"/>
      <c r="R511" s="2"/>
      <c r="S511" s="2"/>
      <c r="T511" s="2"/>
    </row>
    <row r="512" spans="1:20">
      <c r="A512" s="3"/>
      <c r="B512" s="3"/>
      <c r="C512" s="2"/>
      <c r="D512" s="2"/>
      <c r="E512" s="51"/>
      <c r="F512" s="51"/>
      <c r="G512" s="51"/>
      <c r="H512" s="51"/>
      <c r="I512" s="2"/>
      <c r="J512" s="2"/>
      <c r="K512" s="2"/>
      <c r="L512" s="2"/>
      <c r="M512" s="2"/>
      <c r="N512" s="2"/>
      <c r="O512" s="2"/>
      <c r="P512" s="53"/>
      <c r="Q512" s="53"/>
      <c r="R512" s="2"/>
      <c r="S512" s="2"/>
      <c r="T512" s="2"/>
    </row>
    <row r="513" spans="1:20">
      <c r="A513" s="3"/>
      <c r="B513" s="3"/>
      <c r="C513" s="2"/>
      <c r="D513" s="2"/>
      <c r="E513" s="51"/>
      <c r="F513" s="51"/>
      <c r="G513" s="51"/>
      <c r="H513" s="51"/>
      <c r="I513" s="2"/>
      <c r="J513" s="2"/>
      <c r="K513" s="2"/>
      <c r="L513" s="2"/>
      <c r="M513" s="2"/>
      <c r="N513" s="2"/>
      <c r="O513" s="2"/>
      <c r="P513" s="53"/>
      <c r="Q513" s="53"/>
      <c r="R513" s="2"/>
      <c r="S513" s="2"/>
      <c r="T513" s="2"/>
    </row>
    <row r="514" spans="1:20">
      <c r="A514" s="3"/>
      <c r="B514" s="3"/>
      <c r="C514" s="2"/>
      <c r="D514" s="2"/>
      <c r="E514" s="51"/>
      <c r="F514" s="51"/>
      <c r="G514" s="51"/>
      <c r="H514" s="51"/>
      <c r="I514" s="2"/>
      <c r="J514" s="2"/>
      <c r="K514" s="2"/>
      <c r="L514" s="2"/>
      <c r="M514" s="2"/>
      <c r="N514" s="2"/>
      <c r="O514" s="2"/>
      <c r="P514" s="53"/>
      <c r="Q514" s="53"/>
      <c r="R514" s="2"/>
      <c r="S514" s="2"/>
      <c r="T514" s="2"/>
    </row>
    <row r="515" spans="1:20">
      <c r="A515" s="3"/>
      <c r="B515" s="3"/>
      <c r="C515" s="2"/>
      <c r="D515" s="2"/>
      <c r="E515" s="51"/>
      <c r="F515" s="51"/>
      <c r="G515" s="51"/>
      <c r="H515" s="51"/>
      <c r="I515" s="2"/>
      <c r="J515" s="2"/>
      <c r="K515" s="2"/>
      <c r="L515" s="2"/>
      <c r="M515" s="2"/>
      <c r="N515" s="2"/>
      <c r="O515" s="2"/>
      <c r="P515" s="53"/>
      <c r="Q515" s="53"/>
      <c r="R515" s="2"/>
      <c r="S515" s="2"/>
      <c r="T515" s="2"/>
    </row>
    <row r="516" spans="1:20">
      <c r="A516" s="3"/>
      <c r="B516" s="3"/>
      <c r="C516" s="2"/>
      <c r="D516" s="2"/>
      <c r="E516" s="51"/>
      <c r="F516" s="51"/>
      <c r="G516" s="51"/>
      <c r="H516" s="51"/>
      <c r="I516" s="2"/>
      <c r="J516" s="2"/>
      <c r="K516" s="2"/>
      <c r="L516" s="2"/>
      <c r="M516" s="2"/>
      <c r="N516" s="2"/>
      <c r="O516" s="2"/>
      <c r="P516" s="53"/>
      <c r="Q516" s="53"/>
      <c r="R516" s="2"/>
      <c r="S516" s="2"/>
      <c r="T516" s="2"/>
    </row>
    <row r="517" spans="1:20">
      <c r="A517" s="3"/>
      <c r="B517" s="3"/>
      <c r="C517" s="2"/>
      <c r="D517" s="2"/>
      <c r="E517" s="51"/>
      <c r="F517" s="51"/>
      <c r="G517" s="51"/>
      <c r="H517" s="51"/>
      <c r="I517" s="2"/>
      <c r="J517" s="2"/>
      <c r="K517" s="2"/>
      <c r="L517" s="2"/>
      <c r="M517" s="2"/>
      <c r="N517" s="2"/>
      <c r="O517" s="2"/>
      <c r="P517" s="53"/>
      <c r="Q517" s="53"/>
      <c r="R517" s="2"/>
      <c r="S517" s="2"/>
      <c r="T517" s="2"/>
    </row>
    <row r="518" spans="1:20">
      <c r="A518" s="3"/>
      <c r="B518" s="3"/>
      <c r="C518" s="2"/>
      <c r="D518" s="2"/>
      <c r="E518" s="51"/>
      <c r="F518" s="51"/>
      <c r="G518" s="51"/>
      <c r="H518" s="51"/>
      <c r="I518" s="2"/>
      <c r="J518" s="2"/>
      <c r="K518" s="2"/>
      <c r="L518" s="2"/>
      <c r="M518" s="2"/>
      <c r="N518" s="2"/>
      <c r="O518" s="2"/>
      <c r="P518" s="53"/>
      <c r="Q518" s="53"/>
      <c r="R518" s="2"/>
      <c r="S518" s="2"/>
      <c r="T518" s="2"/>
    </row>
    <row r="519" spans="1:20">
      <c r="A519" s="3"/>
      <c r="B519" s="3"/>
      <c r="C519" s="2"/>
      <c r="D519" s="2"/>
      <c r="E519" s="51"/>
      <c r="F519" s="51"/>
      <c r="G519" s="51"/>
      <c r="H519" s="51"/>
      <c r="I519" s="2"/>
      <c r="J519" s="2"/>
      <c r="K519" s="2"/>
      <c r="L519" s="2"/>
      <c r="M519" s="2"/>
      <c r="N519" s="2"/>
      <c r="O519" s="2"/>
      <c r="P519" s="53"/>
      <c r="Q519" s="53"/>
      <c r="R519" s="2"/>
      <c r="S519" s="2"/>
      <c r="T519" s="2"/>
    </row>
    <row r="520" spans="1:20">
      <c r="A520" s="3"/>
      <c r="B520" s="3"/>
      <c r="C520" s="2"/>
      <c r="D520" s="2"/>
      <c r="E520" s="51"/>
      <c r="F520" s="51"/>
      <c r="G520" s="51"/>
      <c r="H520" s="51"/>
      <c r="I520" s="2"/>
      <c r="J520" s="2"/>
      <c r="K520" s="2"/>
      <c r="L520" s="2"/>
      <c r="M520" s="2"/>
      <c r="N520" s="2"/>
      <c r="O520" s="2"/>
      <c r="P520" s="53"/>
      <c r="Q520" s="53"/>
      <c r="R520" s="2"/>
      <c r="S520" s="2"/>
      <c r="T520" s="2"/>
    </row>
    <row r="521" spans="1:20">
      <c r="A521" s="3"/>
      <c r="B521" s="3"/>
      <c r="C521" s="2"/>
      <c r="D521" s="2"/>
      <c r="E521" s="51"/>
      <c r="F521" s="51"/>
      <c r="G521" s="51"/>
      <c r="H521" s="51"/>
      <c r="I521" s="2"/>
      <c r="J521" s="2"/>
      <c r="K521" s="2"/>
      <c r="L521" s="2"/>
      <c r="M521" s="2"/>
      <c r="N521" s="2"/>
      <c r="O521" s="2"/>
      <c r="P521" s="53"/>
      <c r="Q521" s="53"/>
      <c r="R521" s="2"/>
      <c r="S521" s="2"/>
      <c r="T521" s="2"/>
    </row>
    <row r="522" spans="1:20">
      <c r="A522" s="3"/>
      <c r="B522" s="3"/>
      <c r="C522" s="2"/>
      <c r="D522" s="2"/>
      <c r="E522" s="51"/>
      <c r="F522" s="51"/>
      <c r="G522" s="51"/>
      <c r="H522" s="51"/>
      <c r="I522" s="2"/>
      <c r="J522" s="2"/>
      <c r="K522" s="2"/>
      <c r="L522" s="2"/>
      <c r="M522" s="2"/>
      <c r="N522" s="2"/>
      <c r="O522" s="2"/>
      <c r="P522" s="53"/>
      <c r="Q522" s="53"/>
      <c r="R522" s="2"/>
      <c r="S522" s="2"/>
      <c r="T522" s="2"/>
    </row>
    <row r="523" spans="1:20">
      <c r="A523" s="3"/>
      <c r="B523" s="3"/>
      <c r="C523" s="2"/>
      <c r="D523" s="2"/>
      <c r="E523" s="51"/>
      <c r="F523" s="51"/>
      <c r="G523" s="51"/>
      <c r="H523" s="51"/>
      <c r="I523" s="2"/>
      <c r="J523" s="2"/>
      <c r="K523" s="2"/>
      <c r="L523" s="2"/>
      <c r="M523" s="2"/>
      <c r="N523" s="2"/>
      <c r="O523" s="2"/>
      <c r="P523" s="53"/>
      <c r="Q523" s="53"/>
      <c r="R523" s="2"/>
      <c r="S523" s="2"/>
      <c r="T523" s="2"/>
    </row>
    <row r="524" spans="1:20">
      <c r="A524" s="3"/>
      <c r="B524" s="3"/>
      <c r="C524" s="2"/>
      <c r="D524" s="2"/>
      <c r="E524" s="51"/>
      <c r="F524" s="51"/>
      <c r="G524" s="51"/>
      <c r="H524" s="51"/>
      <c r="I524" s="2"/>
      <c r="J524" s="2"/>
      <c r="K524" s="2"/>
      <c r="L524" s="2"/>
      <c r="M524" s="2"/>
      <c r="N524" s="2"/>
      <c r="O524" s="2"/>
      <c r="P524" s="53"/>
      <c r="Q524" s="53"/>
      <c r="R524" s="2"/>
      <c r="S524" s="2"/>
      <c r="T524" s="2"/>
    </row>
    <row r="525" spans="1:20">
      <c r="A525" s="3"/>
      <c r="B525" s="3"/>
      <c r="C525" s="2"/>
      <c r="D525" s="2"/>
      <c r="E525" s="51"/>
      <c r="F525" s="51"/>
      <c r="G525" s="51"/>
      <c r="H525" s="51"/>
      <c r="I525" s="2"/>
      <c r="J525" s="2"/>
      <c r="K525" s="2"/>
      <c r="L525" s="2"/>
      <c r="M525" s="2"/>
      <c r="N525" s="2"/>
      <c r="O525" s="2"/>
      <c r="P525" s="53"/>
      <c r="Q525" s="53"/>
      <c r="R525" s="2"/>
      <c r="S525" s="2"/>
      <c r="T525" s="2"/>
    </row>
    <row r="526" spans="1:20">
      <c r="A526" s="3"/>
      <c r="B526" s="3"/>
      <c r="C526" s="2"/>
      <c r="D526" s="2"/>
      <c r="E526" s="51"/>
      <c r="F526" s="51"/>
      <c r="G526" s="51"/>
      <c r="H526" s="51"/>
      <c r="I526" s="2"/>
      <c r="J526" s="2"/>
      <c r="K526" s="2"/>
      <c r="L526" s="2"/>
      <c r="M526" s="2"/>
      <c r="N526" s="2"/>
      <c r="O526" s="2"/>
      <c r="P526" s="53"/>
      <c r="Q526" s="53"/>
      <c r="R526" s="2"/>
      <c r="S526" s="2"/>
      <c r="T526" s="2"/>
    </row>
    <row r="527" spans="1:20">
      <c r="A527" s="3"/>
      <c r="B527" s="3"/>
      <c r="C527" s="2"/>
      <c r="D527" s="2"/>
      <c r="E527" s="51"/>
      <c r="F527" s="51"/>
      <c r="G527" s="51"/>
      <c r="H527" s="51"/>
      <c r="I527" s="2"/>
      <c r="J527" s="2"/>
      <c r="K527" s="2"/>
      <c r="L527" s="2"/>
      <c r="M527" s="2"/>
      <c r="N527" s="2"/>
      <c r="O527" s="2"/>
      <c r="P527" s="53"/>
      <c r="Q527" s="53"/>
      <c r="R527" s="2"/>
      <c r="S527" s="2"/>
      <c r="T527" s="2"/>
    </row>
    <row r="528" spans="1:20">
      <c r="A528" s="3"/>
      <c r="B528" s="3"/>
      <c r="C528" s="2"/>
      <c r="D528" s="2"/>
      <c r="E528" s="51"/>
      <c r="F528" s="51"/>
      <c r="G528" s="51"/>
      <c r="H528" s="51"/>
      <c r="I528" s="2"/>
      <c r="J528" s="2"/>
      <c r="K528" s="2"/>
      <c r="L528" s="2"/>
      <c r="M528" s="2"/>
      <c r="N528" s="2"/>
      <c r="O528" s="2"/>
      <c r="P528" s="53"/>
      <c r="Q528" s="53"/>
      <c r="R528" s="2"/>
      <c r="S528" s="2"/>
      <c r="T528" s="2"/>
    </row>
    <row r="529" spans="1:20">
      <c r="A529" s="3"/>
      <c r="B529" s="3"/>
      <c r="C529" s="2"/>
      <c r="D529" s="2"/>
      <c r="E529" s="51"/>
      <c r="F529" s="51"/>
      <c r="G529" s="51"/>
      <c r="H529" s="51"/>
      <c r="I529" s="2"/>
      <c r="J529" s="2"/>
      <c r="K529" s="2"/>
      <c r="L529" s="2"/>
      <c r="M529" s="2"/>
      <c r="N529" s="2"/>
      <c r="O529" s="2"/>
      <c r="P529" s="53"/>
      <c r="Q529" s="53"/>
      <c r="R529" s="2"/>
      <c r="S529" s="2"/>
      <c r="T529" s="2"/>
    </row>
    <row r="530" spans="1:20">
      <c r="A530" s="3"/>
      <c r="B530" s="3"/>
      <c r="C530" s="2"/>
      <c r="D530" s="2"/>
      <c r="E530" s="51"/>
      <c r="F530" s="51"/>
      <c r="G530" s="51"/>
      <c r="H530" s="51"/>
      <c r="I530" s="2"/>
      <c r="J530" s="2"/>
      <c r="K530" s="2"/>
      <c r="L530" s="2"/>
      <c r="M530" s="2"/>
      <c r="N530" s="2"/>
      <c r="O530" s="2"/>
      <c r="P530" s="53"/>
      <c r="Q530" s="53"/>
      <c r="R530" s="2"/>
      <c r="S530" s="2"/>
      <c r="T530" s="2"/>
    </row>
    <row r="531" spans="1:20">
      <c r="A531" s="3"/>
      <c r="B531" s="3"/>
      <c r="C531" s="2"/>
      <c r="D531" s="2"/>
      <c r="E531" s="51"/>
      <c r="F531" s="51"/>
      <c r="G531" s="51"/>
      <c r="H531" s="51"/>
      <c r="I531" s="2"/>
      <c r="J531" s="2"/>
      <c r="K531" s="2"/>
      <c r="L531" s="2"/>
      <c r="M531" s="2"/>
      <c r="N531" s="2"/>
      <c r="O531" s="2"/>
      <c r="P531" s="53"/>
      <c r="Q531" s="53"/>
      <c r="R531" s="2"/>
      <c r="S531" s="2"/>
      <c r="T531" s="2"/>
    </row>
    <row r="532" spans="1:20">
      <c r="A532" s="3"/>
      <c r="B532" s="3"/>
      <c r="C532" s="2"/>
      <c r="D532" s="2"/>
      <c r="E532" s="51"/>
      <c r="F532" s="51"/>
      <c r="G532" s="51"/>
      <c r="H532" s="51"/>
      <c r="I532" s="2"/>
      <c r="J532" s="2"/>
      <c r="K532" s="2"/>
      <c r="L532" s="2"/>
      <c r="M532" s="2"/>
      <c r="N532" s="2"/>
      <c r="O532" s="2"/>
      <c r="P532" s="53"/>
      <c r="Q532" s="53"/>
      <c r="R532" s="2"/>
      <c r="S532" s="2"/>
      <c r="T532" s="2"/>
    </row>
    <row r="533" spans="1:20">
      <c r="A533" s="3"/>
      <c r="B533" s="3"/>
      <c r="C533" s="2"/>
      <c r="D533" s="2"/>
      <c r="E533" s="51"/>
      <c r="F533" s="51"/>
      <c r="G533" s="51"/>
      <c r="H533" s="51"/>
      <c r="I533" s="2"/>
      <c r="J533" s="2"/>
      <c r="K533" s="2"/>
      <c r="L533" s="2"/>
      <c r="M533" s="2"/>
      <c r="N533" s="2"/>
      <c r="O533" s="2"/>
      <c r="P533" s="53"/>
      <c r="Q533" s="53"/>
      <c r="R533" s="2"/>
      <c r="S533" s="2"/>
      <c r="T533" s="2"/>
    </row>
    <row r="534" spans="1:20">
      <c r="A534" s="3"/>
      <c r="B534" s="3"/>
      <c r="C534" s="2"/>
      <c r="D534" s="2"/>
      <c r="E534" s="51"/>
      <c r="F534" s="51"/>
      <c r="G534" s="51"/>
      <c r="H534" s="51"/>
      <c r="I534" s="2"/>
      <c r="J534" s="2"/>
      <c r="K534" s="2"/>
      <c r="L534" s="2"/>
      <c r="M534" s="2"/>
      <c r="N534" s="2"/>
      <c r="O534" s="2"/>
      <c r="P534" s="53"/>
      <c r="Q534" s="53"/>
      <c r="R534" s="2"/>
      <c r="S534" s="2"/>
      <c r="T534" s="2"/>
    </row>
    <row r="535" spans="1:20">
      <c r="A535" s="3"/>
      <c r="B535" s="3"/>
      <c r="C535" s="2"/>
      <c r="D535" s="2"/>
      <c r="E535" s="51"/>
      <c r="F535" s="51"/>
      <c r="G535" s="51"/>
      <c r="H535" s="51"/>
      <c r="I535" s="2"/>
      <c r="J535" s="2"/>
      <c r="K535" s="2"/>
      <c r="L535" s="2"/>
      <c r="M535" s="2"/>
      <c r="N535" s="2"/>
      <c r="O535" s="2"/>
      <c r="P535" s="53"/>
      <c r="Q535" s="53"/>
      <c r="R535" s="2"/>
      <c r="S535" s="2"/>
      <c r="T535" s="2"/>
    </row>
    <row r="536" spans="1:20">
      <c r="A536" s="3"/>
      <c r="B536" s="3"/>
      <c r="C536" s="2"/>
      <c r="D536" s="2"/>
      <c r="E536" s="51"/>
      <c r="F536" s="51"/>
      <c r="G536" s="51"/>
      <c r="H536" s="51"/>
      <c r="I536" s="2"/>
      <c r="J536" s="2"/>
      <c r="K536" s="2"/>
      <c r="L536" s="2"/>
      <c r="M536" s="2"/>
      <c r="N536" s="2"/>
      <c r="O536" s="2"/>
      <c r="P536" s="53"/>
      <c r="Q536" s="53"/>
      <c r="R536" s="2"/>
      <c r="S536" s="2"/>
      <c r="T536" s="2"/>
    </row>
    <row r="537" spans="1:20">
      <c r="A537" s="3"/>
      <c r="B537" s="3"/>
      <c r="C537" s="2"/>
      <c r="D537" s="2"/>
      <c r="E537" s="51"/>
      <c r="F537" s="51"/>
      <c r="G537" s="51"/>
      <c r="H537" s="51"/>
      <c r="I537" s="2"/>
      <c r="J537" s="2"/>
      <c r="K537" s="2"/>
      <c r="L537" s="2"/>
      <c r="M537" s="2"/>
      <c r="N537" s="2"/>
      <c r="O537" s="2"/>
      <c r="P537" s="53"/>
      <c r="Q537" s="53"/>
      <c r="R537" s="2"/>
      <c r="S537" s="2"/>
      <c r="T537" s="2"/>
    </row>
    <row r="538" spans="1:20">
      <c r="A538" s="3"/>
      <c r="B538" s="3"/>
      <c r="C538" s="2"/>
      <c r="D538" s="2"/>
      <c r="E538" s="51"/>
      <c r="F538" s="51"/>
      <c r="G538" s="51"/>
      <c r="H538" s="51"/>
      <c r="I538" s="2"/>
      <c r="J538" s="2"/>
      <c r="K538" s="2"/>
      <c r="L538" s="2"/>
      <c r="M538" s="2"/>
      <c r="N538" s="2"/>
      <c r="O538" s="2"/>
      <c r="P538" s="53"/>
      <c r="Q538" s="53"/>
      <c r="R538" s="2"/>
      <c r="S538" s="2"/>
      <c r="T538" s="2"/>
    </row>
    <row r="539" spans="1:20">
      <c r="A539" s="3"/>
      <c r="B539" s="3"/>
      <c r="C539" s="2"/>
      <c r="D539" s="2"/>
      <c r="E539" s="51"/>
      <c r="F539" s="51"/>
      <c r="G539" s="51"/>
      <c r="H539" s="51"/>
      <c r="I539" s="2"/>
      <c r="J539" s="2"/>
      <c r="K539" s="2"/>
      <c r="L539" s="2"/>
      <c r="M539" s="2"/>
      <c r="N539" s="2"/>
      <c r="O539" s="2"/>
      <c r="P539" s="53"/>
      <c r="Q539" s="53"/>
      <c r="R539" s="2"/>
      <c r="S539" s="2"/>
      <c r="T539" s="2"/>
    </row>
    <row r="540" spans="1:20">
      <c r="A540" s="3"/>
      <c r="B540" s="3"/>
      <c r="C540" s="2"/>
      <c r="D540" s="2"/>
      <c r="E540" s="51"/>
      <c r="F540" s="51"/>
      <c r="G540" s="51"/>
      <c r="H540" s="51"/>
      <c r="I540" s="2"/>
      <c r="J540" s="2"/>
      <c r="K540" s="2"/>
      <c r="L540" s="2"/>
      <c r="M540" s="2"/>
      <c r="N540" s="2"/>
      <c r="O540" s="2"/>
      <c r="P540" s="53"/>
      <c r="Q540" s="53"/>
      <c r="R540" s="2"/>
      <c r="S540" s="2"/>
      <c r="T540" s="2"/>
    </row>
    <row r="541" spans="1:20">
      <c r="A541" s="3"/>
      <c r="B541" s="3"/>
      <c r="C541" s="2"/>
      <c r="D541" s="2"/>
      <c r="E541" s="51"/>
      <c r="F541" s="51"/>
      <c r="G541" s="51"/>
      <c r="H541" s="51"/>
      <c r="I541" s="2"/>
      <c r="J541" s="2"/>
      <c r="K541" s="2"/>
      <c r="L541" s="2"/>
      <c r="M541" s="2"/>
      <c r="N541" s="2"/>
      <c r="O541" s="2"/>
      <c r="P541" s="53"/>
      <c r="Q541" s="53"/>
      <c r="R541" s="2"/>
      <c r="S541" s="2"/>
      <c r="T541" s="2"/>
    </row>
    <row r="542" spans="1:20">
      <c r="A542" s="3"/>
      <c r="B542" s="3"/>
      <c r="C542" s="2"/>
      <c r="D542" s="2"/>
      <c r="E542" s="51"/>
      <c r="F542" s="51"/>
      <c r="G542" s="51"/>
      <c r="H542" s="51"/>
      <c r="I542" s="2"/>
      <c r="J542" s="2"/>
      <c r="K542" s="2"/>
      <c r="L542" s="2"/>
      <c r="M542" s="2"/>
      <c r="N542" s="2"/>
      <c r="O542" s="2"/>
      <c r="P542" s="53"/>
      <c r="Q542" s="53"/>
      <c r="R542" s="2"/>
      <c r="S542" s="2"/>
      <c r="T542" s="2"/>
    </row>
    <row r="543" spans="1:20">
      <c r="A543" s="3"/>
      <c r="B543" s="3"/>
      <c r="C543" s="2"/>
      <c r="D543" s="2"/>
      <c r="E543" s="51"/>
      <c r="F543" s="51"/>
      <c r="G543" s="51"/>
      <c r="H543" s="51"/>
      <c r="I543" s="2"/>
      <c r="J543" s="2"/>
      <c r="K543" s="2"/>
      <c r="L543" s="2"/>
      <c r="M543" s="2"/>
      <c r="N543" s="2"/>
      <c r="O543" s="2"/>
      <c r="P543" s="53"/>
      <c r="Q543" s="53"/>
      <c r="R543" s="2"/>
      <c r="S543" s="2"/>
      <c r="T543" s="2"/>
    </row>
    <row r="544" spans="1:20">
      <c r="A544" s="3"/>
      <c r="B544" s="3"/>
      <c r="C544" s="2"/>
      <c r="D544" s="2"/>
      <c r="E544" s="51"/>
      <c r="F544" s="51"/>
      <c r="G544" s="51"/>
      <c r="H544" s="51"/>
      <c r="I544" s="2"/>
      <c r="J544" s="2"/>
      <c r="K544" s="2"/>
      <c r="L544" s="2"/>
      <c r="M544" s="2"/>
      <c r="N544" s="2"/>
      <c r="O544" s="2"/>
      <c r="P544" s="53"/>
      <c r="Q544" s="53"/>
      <c r="R544" s="2"/>
      <c r="S544" s="2"/>
      <c r="T544" s="2"/>
    </row>
    <row r="545" spans="1:20">
      <c r="A545" s="3"/>
      <c r="B545" s="3"/>
      <c r="C545" s="2"/>
      <c r="D545" s="2"/>
      <c r="E545" s="51"/>
      <c r="F545" s="51"/>
      <c r="G545" s="51"/>
      <c r="H545" s="51"/>
      <c r="I545" s="2"/>
      <c r="J545" s="2"/>
      <c r="K545" s="2"/>
      <c r="L545" s="2"/>
      <c r="M545" s="2"/>
      <c r="N545" s="2"/>
      <c r="O545" s="2"/>
      <c r="P545" s="53"/>
      <c r="Q545" s="53"/>
      <c r="R545" s="2"/>
      <c r="S545" s="2"/>
      <c r="T545" s="2"/>
    </row>
    <row r="546" spans="1:20">
      <c r="A546" s="3"/>
      <c r="B546" s="3"/>
      <c r="C546" s="2"/>
      <c r="D546" s="2"/>
      <c r="E546" s="51"/>
      <c r="F546" s="51"/>
      <c r="G546" s="51"/>
      <c r="H546" s="51"/>
      <c r="I546" s="2"/>
      <c r="J546" s="2"/>
      <c r="K546" s="2"/>
      <c r="L546" s="2"/>
      <c r="M546" s="2"/>
      <c r="N546" s="2"/>
      <c r="O546" s="2"/>
      <c r="P546" s="53"/>
      <c r="Q546" s="53"/>
      <c r="R546" s="2"/>
      <c r="S546" s="2"/>
      <c r="T546" s="2"/>
    </row>
    <row r="547" spans="1:20">
      <c r="A547" s="3"/>
      <c r="B547" s="3"/>
      <c r="C547" s="2"/>
      <c r="D547" s="2"/>
      <c r="E547" s="51"/>
      <c r="F547" s="51"/>
      <c r="G547" s="51"/>
      <c r="H547" s="51"/>
      <c r="I547" s="2"/>
      <c r="J547" s="2"/>
      <c r="K547" s="2"/>
      <c r="L547" s="2"/>
      <c r="M547" s="2"/>
      <c r="N547" s="2"/>
      <c r="O547" s="2"/>
      <c r="P547" s="53"/>
      <c r="Q547" s="53"/>
      <c r="R547" s="2"/>
      <c r="S547" s="2"/>
      <c r="T547" s="2"/>
    </row>
    <row r="548" spans="1:20">
      <c r="A548" s="3"/>
      <c r="B548" s="3"/>
      <c r="C548" s="2"/>
      <c r="D548" s="2"/>
      <c r="E548" s="51"/>
      <c r="F548" s="51"/>
      <c r="G548" s="51"/>
      <c r="H548" s="51"/>
      <c r="I548" s="2"/>
      <c r="J548" s="2"/>
      <c r="K548" s="2"/>
      <c r="L548" s="2"/>
      <c r="M548" s="2"/>
      <c r="N548" s="2"/>
      <c r="O548" s="2"/>
      <c r="P548" s="53"/>
      <c r="Q548" s="53"/>
      <c r="R548" s="2"/>
      <c r="S548" s="2"/>
      <c r="T548" s="2"/>
    </row>
    <row r="549" spans="1:20">
      <c r="A549" s="3"/>
      <c r="B549" s="3"/>
      <c r="C549" s="2"/>
      <c r="D549" s="2"/>
      <c r="E549" s="51"/>
      <c r="F549" s="51"/>
      <c r="G549" s="51"/>
      <c r="H549" s="51"/>
      <c r="I549" s="2"/>
      <c r="J549" s="2"/>
      <c r="K549" s="2"/>
      <c r="L549" s="2"/>
      <c r="M549" s="2"/>
      <c r="N549" s="2"/>
      <c r="O549" s="2"/>
      <c r="P549" s="53"/>
      <c r="Q549" s="53"/>
      <c r="R549" s="2"/>
      <c r="S549" s="2"/>
      <c r="T549" s="2"/>
    </row>
    <row r="550" spans="1:20">
      <c r="A550" s="3"/>
      <c r="B550" s="3"/>
      <c r="C550" s="2"/>
      <c r="D550" s="2"/>
      <c r="E550" s="51"/>
      <c r="F550" s="51"/>
      <c r="G550" s="51"/>
      <c r="H550" s="51"/>
      <c r="I550" s="2"/>
      <c r="J550" s="2"/>
      <c r="K550" s="2"/>
      <c r="L550" s="2"/>
      <c r="M550" s="2"/>
      <c r="N550" s="2"/>
      <c r="O550" s="2"/>
      <c r="P550" s="53"/>
      <c r="Q550" s="53"/>
      <c r="R550" s="2"/>
      <c r="S550" s="2"/>
      <c r="T550" s="2"/>
    </row>
    <row r="551" spans="1:20">
      <c r="A551" s="3"/>
      <c r="B551" s="3"/>
      <c r="C551" s="2"/>
      <c r="D551" s="2"/>
      <c r="E551" s="51"/>
      <c r="F551" s="51"/>
      <c r="G551" s="51"/>
      <c r="H551" s="51"/>
      <c r="I551" s="2"/>
      <c r="J551" s="2"/>
      <c r="K551" s="2"/>
      <c r="L551" s="2"/>
      <c r="M551" s="2"/>
      <c r="N551" s="2"/>
      <c r="O551" s="2"/>
      <c r="P551" s="53"/>
      <c r="Q551" s="53"/>
      <c r="R551" s="2"/>
      <c r="S551" s="2"/>
      <c r="T551" s="2"/>
    </row>
    <row r="552" spans="1:20">
      <c r="A552" s="3"/>
      <c r="B552" s="3"/>
      <c r="C552" s="2"/>
      <c r="D552" s="2"/>
      <c r="E552" s="51"/>
      <c r="F552" s="51"/>
      <c r="G552" s="51"/>
      <c r="H552" s="51"/>
      <c r="I552" s="2"/>
      <c r="J552" s="2"/>
      <c r="K552" s="2"/>
      <c r="L552" s="2"/>
      <c r="M552" s="2"/>
      <c r="N552" s="2"/>
      <c r="O552" s="2"/>
      <c r="P552" s="53"/>
      <c r="Q552" s="53"/>
      <c r="R552" s="2"/>
      <c r="S552" s="2"/>
      <c r="T552" s="2"/>
    </row>
    <row r="553" spans="1:20">
      <c r="A553" s="3"/>
      <c r="B553" s="3"/>
      <c r="C553" s="2"/>
      <c r="D553" s="2"/>
      <c r="E553" s="51"/>
      <c r="F553" s="51"/>
      <c r="G553" s="51"/>
      <c r="H553" s="51"/>
      <c r="I553" s="2"/>
      <c r="J553" s="2"/>
      <c r="K553" s="2"/>
      <c r="L553" s="2"/>
      <c r="M553" s="2"/>
      <c r="N553" s="2"/>
      <c r="O553" s="2"/>
      <c r="P553" s="53"/>
      <c r="Q553" s="53"/>
      <c r="R553" s="2"/>
      <c r="S553" s="2"/>
      <c r="T553" s="2"/>
    </row>
    <row r="554" spans="1:20">
      <c r="A554" s="3"/>
      <c r="B554" s="3"/>
      <c r="C554" s="2"/>
      <c r="D554" s="2"/>
      <c r="E554" s="51"/>
      <c r="F554" s="51"/>
      <c r="G554" s="51"/>
      <c r="H554" s="51"/>
      <c r="I554" s="2"/>
      <c r="J554" s="2"/>
      <c r="K554" s="2"/>
      <c r="L554" s="2"/>
      <c r="M554" s="2"/>
      <c r="N554" s="2"/>
      <c r="O554" s="2"/>
      <c r="P554" s="53"/>
      <c r="Q554" s="53"/>
      <c r="R554" s="2"/>
      <c r="S554" s="2"/>
      <c r="T554" s="2"/>
    </row>
    <row r="555" spans="1:20">
      <c r="A555" s="3"/>
      <c r="B555" s="3"/>
      <c r="C555" s="2"/>
      <c r="D555" s="2"/>
      <c r="E555" s="51"/>
      <c r="F555" s="51"/>
      <c r="G555" s="51"/>
      <c r="H555" s="51"/>
      <c r="I555" s="2"/>
      <c r="J555" s="2"/>
      <c r="K555" s="2"/>
      <c r="L555" s="2"/>
      <c r="M555" s="2"/>
      <c r="N555" s="2"/>
      <c r="O555" s="2"/>
      <c r="P555" s="53"/>
      <c r="Q555" s="53"/>
      <c r="R555" s="2"/>
      <c r="S555" s="2"/>
      <c r="T555" s="2"/>
    </row>
    <row r="556" spans="1:20">
      <c r="A556" s="3"/>
      <c r="B556" s="3"/>
      <c r="C556" s="2"/>
      <c r="D556" s="2"/>
      <c r="E556" s="51"/>
      <c r="F556" s="51"/>
      <c r="G556" s="51"/>
      <c r="H556" s="51"/>
      <c r="I556" s="2"/>
      <c r="J556" s="2"/>
      <c r="K556" s="2"/>
      <c r="L556" s="2"/>
      <c r="M556" s="2"/>
      <c r="N556" s="2"/>
      <c r="O556" s="2"/>
      <c r="P556" s="53"/>
      <c r="Q556" s="53"/>
      <c r="R556" s="2"/>
      <c r="S556" s="2"/>
      <c r="T556" s="2"/>
    </row>
    <row r="557" spans="1:20">
      <c r="A557" s="3"/>
      <c r="B557" s="3"/>
      <c r="C557" s="2"/>
      <c r="D557" s="2"/>
      <c r="E557" s="51"/>
      <c r="F557" s="51"/>
      <c r="G557" s="51"/>
      <c r="H557" s="51"/>
      <c r="I557" s="2"/>
      <c r="J557" s="2"/>
      <c r="K557" s="2"/>
      <c r="L557" s="2"/>
      <c r="M557" s="2"/>
      <c r="N557" s="2"/>
      <c r="O557" s="2"/>
      <c r="P557" s="53"/>
      <c r="Q557" s="53"/>
      <c r="R557" s="2"/>
      <c r="S557" s="2"/>
      <c r="T557" s="2"/>
    </row>
    <row r="558" spans="1:20">
      <c r="A558" s="3"/>
      <c r="B558" s="3"/>
      <c r="C558" s="2"/>
      <c r="D558" s="2"/>
      <c r="E558" s="51"/>
      <c r="F558" s="51"/>
      <c r="G558" s="51"/>
      <c r="H558" s="51"/>
      <c r="I558" s="2"/>
      <c r="J558" s="2"/>
      <c r="K558" s="2"/>
      <c r="L558" s="2"/>
      <c r="M558" s="2"/>
      <c r="N558" s="2"/>
      <c r="O558" s="2"/>
      <c r="P558" s="53"/>
      <c r="Q558" s="53"/>
      <c r="R558" s="2"/>
      <c r="S558" s="2"/>
      <c r="T558" s="2"/>
    </row>
    <row r="559" spans="1:20">
      <c r="A559" s="3"/>
      <c r="B559" s="3"/>
      <c r="C559" s="2"/>
      <c r="D559" s="2"/>
      <c r="E559" s="51"/>
      <c r="F559" s="51"/>
      <c r="G559" s="51"/>
      <c r="H559" s="51"/>
      <c r="I559" s="2"/>
      <c r="J559" s="2"/>
      <c r="K559" s="2"/>
      <c r="L559" s="2"/>
      <c r="M559" s="2"/>
      <c r="N559" s="2"/>
      <c r="O559" s="2"/>
      <c r="P559" s="53"/>
      <c r="Q559" s="53"/>
      <c r="R559" s="2"/>
      <c r="S559" s="2"/>
      <c r="T559" s="2"/>
    </row>
    <row r="560" spans="1:20">
      <c r="A560" s="3"/>
      <c r="B560" s="3"/>
      <c r="C560" s="2"/>
      <c r="D560" s="2"/>
      <c r="E560" s="51"/>
      <c r="F560" s="51"/>
      <c r="G560" s="51"/>
      <c r="H560" s="51"/>
      <c r="I560" s="2"/>
      <c r="J560" s="2"/>
      <c r="K560" s="2"/>
      <c r="L560" s="2"/>
      <c r="M560" s="2"/>
      <c r="N560" s="2"/>
      <c r="O560" s="2"/>
      <c r="P560" s="53"/>
      <c r="Q560" s="53"/>
      <c r="R560" s="2"/>
      <c r="S560" s="2"/>
      <c r="T560" s="2"/>
    </row>
    <row r="561" spans="1:20">
      <c r="A561" s="3"/>
      <c r="B561" s="3"/>
      <c r="C561" s="2"/>
      <c r="D561" s="2"/>
      <c r="E561" s="51"/>
      <c r="F561" s="51"/>
      <c r="G561" s="51"/>
      <c r="H561" s="51"/>
      <c r="I561" s="2"/>
      <c r="J561" s="2"/>
      <c r="K561" s="2"/>
      <c r="L561" s="2"/>
      <c r="M561" s="2"/>
      <c r="N561" s="2"/>
      <c r="O561" s="2"/>
      <c r="P561" s="53"/>
      <c r="Q561" s="53"/>
      <c r="R561" s="2"/>
      <c r="S561" s="2"/>
      <c r="T561" s="2"/>
    </row>
    <row r="562" spans="1:20">
      <c r="A562" s="3"/>
      <c r="B562" s="3"/>
      <c r="C562" s="2"/>
      <c r="D562" s="2"/>
      <c r="E562" s="51"/>
      <c r="F562" s="51"/>
      <c r="G562" s="51"/>
      <c r="H562" s="51"/>
      <c r="I562" s="2"/>
      <c r="J562" s="2"/>
      <c r="K562" s="2"/>
      <c r="L562" s="2"/>
      <c r="M562" s="2"/>
      <c r="N562" s="2"/>
      <c r="O562" s="2"/>
      <c r="P562" s="53"/>
      <c r="Q562" s="53"/>
      <c r="R562" s="2"/>
      <c r="S562" s="2"/>
      <c r="T562" s="2"/>
    </row>
    <row r="563" spans="1:20">
      <c r="A563" s="3"/>
      <c r="B563" s="3"/>
      <c r="C563" s="2"/>
      <c r="D563" s="2"/>
      <c r="E563" s="51"/>
      <c r="F563" s="51"/>
      <c r="G563" s="51"/>
      <c r="H563" s="51"/>
      <c r="I563" s="2"/>
      <c r="J563" s="2"/>
      <c r="K563" s="2"/>
      <c r="L563" s="2"/>
      <c r="M563" s="2"/>
      <c r="N563" s="2"/>
      <c r="O563" s="2"/>
      <c r="P563" s="53"/>
      <c r="Q563" s="53"/>
      <c r="R563" s="2"/>
      <c r="S563" s="2"/>
      <c r="T563" s="2"/>
    </row>
    <row r="564" spans="1:20">
      <c r="A564" s="3"/>
      <c r="B564" s="3"/>
      <c r="C564" s="2"/>
      <c r="D564" s="2"/>
      <c r="E564" s="51"/>
      <c r="F564" s="51"/>
      <c r="G564" s="51"/>
      <c r="H564" s="51"/>
      <c r="I564" s="2"/>
      <c r="J564" s="2"/>
      <c r="K564" s="2"/>
      <c r="L564" s="2"/>
      <c r="M564" s="2"/>
      <c r="N564" s="2"/>
      <c r="O564" s="2"/>
      <c r="P564" s="53"/>
      <c r="Q564" s="53"/>
      <c r="R564" s="2"/>
      <c r="S564" s="2"/>
      <c r="T564" s="2"/>
    </row>
    <row r="565" spans="1:20">
      <c r="A565" s="3"/>
      <c r="B565" s="3"/>
      <c r="C565" s="2"/>
      <c r="D565" s="2"/>
      <c r="E565" s="51"/>
      <c r="F565" s="51"/>
      <c r="G565" s="51"/>
      <c r="H565" s="51"/>
      <c r="I565" s="2"/>
      <c r="J565" s="2"/>
      <c r="K565" s="2"/>
      <c r="L565" s="2"/>
      <c r="M565" s="2"/>
      <c r="N565" s="2"/>
      <c r="O565" s="2"/>
      <c r="P565" s="53"/>
      <c r="Q565" s="53"/>
      <c r="R565" s="2"/>
      <c r="S565" s="2"/>
      <c r="T565" s="2"/>
    </row>
    <row r="566" spans="1:20">
      <c r="A566" s="3"/>
      <c r="B566" s="3"/>
      <c r="C566" s="2"/>
      <c r="D566" s="2"/>
      <c r="E566" s="51"/>
      <c r="F566" s="51"/>
      <c r="G566" s="51"/>
      <c r="H566" s="51"/>
      <c r="I566" s="2"/>
      <c r="J566" s="2"/>
      <c r="K566" s="2"/>
      <c r="L566" s="2"/>
      <c r="M566" s="2"/>
      <c r="N566" s="2"/>
      <c r="O566" s="2"/>
      <c r="P566" s="53"/>
      <c r="Q566" s="53"/>
      <c r="R566" s="2"/>
      <c r="S566" s="2"/>
      <c r="T566" s="2"/>
    </row>
    <row r="567" spans="1:20">
      <c r="A567" s="3"/>
      <c r="B567" s="3"/>
      <c r="C567" s="2"/>
      <c r="D567" s="2"/>
      <c r="E567" s="51"/>
      <c r="F567" s="51"/>
      <c r="G567" s="51"/>
      <c r="H567" s="51"/>
      <c r="I567" s="2"/>
      <c r="J567" s="2"/>
      <c r="K567" s="2"/>
      <c r="L567" s="2"/>
      <c r="M567" s="2"/>
      <c r="N567" s="2"/>
      <c r="O567" s="2"/>
      <c r="P567" s="53"/>
      <c r="Q567" s="53"/>
      <c r="R567" s="2"/>
      <c r="S567" s="2"/>
      <c r="T567" s="2"/>
    </row>
    <row r="568" spans="1:20">
      <c r="A568" s="3"/>
      <c r="B568" s="3"/>
      <c r="C568" s="2"/>
      <c r="D568" s="2"/>
      <c r="E568" s="51"/>
      <c r="F568" s="51"/>
      <c r="G568" s="51"/>
      <c r="H568" s="51"/>
      <c r="I568" s="2"/>
      <c r="J568" s="2"/>
      <c r="K568" s="2"/>
      <c r="L568" s="2"/>
      <c r="M568" s="2"/>
      <c r="N568" s="2"/>
      <c r="O568" s="2"/>
      <c r="P568" s="53"/>
      <c r="Q568" s="53"/>
      <c r="R568" s="2"/>
      <c r="S568" s="2"/>
      <c r="T568" s="2"/>
    </row>
    <row r="569" spans="1:20">
      <c r="A569" s="3"/>
      <c r="B569" s="3"/>
      <c r="C569" s="2"/>
      <c r="D569" s="2"/>
      <c r="E569" s="51"/>
      <c r="F569" s="51"/>
      <c r="G569" s="51"/>
      <c r="H569" s="51"/>
      <c r="I569" s="2"/>
      <c r="J569" s="2"/>
      <c r="K569" s="2"/>
      <c r="L569" s="2"/>
      <c r="M569" s="2"/>
      <c r="N569" s="2"/>
      <c r="O569" s="2"/>
      <c r="P569" s="53"/>
      <c r="Q569" s="53"/>
      <c r="R569" s="2"/>
      <c r="S569" s="2"/>
      <c r="T569" s="2"/>
    </row>
    <row r="570" spans="1:20">
      <c r="A570" s="3"/>
      <c r="B570" s="3"/>
      <c r="C570" s="2"/>
      <c r="D570" s="2"/>
      <c r="E570" s="51"/>
      <c r="F570" s="51"/>
      <c r="G570" s="51"/>
      <c r="H570" s="51"/>
      <c r="I570" s="2"/>
      <c r="J570" s="2"/>
      <c r="K570" s="2"/>
      <c r="L570" s="2"/>
      <c r="M570" s="2"/>
      <c r="N570" s="2"/>
      <c r="O570" s="2"/>
      <c r="P570" s="53"/>
      <c r="Q570" s="53"/>
      <c r="R570" s="2"/>
      <c r="S570" s="2"/>
      <c r="T570" s="2"/>
    </row>
    <row r="571" spans="1:20">
      <c r="A571" s="3"/>
      <c r="B571" s="3"/>
      <c r="C571" s="2"/>
      <c r="D571" s="2"/>
      <c r="E571" s="51"/>
      <c r="F571" s="51"/>
      <c r="G571" s="51"/>
      <c r="H571" s="51"/>
      <c r="I571" s="2"/>
      <c r="J571" s="2"/>
      <c r="K571" s="2"/>
      <c r="L571" s="2"/>
      <c r="M571" s="2"/>
      <c r="N571" s="2"/>
      <c r="O571" s="2"/>
      <c r="P571" s="53"/>
      <c r="Q571" s="53"/>
      <c r="R571" s="2"/>
      <c r="S571" s="2"/>
      <c r="T571" s="2"/>
    </row>
    <row r="572" spans="1:20">
      <c r="A572" s="3"/>
      <c r="B572" s="3"/>
      <c r="C572" s="2"/>
      <c r="D572" s="2"/>
      <c r="E572" s="51"/>
      <c r="F572" s="51"/>
      <c r="G572" s="51"/>
      <c r="H572" s="51"/>
      <c r="I572" s="2"/>
      <c r="J572" s="2"/>
      <c r="K572" s="2"/>
      <c r="L572" s="2"/>
      <c r="M572" s="2"/>
      <c r="N572" s="2"/>
      <c r="O572" s="2"/>
      <c r="P572" s="53"/>
      <c r="Q572" s="53"/>
      <c r="R572" s="2"/>
      <c r="S572" s="2"/>
      <c r="T572" s="2"/>
    </row>
    <row r="573" spans="1:20">
      <c r="A573" s="3"/>
      <c r="B573" s="3"/>
      <c r="C573" s="2"/>
      <c r="D573" s="2"/>
      <c r="E573" s="51"/>
      <c r="F573" s="51"/>
      <c r="G573" s="51"/>
      <c r="H573" s="51"/>
      <c r="I573" s="2"/>
      <c r="J573" s="2"/>
      <c r="K573" s="2"/>
      <c r="L573" s="2"/>
      <c r="M573" s="2"/>
      <c r="N573" s="2"/>
      <c r="O573" s="2"/>
      <c r="P573" s="53"/>
      <c r="Q573" s="53"/>
      <c r="R573" s="2"/>
      <c r="S573" s="2"/>
      <c r="T573" s="2"/>
    </row>
    <row r="574" spans="1:20">
      <c r="A574" s="3"/>
      <c r="B574" s="3"/>
      <c r="C574" s="2"/>
      <c r="D574" s="2"/>
      <c r="E574" s="51"/>
      <c r="F574" s="51"/>
      <c r="G574" s="51"/>
      <c r="H574" s="51"/>
      <c r="I574" s="2"/>
      <c r="J574" s="2"/>
      <c r="K574" s="2"/>
      <c r="L574" s="2"/>
      <c r="M574" s="2"/>
      <c r="N574" s="2"/>
      <c r="O574" s="2"/>
      <c r="P574" s="53"/>
      <c r="Q574" s="53"/>
      <c r="R574" s="2"/>
      <c r="S574" s="2"/>
      <c r="T574" s="2"/>
    </row>
    <row r="575" spans="1:20">
      <c r="A575" s="3"/>
      <c r="B575" s="3"/>
      <c r="C575" s="2"/>
      <c r="D575" s="2"/>
      <c r="E575" s="51"/>
      <c r="F575" s="51"/>
      <c r="G575" s="51"/>
      <c r="H575" s="51"/>
      <c r="I575" s="2"/>
      <c r="J575" s="2"/>
      <c r="K575" s="2"/>
      <c r="L575" s="2"/>
      <c r="M575" s="2"/>
      <c r="N575" s="2"/>
      <c r="O575" s="2"/>
      <c r="P575" s="53"/>
      <c r="Q575" s="53"/>
      <c r="R575" s="2"/>
      <c r="S575" s="2"/>
      <c r="T575" s="2"/>
    </row>
    <row r="576" spans="1:20">
      <c r="A576" s="3"/>
      <c r="B576" s="3"/>
      <c r="C576" s="2"/>
      <c r="D576" s="2"/>
      <c r="E576" s="51"/>
      <c r="F576" s="51"/>
      <c r="G576" s="51"/>
      <c r="H576" s="51"/>
      <c r="I576" s="2"/>
      <c r="J576" s="2"/>
      <c r="K576" s="2"/>
      <c r="L576" s="2"/>
      <c r="M576" s="2"/>
      <c r="N576" s="2"/>
      <c r="O576" s="2"/>
      <c r="P576" s="53"/>
      <c r="Q576" s="53"/>
      <c r="R576" s="2"/>
      <c r="S576" s="2"/>
      <c r="T576" s="2"/>
    </row>
    <row r="577" spans="1:20">
      <c r="A577" s="3"/>
      <c r="B577" s="3"/>
      <c r="C577" s="2"/>
      <c r="D577" s="2"/>
      <c r="E577" s="51"/>
      <c r="F577" s="51"/>
      <c r="G577" s="51"/>
      <c r="H577" s="51"/>
      <c r="I577" s="2"/>
      <c r="J577" s="2"/>
      <c r="K577" s="2"/>
      <c r="L577" s="2"/>
      <c r="M577" s="2"/>
      <c r="N577" s="2"/>
      <c r="O577" s="2"/>
      <c r="P577" s="53"/>
      <c r="Q577" s="53"/>
      <c r="R577" s="2"/>
      <c r="S577" s="2"/>
      <c r="T577" s="2"/>
    </row>
    <row r="578" spans="1:20">
      <c r="A578" s="3"/>
      <c r="B578" s="3"/>
      <c r="C578" s="2"/>
      <c r="D578" s="2"/>
      <c r="E578" s="51"/>
      <c r="F578" s="51"/>
      <c r="G578" s="51"/>
      <c r="H578" s="51"/>
      <c r="I578" s="2"/>
      <c r="J578" s="2"/>
      <c r="K578" s="2"/>
      <c r="L578" s="2"/>
      <c r="M578" s="2"/>
      <c r="N578" s="2"/>
      <c r="O578" s="2"/>
      <c r="P578" s="53"/>
      <c r="Q578" s="53"/>
      <c r="R578" s="2"/>
      <c r="S578" s="2"/>
      <c r="T578" s="2"/>
    </row>
    <row r="579" spans="1:20">
      <c r="A579" s="3"/>
      <c r="B579" s="3"/>
      <c r="C579" s="2"/>
      <c r="D579" s="2"/>
      <c r="E579" s="51"/>
      <c r="F579" s="51"/>
      <c r="G579" s="51"/>
      <c r="H579" s="51"/>
      <c r="I579" s="2"/>
      <c r="J579" s="2"/>
      <c r="K579" s="2"/>
      <c r="L579" s="2"/>
      <c r="M579" s="2"/>
      <c r="N579" s="2"/>
      <c r="O579" s="2"/>
      <c r="P579" s="53"/>
      <c r="Q579" s="53"/>
      <c r="R579" s="2"/>
      <c r="S579" s="2"/>
      <c r="T579" s="2"/>
    </row>
    <row r="580" spans="1:20">
      <c r="A580" s="3"/>
      <c r="B580" s="3"/>
      <c r="C580" s="2"/>
      <c r="D580" s="2"/>
      <c r="E580" s="51"/>
      <c r="F580" s="51"/>
      <c r="G580" s="51"/>
      <c r="H580" s="51"/>
      <c r="I580" s="2"/>
      <c r="J580" s="2"/>
      <c r="K580" s="2"/>
      <c r="L580" s="2"/>
      <c r="M580" s="2"/>
      <c r="N580" s="2"/>
      <c r="O580" s="2"/>
      <c r="P580" s="53"/>
      <c r="Q580" s="53"/>
      <c r="R580" s="2"/>
      <c r="S580" s="2"/>
      <c r="T580" s="2"/>
    </row>
    <row r="581" spans="1:20">
      <c r="A581" s="3"/>
      <c r="B581" s="3"/>
      <c r="C581" s="2"/>
      <c r="D581" s="2"/>
      <c r="E581" s="51"/>
      <c r="F581" s="51"/>
      <c r="G581" s="51"/>
      <c r="H581" s="51"/>
      <c r="I581" s="2"/>
      <c r="J581" s="2"/>
      <c r="K581" s="2"/>
      <c r="L581" s="2"/>
      <c r="M581" s="2"/>
      <c r="N581" s="2"/>
      <c r="O581" s="2"/>
      <c r="P581" s="53"/>
      <c r="Q581" s="53"/>
      <c r="R581" s="2"/>
      <c r="S581" s="2"/>
      <c r="T581" s="2"/>
    </row>
    <row r="582" spans="1:20">
      <c r="A582" s="3"/>
      <c r="B582" s="3"/>
      <c r="C582" s="2"/>
      <c r="D582" s="2"/>
      <c r="E582" s="51"/>
      <c r="F582" s="51"/>
      <c r="G582" s="51"/>
      <c r="H582" s="51"/>
      <c r="I582" s="2"/>
      <c r="J582" s="2"/>
      <c r="K582" s="2"/>
      <c r="L582" s="2"/>
      <c r="M582" s="2"/>
      <c r="N582" s="2"/>
      <c r="O582" s="2"/>
      <c r="P582" s="53"/>
      <c r="Q582" s="53"/>
      <c r="R582" s="2"/>
      <c r="S582" s="2"/>
      <c r="T582" s="2"/>
    </row>
    <row r="583" spans="1:20">
      <c r="A583" s="3"/>
      <c r="B583" s="3"/>
      <c r="C583" s="2"/>
      <c r="D583" s="2"/>
      <c r="E583" s="51"/>
      <c r="F583" s="51"/>
      <c r="G583" s="51"/>
      <c r="H583" s="51"/>
      <c r="I583" s="2"/>
      <c r="J583" s="2"/>
      <c r="K583" s="2"/>
      <c r="L583" s="2"/>
      <c r="M583" s="2"/>
      <c r="N583" s="2"/>
      <c r="O583" s="2"/>
      <c r="P583" s="53"/>
      <c r="Q583" s="53"/>
      <c r="R583" s="2"/>
      <c r="S583" s="2"/>
      <c r="T583" s="2"/>
    </row>
    <row r="584" spans="1:20">
      <c r="A584" s="3"/>
      <c r="B584" s="3"/>
      <c r="C584" s="2"/>
      <c r="D584" s="2"/>
      <c r="E584" s="51"/>
      <c r="F584" s="51"/>
      <c r="G584" s="51"/>
      <c r="H584" s="51"/>
      <c r="I584" s="2"/>
      <c r="J584" s="2"/>
      <c r="K584" s="2"/>
      <c r="L584" s="2"/>
      <c r="M584" s="2"/>
      <c r="N584" s="2"/>
      <c r="O584" s="2"/>
      <c r="P584" s="53"/>
      <c r="Q584" s="53"/>
      <c r="R584" s="2"/>
      <c r="S584" s="2"/>
      <c r="T584" s="2"/>
    </row>
    <row r="585" spans="1:20">
      <c r="A585" s="3"/>
      <c r="B585" s="3"/>
      <c r="C585" s="2"/>
      <c r="D585" s="2"/>
      <c r="E585" s="51"/>
      <c r="F585" s="51"/>
      <c r="G585" s="51"/>
      <c r="H585" s="51"/>
      <c r="I585" s="2"/>
      <c r="J585" s="2"/>
      <c r="K585" s="2"/>
      <c r="L585" s="2"/>
      <c r="M585" s="2"/>
      <c r="N585" s="2"/>
      <c r="O585" s="2"/>
      <c r="P585" s="53"/>
      <c r="Q585" s="53"/>
      <c r="R585" s="2"/>
      <c r="S585" s="2"/>
      <c r="T585" s="2"/>
    </row>
    <row r="586" spans="1:20">
      <c r="A586" s="3"/>
      <c r="B586" s="3"/>
      <c r="C586" s="2"/>
      <c r="D586" s="2"/>
      <c r="E586" s="51"/>
      <c r="F586" s="51"/>
      <c r="G586" s="51"/>
      <c r="H586" s="51"/>
      <c r="I586" s="2"/>
      <c r="J586" s="2"/>
      <c r="K586" s="2"/>
      <c r="L586" s="2"/>
      <c r="M586" s="2"/>
      <c r="N586" s="2"/>
      <c r="O586" s="2"/>
      <c r="P586" s="53"/>
      <c r="Q586" s="53"/>
      <c r="R586" s="2"/>
      <c r="S586" s="2"/>
      <c r="T586" s="2"/>
    </row>
    <row r="587" spans="1:20">
      <c r="A587" s="3"/>
      <c r="B587" s="3"/>
      <c r="C587" s="2"/>
      <c r="D587" s="2"/>
      <c r="E587" s="51"/>
      <c r="F587" s="51"/>
      <c r="G587" s="51"/>
      <c r="H587" s="51"/>
      <c r="I587" s="2"/>
      <c r="J587" s="2"/>
      <c r="K587" s="2"/>
      <c r="L587" s="2"/>
      <c r="M587" s="2"/>
      <c r="N587" s="2"/>
      <c r="O587" s="2"/>
      <c r="P587" s="53"/>
      <c r="Q587" s="53"/>
      <c r="R587" s="2"/>
      <c r="S587" s="2"/>
      <c r="T587" s="2"/>
    </row>
    <row r="588" spans="1:20">
      <c r="A588" s="3"/>
      <c r="B588" s="3"/>
      <c r="C588" s="2"/>
      <c r="D588" s="2"/>
      <c r="E588" s="51"/>
      <c r="F588" s="51"/>
      <c r="G588" s="51"/>
      <c r="H588" s="51"/>
      <c r="I588" s="2"/>
      <c r="J588" s="2"/>
      <c r="K588" s="2"/>
      <c r="L588" s="2"/>
      <c r="M588" s="2"/>
      <c r="N588" s="2"/>
      <c r="O588" s="2"/>
      <c r="P588" s="53"/>
      <c r="Q588" s="53"/>
      <c r="R588" s="2"/>
      <c r="S588" s="2"/>
      <c r="T588" s="2"/>
    </row>
    <row r="589" spans="1:20">
      <c r="A589" s="3"/>
      <c r="B589" s="3"/>
      <c r="C589" s="2"/>
      <c r="D589" s="2"/>
      <c r="E589" s="51"/>
      <c r="F589" s="51"/>
      <c r="G589" s="51"/>
      <c r="H589" s="51"/>
      <c r="I589" s="2"/>
      <c r="J589" s="2"/>
      <c r="K589" s="2"/>
      <c r="L589" s="2"/>
      <c r="M589" s="2"/>
      <c r="N589" s="2"/>
      <c r="O589" s="2"/>
      <c r="P589" s="53"/>
      <c r="Q589" s="53"/>
      <c r="R589" s="2"/>
      <c r="S589" s="2"/>
      <c r="T589" s="2"/>
    </row>
    <row r="590" spans="1:20">
      <c r="A590" s="3"/>
      <c r="B590" s="3"/>
      <c r="C590" s="2"/>
      <c r="D590" s="2"/>
      <c r="E590" s="51"/>
      <c r="F590" s="51"/>
      <c r="G590" s="51"/>
      <c r="H590" s="51"/>
      <c r="I590" s="2"/>
      <c r="J590" s="2"/>
      <c r="K590" s="2"/>
      <c r="L590" s="2"/>
      <c r="M590" s="2"/>
      <c r="N590" s="2"/>
      <c r="O590" s="2"/>
      <c r="P590" s="53"/>
      <c r="Q590" s="53"/>
      <c r="R590" s="2"/>
      <c r="S590" s="2"/>
      <c r="T590" s="2"/>
    </row>
    <row r="591" spans="1:20">
      <c r="A591" s="3"/>
      <c r="B591" s="3"/>
      <c r="C591" s="2"/>
      <c r="D591" s="2"/>
      <c r="E591" s="51"/>
      <c r="F591" s="51"/>
      <c r="G591" s="51"/>
      <c r="H591" s="51"/>
      <c r="I591" s="2"/>
      <c r="J591" s="2"/>
      <c r="K591" s="2"/>
      <c r="L591" s="2"/>
      <c r="M591" s="2"/>
      <c r="N591" s="2"/>
      <c r="O591" s="2"/>
      <c r="P591" s="53"/>
      <c r="Q591" s="53"/>
      <c r="R591" s="2"/>
      <c r="S591" s="2"/>
      <c r="T591" s="2"/>
    </row>
    <row r="592" spans="1:20">
      <c r="A592" s="3"/>
      <c r="B592" s="3"/>
      <c r="C592" s="2"/>
      <c r="D592" s="2"/>
      <c r="E592" s="51"/>
      <c r="F592" s="51"/>
      <c r="G592" s="51"/>
      <c r="H592" s="51"/>
      <c r="I592" s="2"/>
      <c r="J592" s="2"/>
      <c r="K592" s="2"/>
      <c r="L592" s="2"/>
      <c r="M592" s="2"/>
      <c r="N592" s="2"/>
      <c r="O592" s="2"/>
      <c r="P592" s="53"/>
      <c r="Q592" s="53"/>
      <c r="R592" s="2"/>
      <c r="S592" s="2"/>
      <c r="T592" s="2"/>
    </row>
    <row r="593" spans="1:20">
      <c r="A593" s="3"/>
      <c r="B593" s="3"/>
      <c r="C593" s="2"/>
      <c r="D593" s="2"/>
      <c r="E593" s="51"/>
      <c r="F593" s="51"/>
      <c r="G593" s="51"/>
      <c r="H593" s="51"/>
      <c r="I593" s="2"/>
      <c r="J593" s="2"/>
      <c r="K593" s="2"/>
      <c r="L593" s="2"/>
      <c r="M593" s="2"/>
      <c r="N593" s="2"/>
      <c r="O593" s="2"/>
      <c r="P593" s="53"/>
      <c r="Q593" s="53"/>
      <c r="R593" s="2"/>
      <c r="S593" s="2"/>
      <c r="T593" s="2"/>
    </row>
    <row r="594" spans="1:20">
      <c r="A594" s="3"/>
      <c r="B594" s="3"/>
      <c r="C594" s="2"/>
      <c r="D594" s="2"/>
      <c r="E594" s="51"/>
      <c r="F594" s="51"/>
      <c r="G594" s="51"/>
      <c r="H594" s="51"/>
      <c r="I594" s="2"/>
      <c r="J594" s="2"/>
      <c r="K594" s="2"/>
      <c r="L594" s="2"/>
      <c r="M594" s="2"/>
      <c r="N594" s="2"/>
      <c r="O594" s="2"/>
      <c r="P594" s="53"/>
      <c r="Q594" s="53"/>
      <c r="R594" s="2"/>
      <c r="S594" s="2"/>
      <c r="T594" s="2"/>
    </row>
    <row r="595" spans="1:20">
      <c r="A595" s="3"/>
      <c r="B595" s="3"/>
      <c r="C595" s="2"/>
      <c r="D595" s="2"/>
      <c r="E595" s="51"/>
      <c r="F595" s="51"/>
      <c r="G595" s="51"/>
      <c r="H595" s="51"/>
      <c r="I595" s="2"/>
      <c r="J595" s="2"/>
      <c r="K595" s="2"/>
      <c r="L595" s="2"/>
      <c r="M595" s="2"/>
      <c r="N595" s="2"/>
      <c r="O595" s="2"/>
      <c r="P595" s="53"/>
      <c r="Q595" s="53"/>
      <c r="R595" s="2"/>
      <c r="S595" s="2"/>
      <c r="T595" s="2"/>
    </row>
    <row r="596" spans="1:20">
      <c r="A596" s="3"/>
      <c r="B596" s="3"/>
      <c r="C596" s="2"/>
      <c r="D596" s="2"/>
      <c r="E596" s="51"/>
      <c r="F596" s="51"/>
      <c r="G596" s="51"/>
      <c r="H596" s="51"/>
      <c r="I596" s="2"/>
      <c r="J596" s="2"/>
      <c r="K596" s="2"/>
      <c r="L596" s="2"/>
      <c r="M596" s="2"/>
      <c r="N596" s="2"/>
      <c r="O596" s="2"/>
      <c r="P596" s="53"/>
      <c r="Q596" s="53"/>
      <c r="R596" s="2"/>
      <c r="S596" s="2"/>
      <c r="T596" s="2"/>
    </row>
    <row r="597" spans="1:20">
      <c r="A597" s="3"/>
      <c r="B597" s="3"/>
      <c r="C597" s="2"/>
      <c r="D597" s="2"/>
      <c r="E597" s="51"/>
      <c r="F597" s="51"/>
      <c r="G597" s="51"/>
      <c r="H597" s="51"/>
      <c r="I597" s="2"/>
      <c r="J597" s="2"/>
      <c r="K597" s="2"/>
      <c r="L597" s="2"/>
      <c r="M597" s="2"/>
      <c r="N597" s="2"/>
      <c r="O597" s="2"/>
      <c r="P597" s="53"/>
      <c r="Q597" s="53"/>
      <c r="R597" s="2"/>
      <c r="S597" s="2"/>
      <c r="T597" s="2"/>
    </row>
    <row r="598" spans="1:20">
      <c r="A598" s="3"/>
      <c r="B598" s="3"/>
      <c r="C598" s="2"/>
      <c r="D598" s="2"/>
      <c r="E598" s="51"/>
      <c r="F598" s="51"/>
      <c r="G598" s="51"/>
      <c r="H598" s="51"/>
      <c r="I598" s="2"/>
      <c r="J598" s="2"/>
      <c r="K598" s="2"/>
      <c r="L598" s="2"/>
      <c r="M598" s="2"/>
      <c r="N598" s="2"/>
      <c r="O598" s="2"/>
      <c r="P598" s="53"/>
      <c r="Q598" s="53"/>
      <c r="R598" s="2"/>
      <c r="S598" s="2"/>
      <c r="T598" s="2"/>
    </row>
    <row r="599" spans="1:20">
      <c r="A599" s="3"/>
      <c r="B599" s="3"/>
      <c r="C599" s="2"/>
      <c r="D599" s="2"/>
      <c r="E599" s="51"/>
      <c r="F599" s="51"/>
      <c r="G599" s="51"/>
      <c r="H599" s="51"/>
      <c r="I599" s="2"/>
      <c r="J599" s="2"/>
      <c r="K599" s="2"/>
      <c r="L599" s="2"/>
      <c r="M599" s="2"/>
      <c r="N599" s="2"/>
      <c r="O599" s="2"/>
      <c r="P599" s="53"/>
      <c r="Q599" s="53"/>
      <c r="R599" s="2"/>
      <c r="S599" s="2"/>
      <c r="T599" s="2"/>
    </row>
    <row r="600" spans="1:20">
      <c r="A600" s="3"/>
      <c r="B600" s="3"/>
      <c r="C600" s="2"/>
      <c r="D600" s="2"/>
      <c r="E600" s="51"/>
      <c r="F600" s="51"/>
      <c r="G600" s="51"/>
      <c r="H600" s="51"/>
      <c r="I600" s="2"/>
      <c r="J600" s="2"/>
      <c r="K600" s="2"/>
      <c r="L600" s="2"/>
      <c r="M600" s="2"/>
      <c r="N600" s="2"/>
      <c r="O600" s="2"/>
      <c r="P600" s="53"/>
      <c r="Q600" s="53"/>
      <c r="R600" s="2"/>
      <c r="S600" s="2"/>
      <c r="T600" s="2"/>
    </row>
    <row r="601" spans="1:20">
      <c r="A601" s="3"/>
      <c r="B601" s="3"/>
      <c r="C601" s="2"/>
      <c r="D601" s="2"/>
      <c r="E601" s="51"/>
      <c r="F601" s="51"/>
      <c r="G601" s="51"/>
      <c r="H601" s="51"/>
      <c r="I601" s="2"/>
      <c r="J601" s="2"/>
      <c r="K601" s="2"/>
      <c r="L601" s="2"/>
      <c r="M601" s="2"/>
      <c r="N601" s="2"/>
      <c r="O601" s="2"/>
      <c r="P601" s="53"/>
      <c r="Q601" s="53"/>
      <c r="R601" s="2"/>
      <c r="S601" s="2"/>
      <c r="T601" s="2"/>
    </row>
    <row r="602" spans="1:20">
      <c r="A602" s="3"/>
      <c r="B602" s="3"/>
      <c r="C602" s="2"/>
      <c r="D602" s="2"/>
      <c r="E602" s="51"/>
      <c r="F602" s="51"/>
      <c r="G602" s="51"/>
      <c r="H602" s="51"/>
      <c r="I602" s="2"/>
      <c r="J602" s="2"/>
      <c r="K602" s="2"/>
      <c r="L602" s="2"/>
      <c r="M602" s="2"/>
      <c r="N602" s="2"/>
      <c r="O602" s="2"/>
      <c r="P602" s="53"/>
      <c r="Q602" s="53"/>
      <c r="R602" s="2"/>
      <c r="S602" s="2"/>
      <c r="T602" s="2"/>
    </row>
    <row r="603" spans="1:20">
      <c r="A603" s="3"/>
      <c r="B603" s="3"/>
      <c r="C603" s="2"/>
      <c r="D603" s="2"/>
      <c r="E603" s="51"/>
      <c r="F603" s="51"/>
      <c r="G603" s="51"/>
      <c r="H603" s="51"/>
      <c r="I603" s="2"/>
      <c r="J603" s="2"/>
      <c r="K603" s="2"/>
      <c r="L603" s="2"/>
      <c r="M603" s="2"/>
      <c r="N603" s="2"/>
      <c r="O603" s="2"/>
      <c r="P603" s="53"/>
      <c r="Q603" s="53"/>
      <c r="R603" s="2"/>
      <c r="S603" s="2"/>
      <c r="T603" s="2"/>
    </row>
    <row r="604" spans="1:20">
      <c r="A604" s="3"/>
      <c r="B604" s="3"/>
      <c r="C604" s="2"/>
      <c r="D604" s="2"/>
      <c r="E604" s="51"/>
      <c r="F604" s="51"/>
      <c r="G604" s="51"/>
      <c r="H604" s="51"/>
      <c r="I604" s="2"/>
      <c r="J604" s="2"/>
      <c r="K604" s="2"/>
      <c r="L604" s="2"/>
      <c r="M604" s="2"/>
      <c r="N604" s="2"/>
      <c r="O604" s="2"/>
      <c r="P604" s="53"/>
      <c r="Q604" s="53"/>
      <c r="R604" s="2"/>
      <c r="S604" s="2"/>
      <c r="T604" s="2"/>
    </row>
    <row r="605" spans="1:20">
      <c r="A605" s="3"/>
      <c r="B605" s="3"/>
      <c r="C605" s="2"/>
      <c r="D605" s="2"/>
      <c r="E605" s="51"/>
      <c r="F605" s="51"/>
      <c r="G605" s="51"/>
      <c r="H605" s="51"/>
      <c r="I605" s="2"/>
      <c r="J605" s="2"/>
      <c r="K605" s="2"/>
      <c r="L605" s="2"/>
      <c r="M605" s="2"/>
      <c r="N605" s="2"/>
      <c r="O605" s="2"/>
      <c r="P605" s="53"/>
      <c r="Q605" s="53"/>
      <c r="R605" s="2"/>
      <c r="S605" s="2"/>
      <c r="T605" s="2"/>
    </row>
    <row r="606" spans="1:20">
      <c r="A606" s="3"/>
      <c r="B606" s="3"/>
      <c r="C606" s="2"/>
      <c r="D606" s="2"/>
      <c r="E606" s="51"/>
      <c r="F606" s="51"/>
      <c r="G606" s="51"/>
      <c r="H606" s="51"/>
      <c r="I606" s="2"/>
      <c r="J606" s="2"/>
      <c r="K606" s="2"/>
      <c r="L606" s="2"/>
      <c r="M606" s="2"/>
      <c r="N606" s="2"/>
      <c r="O606" s="2"/>
      <c r="P606" s="53"/>
      <c r="Q606" s="53"/>
      <c r="R606" s="2"/>
      <c r="S606" s="2"/>
      <c r="T606" s="2"/>
    </row>
    <row r="607" spans="1:20">
      <c r="A607" s="3"/>
      <c r="B607" s="3"/>
      <c r="C607" s="2"/>
      <c r="D607" s="2"/>
      <c r="E607" s="51"/>
      <c r="F607" s="51"/>
      <c r="G607" s="51"/>
      <c r="H607" s="51"/>
      <c r="I607" s="2"/>
      <c r="J607" s="2"/>
      <c r="K607" s="2"/>
      <c r="L607" s="2"/>
      <c r="M607" s="2"/>
      <c r="N607" s="2"/>
      <c r="O607" s="2"/>
      <c r="P607" s="53"/>
      <c r="Q607" s="53"/>
      <c r="R607" s="2"/>
      <c r="S607" s="2"/>
      <c r="T607" s="2"/>
    </row>
    <row r="608" spans="1:20">
      <c r="A608" s="3"/>
      <c r="B608" s="3"/>
      <c r="C608" s="2"/>
      <c r="D608" s="2"/>
      <c r="E608" s="51"/>
      <c r="F608" s="51"/>
      <c r="G608" s="51"/>
      <c r="H608" s="51"/>
      <c r="I608" s="2"/>
      <c r="J608" s="2"/>
      <c r="K608" s="2"/>
      <c r="L608" s="2"/>
      <c r="M608" s="2"/>
      <c r="N608" s="2"/>
      <c r="O608" s="2"/>
      <c r="P608" s="53"/>
      <c r="Q608" s="53"/>
      <c r="R608" s="2"/>
      <c r="S608" s="2"/>
      <c r="T608" s="2"/>
    </row>
    <row r="609" spans="1:20">
      <c r="A609" s="3"/>
      <c r="B609" s="3"/>
      <c r="C609" s="2"/>
      <c r="D609" s="2"/>
      <c r="E609" s="51"/>
      <c r="F609" s="51"/>
      <c r="G609" s="51"/>
      <c r="H609" s="51"/>
      <c r="I609" s="2"/>
      <c r="J609" s="2"/>
      <c r="K609" s="2"/>
      <c r="L609" s="2"/>
      <c r="M609" s="2"/>
      <c r="N609" s="2"/>
      <c r="O609" s="2"/>
      <c r="P609" s="53"/>
      <c r="Q609" s="53"/>
      <c r="R609" s="2"/>
      <c r="S609" s="2"/>
      <c r="T609" s="2"/>
    </row>
    <row r="610" spans="1:20">
      <c r="A610" s="3"/>
      <c r="B610" s="3"/>
      <c r="C610" s="2"/>
      <c r="D610" s="2"/>
      <c r="E610" s="51"/>
      <c r="F610" s="51"/>
      <c r="G610" s="51"/>
      <c r="H610" s="51"/>
      <c r="I610" s="2"/>
      <c r="J610" s="2"/>
      <c r="K610" s="2"/>
      <c r="L610" s="2"/>
      <c r="M610" s="2"/>
      <c r="N610" s="2"/>
      <c r="O610" s="2"/>
      <c r="P610" s="53"/>
      <c r="Q610" s="53"/>
      <c r="R610" s="2"/>
      <c r="S610" s="2"/>
      <c r="T610" s="2"/>
    </row>
    <row r="611" spans="1:20">
      <c r="A611" s="3"/>
      <c r="B611" s="3"/>
      <c r="C611" s="2"/>
      <c r="D611" s="2"/>
      <c r="E611" s="51"/>
      <c r="F611" s="51"/>
      <c r="G611" s="51"/>
      <c r="H611" s="51"/>
      <c r="I611" s="2"/>
      <c r="J611" s="2"/>
      <c r="K611" s="2"/>
      <c r="L611" s="2"/>
      <c r="M611" s="2"/>
      <c r="N611" s="2"/>
      <c r="O611" s="2"/>
      <c r="P611" s="53"/>
      <c r="Q611" s="53"/>
      <c r="R611" s="2"/>
      <c r="S611" s="2"/>
      <c r="T611" s="2"/>
    </row>
    <row r="612" spans="1:20">
      <c r="A612" s="3"/>
      <c r="B612" s="3"/>
      <c r="C612" s="2"/>
      <c r="D612" s="2"/>
      <c r="E612" s="51"/>
      <c r="F612" s="51"/>
      <c r="G612" s="51"/>
      <c r="H612" s="51"/>
      <c r="I612" s="2"/>
      <c r="J612" s="2"/>
      <c r="K612" s="2"/>
      <c r="L612" s="2"/>
      <c r="M612" s="2"/>
      <c r="N612" s="2"/>
      <c r="O612" s="2"/>
      <c r="P612" s="53"/>
      <c r="Q612" s="53"/>
      <c r="R612" s="2"/>
      <c r="S612" s="2"/>
      <c r="T612" s="2"/>
    </row>
    <row r="613" spans="1:20">
      <c r="A613" s="3"/>
      <c r="B613" s="3"/>
      <c r="C613" s="2"/>
      <c r="D613" s="2"/>
      <c r="E613" s="51"/>
      <c r="F613" s="51"/>
      <c r="G613" s="51"/>
      <c r="H613" s="51"/>
      <c r="I613" s="2"/>
      <c r="J613" s="2"/>
      <c r="K613" s="2"/>
      <c r="L613" s="2"/>
      <c r="M613" s="2"/>
      <c r="N613" s="2"/>
      <c r="O613" s="2"/>
      <c r="P613" s="53"/>
      <c r="Q613" s="53"/>
      <c r="R613" s="2"/>
      <c r="S613" s="2"/>
      <c r="T613" s="2"/>
    </row>
    <row r="614" spans="1:20">
      <c r="A614" s="3"/>
      <c r="B614" s="3"/>
      <c r="C614" s="2"/>
      <c r="D614" s="2"/>
      <c r="E614" s="51"/>
      <c r="F614" s="51"/>
      <c r="G614" s="51"/>
      <c r="H614" s="51"/>
      <c r="I614" s="2"/>
      <c r="J614" s="2"/>
      <c r="K614" s="2"/>
      <c r="L614" s="2"/>
      <c r="M614" s="2"/>
      <c r="N614" s="2"/>
      <c r="O614" s="2"/>
      <c r="P614" s="53"/>
      <c r="Q614" s="53"/>
      <c r="R614" s="2"/>
      <c r="S614" s="2"/>
      <c r="T614" s="2"/>
    </row>
    <row r="615" spans="1:20">
      <c r="A615" s="3"/>
      <c r="B615" s="3"/>
      <c r="C615" s="2"/>
      <c r="D615" s="2"/>
      <c r="E615" s="51"/>
      <c r="F615" s="51"/>
      <c r="G615" s="51"/>
      <c r="H615" s="51"/>
      <c r="I615" s="2"/>
      <c r="J615" s="2"/>
      <c r="K615" s="2"/>
      <c r="L615" s="2"/>
      <c r="M615" s="2"/>
      <c r="N615" s="2"/>
      <c r="O615" s="2"/>
      <c r="P615" s="53"/>
      <c r="Q615" s="53"/>
      <c r="R615" s="2"/>
      <c r="S615" s="2"/>
      <c r="T615" s="2"/>
    </row>
    <row r="616" spans="1:20">
      <c r="A616" s="3"/>
      <c r="B616" s="3"/>
      <c r="C616" s="2"/>
      <c r="D616" s="2"/>
      <c r="E616" s="51"/>
      <c r="F616" s="51"/>
      <c r="G616" s="51"/>
      <c r="H616" s="51"/>
      <c r="I616" s="2"/>
      <c r="J616" s="2"/>
      <c r="K616" s="2"/>
      <c r="L616" s="2"/>
      <c r="M616" s="2"/>
      <c r="N616" s="2"/>
      <c r="O616" s="2"/>
      <c r="P616" s="53"/>
      <c r="Q616" s="53"/>
      <c r="R616" s="2"/>
      <c r="S616" s="2"/>
      <c r="T616" s="2"/>
    </row>
    <row r="617" spans="1:20">
      <c r="A617" s="3"/>
      <c r="B617" s="3"/>
      <c r="C617" s="2"/>
      <c r="D617" s="2"/>
      <c r="E617" s="51"/>
      <c r="F617" s="51"/>
      <c r="G617" s="51"/>
      <c r="H617" s="51"/>
      <c r="I617" s="2"/>
      <c r="J617" s="2"/>
      <c r="K617" s="2"/>
      <c r="L617" s="2"/>
      <c r="M617" s="2"/>
      <c r="N617" s="2"/>
      <c r="O617" s="2"/>
      <c r="P617" s="53"/>
      <c r="Q617" s="53"/>
      <c r="R617" s="2"/>
      <c r="S617" s="2"/>
      <c r="T617" s="2"/>
    </row>
    <row r="618" spans="1:20">
      <c r="A618" s="3"/>
      <c r="B618" s="3"/>
      <c r="C618" s="2"/>
      <c r="D618" s="2"/>
      <c r="E618" s="51"/>
      <c r="F618" s="51"/>
      <c r="G618" s="51"/>
      <c r="H618" s="51"/>
      <c r="I618" s="2"/>
      <c r="J618" s="2"/>
      <c r="K618" s="2"/>
      <c r="L618" s="2"/>
      <c r="M618" s="2"/>
      <c r="N618" s="2"/>
      <c r="O618" s="2"/>
      <c r="P618" s="53"/>
      <c r="Q618" s="53"/>
      <c r="R618" s="2"/>
      <c r="S618" s="2"/>
      <c r="T618" s="2"/>
    </row>
    <row r="619" spans="1:20">
      <c r="A619" s="3"/>
      <c r="B619" s="3"/>
      <c r="C619" s="2"/>
      <c r="D619" s="2"/>
      <c r="E619" s="51"/>
      <c r="F619" s="51"/>
      <c r="G619" s="51"/>
      <c r="H619" s="51"/>
      <c r="I619" s="2"/>
      <c r="J619" s="2"/>
      <c r="K619" s="2"/>
      <c r="L619" s="2"/>
      <c r="M619" s="2"/>
      <c r="N619" s="2"/>
      <c r="O619" s="2"/>
      <c r="P619" s="53"/>
      <c r="Q619" s="53"/>
      <c r="R619" s="2"/>
      <c r="S619" s="2"/>
      <c r="T619" s="2"/>
    </row>
    <row r="620" spans="1:20">
      <c r="A620" s="3"/>
      <c r="B620" s="3"/>
      <c r="C620" s="2"/>
      <c r="D620" s="2"/>
      <c r="E620" s="51"/>
      <c r="F620" s="51"/>
      <c r="G620" s="51"/>
      <c r="H620" s="51"/>
      <c r="I620" s="2"/>
      <c r="J620" s="2"/>
      <c r="K620" s="2"/>
      <c r="L620" s="2"/>
      <c r="M620" s="2"/>
      <c r="N620" s="2"/>
      <c r="O620" s="2"/>
      <c r="P620" s="53"/>
      <c r="Q620" s="53"/>
      <c r="R620" s="2"/>
      <c r="S620" s="2"/>
      <c r="T620" s="2"/>
    </row>
    <row r="621" spans="1:20">
      <c r="A621" s="3"/>
      <c r="B621" s="3"/>
      <c r="C621" s="2"/>
      <c r="D621" s="2"/>
      <c r="E621" s="51"/>
      <c r="F621" s="51"/>
      <c r="G621" s="51"/>
      <c r="H621" s="51"/>
      <c r="I621" s="2"/>
      <c r="J621" s="2"/>
      <c r="K621" s="2"/>
      <c r="L621" s="2"/>
      <c r="M621" s="2"/>
      <c r="N621" s="2"/>
      <c r="O621" s="2"/>
      <c r="P621" s="53"/>
      <c r="Q621" s="53"/>
      <c r="R621" s="2"/>
      <c r="S621" s="2"/>
      <c r="T621" s="2"/>
    </row>
    <row r="622" spans="1:20">
      <c r="A622" s="3"/>
      <c r="B622" s="3"/>
      <c r="C622" s="2"/>
      <c r="D622" s="2"/>
      <c r="E622" s="51"/>
      <c r="F622" s="51"/>
      <c r="G622" s="51"/>
      <c r="H622" s="51"/>
      <c r="I622" s="2"/>
      <c r="J622" s="2"/>
      <c r="K622" s="2"/>
      <c r="L622" s="2"/>
      <c r="M622" s="2"/>
      <c r="N622" s="2"/>
      <c r="O622" s="2"/>
      <c r="P622" s="53"/>
      <c r="Q622" s="53"/>
      <c r="R622" s="2"/>
      <c r="S622" s="2"/>
      <c r="T622" s="2"/>
    </row>
    <row r="623" spans="1:20">
      <c r="A623" s="3"/>
      <c r="B623" s="3"/>
      <c r="C623" s="2"/>
      <c r="D623" s="2"/>
      <c r="E623" s="51"/>
      <c r="F623" s="51"/>
      <c r="G623" s="51"/>
      <c r="H623" s="51"/>
      <c r="I623" s="2"/>
      <c r="J623" s="2"/>
      <c r="K623" s="2"/>
      <c r="L623" s="2"/>
      <c r="M623" s="2"/>
      <c r="N623" s="2"/>
      <c r="O623" s="2"/>
      <c r="P623" s="53"/>
      <c r="Q623" s="53"/>
      <c r="R623" s="2"/>
      <c r="S623" s="2"/>
      <c r="T623" s="2"/>
    </row>
    <row r="624" spans="1:20">
      <c r="A624" s="3"/>
      <c r="B624" s="3"/>
      <c r="C624" s="2"/>
      <c r="D624" s="2"/>
      <c r="E624" s="51"/>
      <c r="F624" s="51"/>
      <c r="G624" s="51"/>
      <c r="H624" s="51"/>
      <c r="I624" s="2"/>
      <c r="J624" s="2"/>
      <c r="K624" s="2"/>
      <c r="L624" s="2"/>
      <c r="M624" s="2"/>
      <c r="N624" s="2"/>
      <c r="O624" s="2"/>
      <c r="P624" s="53"/>
      <c r="Q624" s="53"/>
      <c r="R624" s="2"/>
      <c r="S624" s="2"/>
      <c r="T624" s="2"/>
    </row>
    <row r="625" spans="1:20">
      <c r="A625" s="3"/>
      <c r="B625" s="3"/>
      <c r="C625" s="2"/>
      <c r="D625" s="2"/>
      <c r="E625" s="51"/>
      <c r="F625" s="51"/>
      <c r="G625" s="51"/>
      <c r="H625" s="51"/>
      <c r="I625" s="2"/>
      <c r="J625" s="2"/>
      <c r="K625" s="2"/>
      <c r="L625" s="2"/>
      <c r="M625" s="2"/>
      <c r="N625" s="2"/>
      <c r="O625" s="2"/>
      <c r="P625" s="53"/>
      <c r="Q625" s="53"/>
      <c r="R625" s="2"/>
      <c r="S625" s="2"/>
      <c r="T625" s="2"/>
    </row>
    <row r="626" spans="1:20">
      <c r="A626" s="3"/>
      <c r="B626" s="3"/>
      <c r="C626" s="2"/>
      <c r="D626" s="2"/>
      <c r="E626" s="51"/>
      <c r="F626" s="51"/>
      <c r="G626" s="51"/>
      <c r="H626" s="51"/>
      <c r="I626" s="2"/>
      <c r="J626" s="2"/>
      <c r="K626" s="2"/>
      <c r="L626" s="2"/>
      <c r="M626" s="2"/>
      <c r="N626" s="2"/>
      <c r="O626" s="2"/>
      <c r="P626" s="53"/>
      <c r="Q626" s="53"/>
      <c r="R626" s="2"/>
      <c r="S626" s="2"/>
      <c r="T626" s="2"/>
    </row>
    <row r="627" spans="1:20">
      <c r="A627" s="3"/>
      <c r="B627" s="3"/>
      <c r="C627" s="2"/>
      <c r="D627" s="2"/>
      <c r="E627" s="51"/>
      <c r="F627" s="51"/>
      <c r="G627" s="51"/>
      <c r="H627" s="51"/>
      <c r="I627" s="2"/>
      <c r="J627" s="2"/>
      <c r="K627" s="2"/>
      <c r="L627" s="2"/>
      <c r="M627" s="2"/>
      <c r="N627" s="2"/>
      <c r="O627" s="2"/>
      <c r="P627" s="53"/>
      <c r="Q627" s="53"/>
      <c r="R627" s="2"/>
      <c r="S627" s="2"/>
      <c r="T627" s="2"/>
    </row>
    <row r="628" spans="1:20">
      <c r="A628" s="3"/>
      <c r="B628" s="3"/>
      <c r="C628" s="2"/>
      <c r="D628" s="2"/>
      <c r="E628" s="51"/>
      <c r="F628" s="51"/>
      <c r="G628" s="51"/>
      <c r="H628" s="51"/>
      <c r="I628" s="2"/>
      <c r="J628" s="2"/>
      <c r="K628" s="2"/>
      <c r="L628" s="2"/>
      <c r="M628" s="2"/>
      <c r="N628" s="2"/>
      <c r="O628" s="2"/>
      <c r="P628" s="53"/>
      <c r="Q628" s="53"/>
      <c r="R628" s="2"/>
      <c r="S628" s="2"/>
      <c r="T628" s="2"/>
    </row>
    <row r="629" spans="1:20">
      <c r="A629" s="3"/>
      <c r="B629" s="3"/>
      <c r="C629" s="2"/>
      <c r="D629" s="2"/>
      <c r="E629" s="51"/>
      <c r="F629" s="51"/>
      <c r="G629" s="51"/>
      <c r="H629" s="51"/>
      <c r="I629" s="2"/>
      <c r="J629" s="2"/>
      <c r="K629" s="2"/>
      <c r="L629" s="2"/>
      <c r="M629" s="2"/>
      <c r="N629" s="2"/>
      <c r="O629" s="2"/>
      <c r="P629" s="53"/>
      <c r="Q629" s="53"/>
      <c r="R629" s="2"/>
      <c r="S629" s="2"/>
      <c r="T629" s="2"/>
    </row>
    <row r="630" spans="1:20">
      <c r="A630" s="3"/>
      <c r="B630" s="3"/>
      <c r="C630" s="2"/>
      <c r="D630" s="2"/>
      <c r="E630" s="51"/>
      <c r="F630" s="51"/>
      <c r="G630" s="51"/>
      <c r="H630" s="51"/>
      <c r="I630" s="2"/>
      <c r="J630" s="2"/>
      <c r="K630" s="2"/>
      <c r="L630" s="2"/>
      <c r="M630" s="2"/>
      <c r="N630" s="2"/>
      <c r="O630" s="2"/>
      <c r="P630" s="53"/>
      <c r="Q630" s="53"/>
      <c r="R630" s="2"/>
      <c r="S630" s="2"/>
      <c r="T630" s="2"/>
    </row>
    <row r="631" spans="1:20">
      <c r="A631" s="3"/>
      <c r="B631" s="3"/>
      <c r="C631" s="2"/>
      <c r="D631" s="2"/>
      <c r="E631" s="51"/>
      <c r="F631" s="51"/>
      <c r="G631" s="51"/>
      <c r="H631" s="51"/>
      <c r="I631" s="2"/>
      <c r="J631" s="2"/>
      <c r="K631" s="2"/>
      <c r="L631" s="2"/>
      <c r="M631" s="2"/>
      <c r="N631" s="2"/>
      <c r="O631" s="2"/>
      <c r="P631" s="53"/>
      <c r="Q631" s="53"/>
      <c r="R631" s="2"/>
      <c r="S631" s="2"/>
      <c r="T631" s="2"/>
    </row>
    <row r="632" spans="1:20">
      <c r="A632" s="3"/>
      <c r="B632" s="3"/>
      <c r="C632" s="2"/>
      <c r="D632" s="2"/>
      <c r="E632" s="51"/>
      <c r="F632" s="51"/>
      <c r="G632" s="51"/>
      <c r="H632" s="51"/>
      <c r="I632" s="2"/>
      <c r="J632" s="2"/>
      <c r="K632" s="2"/>
      <c r="L632" s="2"/>
      <c r="M632" s="2"/>
      <c r="N632" s="2"/>
      <c r="O632" s="2"/>
      <c r="P632" s="53"/>
      <c r="Q632" s="53"/>
      <c r="R632" s="2"/>
      <c r="S632" s="2"/>
      <c r="T632" s="2"/>
    </row>
    <row r="633" spans="1:20">
      <c r="A633" s="3"/>
      <c r="B633" s="3"/>
      <c r="C633" s="2"/>
      <c r="D633" s="2"/>
      <c r="E633" s="51"/>
      <c r="F633" s="51"/>
      <c r="G633" s="51"/>
      <c r="H633" s="51"/>
      <c r="I633" s="2"/>
      <c r="J633" s="2"/>
      <c r="K633" s="2"/>
      <c r="L633" s="2"/>
      <c r="M633" s="2"/>
      <c r="N633" s="2"/>
      <c r="O633" s="2"/>
      <c r="P633" s="53"/>
      <c r="Q633" s="53"/>
      <c r="R633" s="2"/>
      <c r="S633" s="2"/>
      <c r="T633" s="2"/>
    </row>
    <row r="634" spans="1:20">
      <c r="A634" s="3"/>
      <c r="B634" s="3"/>
      <c r="C634" s="2"/>
      <c r="D634" s="2"/>
      <c r="E634" s="51"/>
      <c r="F634" s="51"/>
      <c r="G634" s="51"/>
      <c r="H634" s="51"/>
      <c r="I634" s="2"/>
      <c r="J634" s="2"/>
      <c r="K634" s="2"/>
      <c r="L634" s="2"/>
      <c r="M634" s="2"/>
      <c r="N634" s="2"/>
      <c r="O634" s="2"/>
      <c r="P634" s="53"/>
      <c r="Q634" s="53"/>
      <c r="R634" s="2"/>
      <c r="S634" s="2"/>
      <c r="T634" s="2"/>
    </row>
    <row r="635" spans="1:20">
      <c r="A635" s="3"/>
      <c r="B635" s="3"/>
      <c r="C635" s="2"/>
      <c r="D635" s="2"/>
      <c r="E635" s="51"/>
      <c r="F635" s="51"/>
      <c r="G635" s="51"/>
      <c r="H635" s="51"/>
      <c r="I635" s="2"/>
      <c r="J635" s="2"/>
      <c r="K635" s="2"/>
      <c r="L635" s="2"/>
      <c r="M635" s="2"/>
      <c r="N635" s="2"/>
      <c r="O635" s="2"/>
      <c r="P635" s="53"/>
      <c r="Q635" s="53"/>
      <c r="R635" s="2"/>
      <c r="S635" s="2"/>
      <c r="T635" s="2"/>
    </row>
    <row r="636" spans="1:20">
      <c r="A636" s="3"/>
      <c r="B636" s="3"/>
      <c r="C636" s="2"/>
      <c r="D636" s="2"/>
      <c r="E636" s="51"/>
      <c r="F636" s="51"/>
      <c r="G636" s="51"/>
      <c r="H636" s="51"/>
      <c r="I636" s="2"/>
      <c r="J636" s="2"/>
      <c r="K636" s="2"/>
      <c r="L636" s="2"/>
      <c r="M636" s="2"/>
      <c r="N636" s="2"/>
      <c r="O636" s="2"/>
      <c r="P636" s="53"/>
      <c r="Q636" s="53"/>
      <c r="R636" s="2"/>
      <c r="S636" s="2"/>
      <c r="T636" s="2"/>
    </row>
    <row r="637" spans="1:20">
      <c r="A637" s="3"/>
      <c r="B637" s="3"/>
      <c r="C637" s="2"/>
      <c r="D637" s="2"/>
      <c r="E637" s="51"/>
      <c r="F637" s="51"/>
      <c r="G637" s="51"/>
      <c r="H637" s="51"/>
      <c r="I637" s="2"/>
      <c r="J637" s="2"/>
      <c r="K637" s="2"/>
      <c r="L637" s="2"/>
      <c r="M637" s="2"/>
      <c r="N637" s="2"/>
      <c r="O637" s="2"/>
      <c r="P637" s="53"/>
      <c r="Q637" s="53"/>
      <c r="R637" s="2"/>
      <c r="S637" s="2"/>
      <c r="T637" s="2"/>
    </row>
    <row r="638" spans="1:20">
      <c r="A638" s="3"/>
      <c r="B638" s="3"/>
      <c r="C638" s="2"/>
      <c r="D638" s="2"/>
      <c r="E638" s="51"/>
      <c r="F638" s="51"/>
      <c r="G638" s="51"/>
      <c r="H638" s="51"/>
      <c r="I638" s="2"/>
      <c r="J638" s="2"/>
      <c r="K638" s="2"/>
      <c r="L638" s="2"/>
      <c r="M638" s="2"/>
      <c r="N638" s="2"/>
      <c r="O638" s="2"/>
      <c r="P638" s="53"/>
      <c r="Q638" s="53"/>
      <c r="R638" s="2"/>
      <c r="S638" s="2"/>
      <c r="T638" s="2"/>
    </row>
    <row r="639" spans="1:20">
      <c r="A639" s="3"/>
      <c r="B639" s="3"/>
      <c r="C639" s="2"/>
      <c r="D639" s="2"/>
      <c r="E639" s="51"/>
      <c r="F639" s="51"/>
      <c r="G639" s="51"/>
      <c r="H639" s="51"/>
      <c r="I639" s="2"/>
      <c r="J639" s="2"/>
      <c r="K639" s="2"/>
      <c r="L639" s="2"/>
      <c r="M639" s="2"/>
      <c r="N639" s="2"/>
      <c r="O639" s="2"/>
      <c r="P639" s="53"/>
      <c r="Q639" s="53"/>
      <c r="R639" s="2"/>
      <c r="S639" s="2"/>
      <c r="T639" s="2"/>
    </row>
    <row r="640" spans="1:20">
      <c r="A640" s="3"/>
      <c r="B640" s="3"/>
      <c r="C640" s="2"/>
      <c r="D640" s="2"/>
      <c r="E640" s="51"/>
      <c r="F640" s="51"/>
      <c r="G640" s="51"/>
      <c r="H640" s="51"/>
      <c r="I640" s="2"/>
      <c r="J640" s="2"/>
      <c r="K640" s="2"/>
      <c r="L640" s="2"/>
      <c r="M640" s="2"/>
      <c r="N640" s="2"/>
      <c r="O640" s="2"/>
      <c r="P640" s="53"/>
      <c r="Q640" s="53"/>
      <c r="R640" s="2"/>
      <c r="S640" s="2"/>
      <c r="T640" s="2"/>
    </row>
    <row r="641" spans="1:20">
      <c r="A641" s="3"/>
      <c r="B641" s="3"/>
      <c r="C641" s="2"/>
      <c r="D641" s="2"/>
      <c r="E641" s="51"/>
      <c r="F641" s="51"/>
      <c r="G641" s="51"/>
      <c r="H641" s="51"/>
      <c r="I641" s="2"/>
      <c r="J641" s="2"/>
      <c r="K641" s="2"/>
      <c r="L641" s="2"/>
      <c r="M641" s="2"/>
      <c r="N641" s="2"/>
      <c r="O641" s="2"/>
      <c r="P641" s="53"/>
      <c r="Q641" s="53"/>
      <c r="R641" s="2"/>
      <c r="S641" s="2"/>
      <c r="T641" s="2"/>
    </row>
    <row r="642" spans="1:20">
      <c r="A642" s="3"/>
      <c r="B642" s="3"/>
      <c r="C642" s="2"/>
      <c r="D642" s="2"/>
      <c r="E642" s="51"/>
      <c r="F642" s="51"/>
      <c r="G642" s="51"/>
      <c r="H642" s="51"/>
      <c r="I642" s="2"/>
      <c r="J642" s="2"/>
      <c r="K642" s="2"/>
      <c r="L642" s="2"/>
      <c r="M642" s="2"/>
      <c r="N642" s="2"/>
      <c r="O642" s="2"/>
      <c r="P642" s="53"/>
      <c r="Q642" s="53"/>
      <c r="R642" s="2"/>
      <c r="S642" s="2"/>
      <c r="T642" s="2"/>
    </row>
    <row r="643" spans="1:20">
      <c r="A643" s="3"/>
      <c r="B643" s="3"/>
      <c r="C643" s="2"/>
      <c r="D643" s="2"/>
      <c r="E643" s="51"/>
      <c r="F643" s="51"/>
      <c r="G643" s="51"/>
      <c r="H643" s="51"/>
      <c r="I643" s="2"/>
      <c r="J643" s="2"/>
      <c r="K643" s="2"/>
      <c r="L643" s="2"/>
      <c r="M643" s="2"/>
      <c r="N643" s="2"/>
      <c r="O643" s="2"/>
      <c r="P643" s="53"/>
      <c r="Q643" s="53"/>
      <c r="R643" s="2"/>
      <c r="S643" s="2"/>
      <c r="T643" s="2"/>
    </row>
    <row r="644" spans="1:20">
      <c r="A644" s="3"/>
      <c r="B644" s="3"/>
      <c r="C644" s="2"/>
      <c r="D644" s="2"/>
      <c r="E644" s="51"/>
      <c r="F644" s="51"/>
      <c r="G644" s="51"/>
      <c r="H644" s="51"/>
      <c r="I644" s="2"/>
      <c r="J644" s="2"/>
      <c r="K644" s="2"/>
      <c r="L644" s="2"/>
      <c r="M644" s="2"/>
      <c r="N644" s="2"/>
      <c r="O644" s="2"/>
      <c r="P644" s="53"/>
      <c r="Q644" s="53"/>
      <c r="R644" s="2"/>
      <c r="S644" s="2"/>
      <c r="T644" s="2"/>
    </row>
    <row r="645" spans="1:20">
      <c r="A645" s="3"/>
      <c r="B645" s="3"/>
      <c r="C645" s="2"/>
      <c r="D645" s="2"/>
      <c r="E645" s="51"/>
      <c r="F645" s="51"/>
      <c r="G645" s="51"/>
      <c r="H645" s="51"/>
      <c r="I645" s="2"/>
      <c r="J645" s="2"/>
      <c r="K645" s="2"/>
      <c r="L645" s="2"/>
      <c r="M645" s="2"/>
      <c r="N645" s="2"/>
      <c r="O645" s="2"/>
      <c r="P645" s="53"/>
      <c r="Q645" s="53"/>
      <c r="R645" s="2"/>
      <c r="S645" s="2"/>
      <c r="T645" s="2"/>
    </row>
    <row r="646" spans="1:20">
      <c r="A646" s="3"/>
      <c r="B646" s="3"/>
      <c r="C646" s="2"/>
      <c r="D646" s="2"/>
      <c r="E646" s="51"/>
      <c r="F646" s="51"/>
      <c r="G646" s="51"/>
      <c r="H646" s="51"/>
      <c r="I646" s="2"/>
      <c r="J646" s="2"/>
      <c r="K646" s="2"/>
      <c r="L646" s="2"/>
      <c r="M646" s="2"/>
      <c r="N646" s="2"/>
      <c r="O646" s="2"/>
      <c r="P646" s="53"/>
      <c r="Q646" s="53"/>
      <c r="R646" s="2"/>
      <c r="S646" s="2"/>
      <c r="T646" s="2"/>
    </row>
    <row r="647" spans="1:20">
      <c r="A647" s="3"/>
      <c r="B647" s="3"/>
      <c r="C647" s="2"/>
      <c r="D647" s="2"/>
      <c r="E647" s="51"/>
      <c r="F647" s="51"/>
      <c r="G647" s="51"/>
      <c r="H647" s="51"/>
      <c r="I647" s="2"/>
      <c r="J647" s="2"/>
      <c r="K647" s="2"/>
      <c r="L647" s="2"/>
      <c r="M647" s="2"/>
      <c r="N647" s="2"/>
      <c r="O647" s="2"/>
      <c r="P647" s="53"/>
      <c r="Q647" s="53"/>
      <c r="R647" s="2"/>
      <c r="S647" s="2"/>
      <c r="T647" s="2"/>
    </row>
    <row r="648" spans="1:20">
      <c r="A648" s="3"/>
      <c r="B648" s="3"/>
      <c r="C648" s="2"/>
      <c r="D648" s="2"/>
      <c r="E648" s="51"/>
      <c r="F648" s="51"/>
      <c r="G648" s="51"/>
      <c r="H648" s="51"/>
      <c r="I648" s="2"/>
      <c r="J648" s="2"/>
      <c r="K648" s="2"/>
      <c r="L648" s="2"/>
      <c r="M648" s="2"/>
      <c r="N648" s="2"/>
      <c r="O648" s="2"/>
      <c r="P648" s="53"/>
      <c r="Q648" s="53"/>
      <c r="R648" s="2"/>
      <c r="S648" s="2"/>
      <c r="T648" s="2"/>
    </row>
    <row r="649" spans="1:20">
      <c r="A649" s="3"/>
      <c r="B649" s="3"/>
      <c r="C649" s="2"/>
      <c r="D649" s="2"/>
      <c r="E649" s="51"/>
      <c r="F649" s="51"/>
      <c r="G649" s="51"/>
      <c r="H649" s="51"/>
      <c r="I649" s="2"/>
      <c r="J649" s="2"/>
      <c r="K649" s="2"/>
      <c r="L649" s="2"/>
      <c r="M649" s="2"/>
      <c r="N649" s="2"/>
      <c r="O649" s="2"/>
      <c r="P649" s="53"/>
      <c r="Q649" s="53"/>
      <c r="R649" s="2"/>
      <c r="S649" s="2"/>
      <c r="T649" s="2"/>
    </row>
    <row r="650" spans="1:20">
      <c r="A650" s="3"/>
      <c r="B650" s="3"/>
      <c r="C650" s="2"/>
      <c r="D650" s="2"/>
      <c r="E650" s="51"/>
      <c r="F650" s="51"/>
      <c r="G650" s="51"/>
      <c r="H650" s="51"/>
      <c r="I650" s="2"/>
      <c r="J650" s="2"/>
      <c r="K650" s="2"/>
      <c r="L650" s="2"/>
      <c r="M650" s="2"/>
      <c r="N650" s="2"/>
      <c r="O650" s="2"/>
      <c r="P650" s="53"/>
      <c r="Q650" s="53"/>
      <c r="R650" s="2"/>
      <c r="S650" s="2"/>
      <c r="T650" s="2"/>
    </row>
    <row r="651" spans="1:20">
      <c r="A651" s="3"/>
      <c r="B651" s="3"/>
      <c r="C651" s="2"/>
      <c r="D651" s="2"/>
      <c r="E651" s="51"/>
      <c r="F651" s="51"/>
      <c r="G651" s="51"/>
      <c r="H651" s="51"/>
      <c r="I651" s="2"/>
      <c r="J651" s="2"/>
      <c r="K651" s="2"/>
      <c r="L651" s="2"/>
      <c r="M651" s="2"/>
      <c r="N651" s="2"/>
      <c r="O651" s="2"/>
      <c r="P651" s="53"/>
      <c r="Q651" s="53"/>
      <c r="R651" s="2"/>
      <c r="S651" s="2"/>
      <c r="T651" s="2"/>
    </row>
    <row r="652" spans="1:20">
      <c r="A652" s="3"/>
      <c r="B652" s="3"/>
      <c r="C652" s="2"/>
      <c r="D652" s="2"/>
      <c r="E652" s="51"/>
      <c r="F652" s="51"/>
      <c r="G652" s="51"/>
      <c r="H652" s="51"/>
      <c r="I652" s="2"/>
      <c r="J652" s="2"/>
      <c r="K652" s="2"/>
      <c r="L652" s="2"/>
      <c r="M652" s="2"/>
      <c r="N652" s="2"/>
      <c r="O652" s="2"/>
      <c r="P652" s="53"/>
      <c r="Q652" s="53"/>
      <c r="R652" s="2"/>
      <c r="S652" s="2"/>
      <c r="T652" s="2"/>
    </row>
    <row r="653" spans="1:20">
      <c r="A653" s="3"/>
      <c r="B653" s="3"/>
      <c r="C653" s="2"/>
      <c r="D653" s="2"/>
      <c r="E653" s="51"/>
      <c r="F653" s="51"/>
      <c r="G653" s="51"/>
      <c r="H653" s="51"/>
      <c r="I653" s="2"/>
      <c r="J653" s="2"/>
      <c r="K653" s="2"/>
      <c r="L653" s="2"/>
      <c r="M653" s="2"/>
      <c r="N653" s="2"/>
      <c r="O653" s="2"/>
      <c r="P653" s="53"/>
      <c r="Q653" s="53"/>
      <c r="R653" s="2"/>
      <c r="S653" s="2"/>
      <c r="T653" s="2"/>
    </row>
    <row r="654" spans="1:20">
      <c r="A654" s="3"/>
      <c r="B654" s="3"/>
      <c r="C654" s="2"/>
      <c r="D654" s="2"/>
      <c r="E654" s="51"/>
      <c r="F654" s="51"/>
      <c r="G654" s="51"/>
      <c r="H654" s="51"/>
      <c r="I654" s="2"/>
      <c r="J654" s="2"/>
      <c r="K654" s="2"/>
      <c r="L654" s="2"/>
      <c r="M654" s="2"/>
      <c r="N654" s="2"/>
      <c r="O654" s="2"/>
      <c r="P654" s="53"/>
      <c r="Q654" s="53"/>
      <c r="R654" s="2"/>
      <c r="S654" s="2"/>
      <c r="T654" s="2"/>
    </row>
    <row r="655" spans="1:20">
      <c r="A655" s="3"/>
      <c r="B655" s="3"/>
      <c r="C655" s="2"/>
      <c r="D655" s="2"/>
      <c r="E655" s="51"/>
      <c r="F655" s="51"/>
      <c r="G655" s="51"/>
      <c r="H655" s="51"/>
      <c r="I655" s="2"/>
      <c r="J655" s="2"/>
      <c r="K655" s="2"/>
      <c r="L655" s="2"/>
      <c r="M655" s="2"/>
      <c r="N655" s="2"/>
      <c r="O655" s="2"/>
      <c r="P655" s="53"/>
      <c r="Q655" s="53"/>
      <c r="R655" s="2"/>
      <c r="S655" s="2"/>
      <c r="T655" s="2"/>
    </row>
    <row r="656" spans="1:20">
      <c r="A656" s="3"/>
      <c r="B656" s="3"/>
      <c r="C656" s="2"/>
      <c r="D656" s="2"/>
      <c r="E656" s="51"/>
      <c r="F656" s="51"/>
      <c r="G656" s="51"/>
      <c r="H656" s="51"/>
      <c r="I656" s="2"/>
      <c r="J656" s="2"/>
      <c r="K656" s="2"/>
      <c r="L656" s="2"/>
      <c r="M656" s="2"/>
      <c r="N656" s="2"/>
      <c r="O656" s="2"/>
      <c r="P656" s="53"/>
      <c r="Q656" s="53"/>
      <c r="R656" s="2"/>
      <c r="S656" s="2"/>
      <c r="T656" s="2"/>
    </row>
    <row r="657" spans="1:20">
      <c r="A657" s="3"/>
      <c r="B657" s="3"/>
      <c r="C657" s="2"/>
      <c r="D657" s="2"/>
      <c r="E657" s="51"/>
      <c r="F657" s="51"/>
      <c r="G657" s="51"/>
      <c r="H657" s="51"/>
      <c r="I657" s="2"/>
      <c r="J657" s="2"/>
      <c r="K657" s="2"/>
      <c r="L657" s="2"/>
      <c r="M657" s="2"/>
      <c r="N657" s="2"/>
      <c r="O657" s="2"/>
      <c r="P657" s="53"/>
      <c r="Q657" s="53"/>
      <c r="R657" s="2"/>
      <c r="S657" s="2"/>
      <c r="T657" s="2"/>
    </row>
    <row r="658" spans="1:20">
      <c r="A658" s="3"/>
      <c r="B658" s="3"/>
      <c r="C658" s="2"/>
      <c r="D658" s="2"/>
      <c r="E658" s="51"/>
      <c r="F658" s="51"/>
      <c r="G658" s="51"/>
      <c r="H658" s="51"/>
      <c r="I658" s="2"/>
      <c r="J658" s="2"/>
      <c r="K658" s="2"/>
      <c r="L658" s="2"/>
      <c r="M658" s="2"/>
      <c r="N658" s="2"/>
      <c r="O658" s="2"/>
      <c r="P658" s="53"/>
      <c r="Q658" s="53"/>
      <c r="R658" s="2"/>
      <c r="S658" s="2"/>
      <c r="T658" s="2"/>
    </row>
    <row r="659" spans="1:20">
      <c r="A659" s="3"/>
      <c r="B659" s="3"/>
      <c r="C659" s="2"/>
      <c r="D659" s="2"/>
      <c r="E659" s="51"/>
      <c r="F659" s="51"/>
      <c r="G659" s="51"/>
      <c r="H659" s="51"/>
      <c r="I659" s="2"/>
      <c r="J659" s="2"/>
      <c r="K659" s="2"/>
      <c r="L659" s="2"/>
      <c r="M659" s="2"/>
      <c r="N659" s="2"/>
      <c r="O659" s="2"/>
      <c r="P659" s="53"/>
      <c r="Q659" s="53"/>
      <c r="R659" s="2"/>
      <c r="S659" s="2"/>
      <c r="T659" s="2"/>
    </row>
    <row r="660" spans="1:20">
      <c r="A660" s="3"/>
      <c r="B660" s="3"/>
      <c r="C660" s="2"/>
      <c r="D660" s="2"/>
      <c r="E660" s="51"/>
      <c r="F660" s="51"/>
      <c r="G660" s="51"/>
      <c r="H660" s="51"/>
      <c r="I660" s="2"/>
      <c r="J660" s="2"/>
      <c r="K660" s="2"/>
      <c r="L660" s="2"/>
      <c r="M660" s="2"/>
      <c r="N660" s="2"/>
      <c r="O660" s="2"/>
      <c r="P660" s="53"/>
      <c r="Q660" s="53"/>
      <c r="R660" s="2"/>
      <c r="S660" s="2"/>
      <c r="T660" s="2"/>
    </row>
    <row r="661" spans="1:20">
      <c r="A661" s="3"/>
      <c r="B661" s="3"/>
      <c r="C661" s="2"/>
      <c r="D661" s="2"/>
      <c r="E661" s="51"/>
      <c r="F661" s="51"/>
      <c r="G661" s="51"/>
      <c r="H661" s="51"/>
      <c r="I661" s="2"/>
      <c r="J661" s="2"/>
      <c r="K661" s="2"/>
      <c r="L661" s="2"/>
      <c r="M661" s="2"/>
      <c r="N661" s="2"/>
      <c r="O661" s="2"/>
      <c r="P661" s="53"/>
      <c r="Q661" s="53"/>
      <c r="R661" s="2"/>
      <c r="S661" s="2"/>
      <c r="T661" s="2"/>
    </row>
    <row r="662" spans="1:20">
      <c r="A662" s="3"/>
      <c r="B662" s="3"/>
      <c r="C662" s="2"/>
      <c r="D662" s="2"/>
      <c r="E662" s="51"/>
      <c r="F662" s="51"/>
      <c r="G662" s="51"/>
      <c r="H662" s="51"/>
      <c r="I662" s="2"/>
      <c r="J662" s="2"/>
      <c r="K662" s="2"/>
      <c r="L662" s="2"/>
      <c r="M662" s="2"/>
      <c r="N662" s="2"/>
      <c r="O662" s="2"/>
      <c r="P662" s="53"/>
      <c r="Q662" s="53"/>
      <c r="R662" s="2"/>
      <c r="S662" s="2"/>
      <c r="T662" s="2"/>
    </row>
    <row r="663" spans="1:20">
      <c r="A663" s="3"/>
      <c r="B663" s="3"/>
      <c r="C663" s="2"/>
      <c r="D663" s="2"/>
      <c r="E663" s="51"/>
      <c r="F663" s="51"/>
      <c r="G663" s="51"/>
      <c r="H663" s="51"/>
      <c r="I663" s="2"/>
      <c r="J663" s="2"/>
      <c r="K663" s="2"/>
      <c r="L663" s="2"/>
      <c r="M663" s="2"/>
      <c r="N663" s="2"/>
      <c r="O663" s="2"/>
      <c r="P663" s="53"/>
      <c r="Q663" s="53"/>
      <c r="R663" s="2"/>
      <c r="S663" s="2"/>
      <c r="T663" s="2"/>
    </row>
    <row r="664" spans="1:20">
      <c r="A664" s="3"/>
      <c r="B664" s="3"/>
      <c r="C664" s="2"/>
      <c r="D664" s="2"/>
      <c r="E664" s="51"/>
      <c r="F664" s="51"/>
      <c r="G664" s="51"/>
      <c r="H664" s="51"/>
      <c r="I664" s="2"/>
      <c r="J664" s="2"/>
      <c r="K664" s="2"/>
      <c r="L664" s="2"/>
      <c r="M664" s="2"/>
      <c r="N664" s="2"/>
      <c r="O664" s="2"/>
      <c r="P664" s="53"/>
      <c r="Q664" s="53"/>
      <c r="R664" s="2"/>
      <c r="S664" s="2"/>
      <c r="T664" s="2"/>
    </row>
    <row r="665" spans="1:20">
      <c r="A665" s="3"/>
      <c r="B665" s="3"/>
      <c r="C665" s="2"/>
      <c r="D665" s="2"/>
      <c r="E665" s="51"/>
      <c r="F665" s="51"/>
      <c r="G665" s="51"/>
      <c r="H665" s="51"/>
      <c r="I665" s="2"/>
      <c r="J665" s="2"/>
      <c r="K665" s="2"/>
      <c r="L665" s="2"/>
      <c r="M665" s="2"/>
      <c r="N665" s="2"/>
      <c r="O665" s="2"/>
      <c r="P665" s="53"/>
      <c r="Q665" s="53"/>
      <c r="R665" s="2"/>
      <c r="S665" s="2"/>
      <c r="T665" s="2"/>
    </row>
    <row r="666" spans="1:20">
      <c r="A666" s="3"/>
      <c r="B666" s="3"/>
      <c r="C666" s="2"/>
      <c r="D666" s="2"/>
      <c r="E666" s="51"/>
      <c r="F666" s="51"/>
      <c r="G666" s="51"/>
      <c r="H666" s="51"/>
      <c r="I666" s="2"/>
      <c r="J666" s="2"/>
      <c r="K666" s="2"/>
      <c r="L666" s="2"/>
      <c r="M666" s="2"/>
      <c r="N666" s="2"/>
      <c r="O666" s="2"/>
      <c r="P666" s="53"/>
      <c r="Q666" s="53"/>
      <c r="R666" s="2"/>
      <c r="S666" s="2"/>
      <c r="T666" s="2"/>
    </row>
    <row r="667" spans="1:20">
      <c r="A667" s="3"/>
      <c r="B667" s="3"/>
      <c r="C667" s="2"/>
      <c r="D667" s="2"/>
      <c r="E667" s="51"/>
      <c r="F667" s="51"/>
      <c r="G667" s="51"/>
      <c r="H667" s="51"/>
      <c r="I667" s="2"/>
      <c r="J667" s="2"/>
      <c r="K667" s="2"/>
      <c r="L667" s="2"/>
      <c r="M667" s="2"/>
      <c r="N667" s="2"/>
      <c r="O667" s="2"/>
      <c r="P667" s="53"/>
      <c r="Q667" s="53"/>
      <c r="R667" s="2"/>
      <c r="S667" s="2"/>
      <c r="T667" s="2"/>
    </row>
    <row r="668" spans="1:20">
      <c r="A668" s="3"/>
      <c r="B668" s="3"/>
      <c r="C668" s="2"/>
      <c r="D668" s="2"/>
      <c r="E668" s="51"/>
      <c r="F668" s="51"/>
      <c r="G668" s="51"/>
      <c r="H668" s="51"/>
      <c r="I668" s="2"/>
      <c r="J668" s="2"/>
      <c r="K668" s="2"/>
      <c r="L668" s="2"/>
      <c r="M668" s="2"/>
      <c r="N668" s="2"/>
      <c r="O668" s="2"/>
      <c r="P668" s="53"/>
      <c r="Q668" s="53"/>
      <c r="R668" s="2"/>
      <c r="S668" s="2"/>
      <c r="T668" s="2"/>
    </row>
    <row r="669" spans="1:20">
      <c r="A669" s="3"/>
      <c r="B669" s="3"/>
      <c r="C669" s="2"/>
      <c r="D669" s="2"/>
      <c r="E669" s="51"/>
      <c r="F669" s="51"/>
      <c r="G669" s="51"/>
      <c r="H669" s="51"/>
      <c r="I669" s="2"/>
      <c r="J669" s="2"/>
      <c r="K669" s="2"/>
      <c r="L669" s="2"/>
      <c r="M669" s="2"/>
      <c r="N669" s="2"/>
      <c r="O669" s="2"/>
      <c r="P669" s="53"/>
      <c r="Q669" s="53"/>
      <c r="R669" s="2"/>
      <c r="S669" s="2"/>
      <c r="T669" s="2"/>
    </row>
    <row r="670" spans="1:20">
      <c r="A670" s="3"/>
      <c r="B670" s="3"/>
      <c r="C670" s="2"/>
      <c r="D670" s="2"/>
      <c r="E670" s="51"/>
      <c r="F670" s="51"/>
      <c r="G670" s="51"/>
      <c r="H670" s="51"/>
      <c r="I670" s="2"/>
      <c r="J670" s="2"/>
      <c r="K670" s="2"/>
      <c r="L670" s="2"/>
      <c r="M670" s="2"/>
      <c r="N670" s="2"/>
      <c r="O670" s="2"/>
      <c r="P670" s="53"/>
      <c r="Q670" s="53"/>
      <c r="R670" s="2"/>
      <c r="S670" s="2"/>
      <c r="T670" s="2"/>
    </row>
    <row r="671" spans="1:20">
      <c r="A671" s="3"/>
      <c r="B671" s="3"/>
      <c r="C671" s="2"/>
      <c r="D671" s="2"/>
      <c r="E671" s="51"/>
      <c r="F671" s="51"/>
      <c r="G671" s="51"/>
      <c r="H671" s="51"/>
      <c r="I671" s="2"/>
      <c r="J671" s="2"/>
      <c r="K671" s="2"/>
      <c r="L671" s="2"/>
      <c r="M671" s="2"/>
      <c r="N671" s="2"/>
      <c r="O671" s="2"/>
      <c r="P671" s="53"/>
      <c r="Q671" s="53"/>
      <c r="R671" s="2"/>
      <c r="S671" s="2"/>
      <c r="T671" s="2"/>
    </row>
    <row r="672" spans="1:20">
      <c r="A672" s="3"/>
      <c r="B672" s="3"/>
      <c r="C672" s="2"/>
      <c r="D672" s="2"/>
      <c r="E672" s="51"/>
      <c r="F672" s="51"/>
      <c r="G672" s="51"/>
      <c r="H672" s="51"/>
      <c r="I672" s="2"/>
      <c r="J672" s="2"/>
      <c r="K672" s="2"/>
      <c r="L672" s="2"/>
      <c r="M672" s="2"/>
      <c r="N672" s="2"/>
      <c r="O672" s="2"/>
      <c r="P672" s="53"/>
      <c r="Q672" s="53"/>
      <c r="R672" s="2"/>
      <c r="S672" s="2"/>
      <c r="T672" s="2"/>
    </row>
    <row r="673" spans="1:20">
      <c r="A673" s="3"/>
      <c r="B673" s="3"/>
      <c r="C673" s="2"/>
      <c r="D673" s="2"/>
      <c r="E673" s="51"/>
      <c r="F673" s="51"/>
      <c r="G673" s="51"/>
      <c r="H673" s="51"/>
      <c r="I673" s="2"/>
      <c r="J673" s="2"/>
      <c r="K673" s="2"/>
      <c r="L673" s="2"/>
      <c r="M673" s="2"/>
      <c r="N673" s="2"/>
      <c r="O673" s="2"/>
      <c r="P673" s="53"/>
      <c r="Q673" s="53"/>
      <c r="R673" s="2"/>
      <c r="S673" s="2"/>
      <c r="T673" s="2"/>
    </row>
    <row r="674" spans="1:20">
      <c r="A674" s="3"/>
      <c r="B674" s="3"/>
      <c r="C674" s="2"/>
      <c r="D674" s="2"/>
      <c r="E674" s="51"/>
      <c r="F674" s="51"/>
      <c r="G674" s="51"/>
      <c r="H674" s="51"/>
      <c r="I674" s="2"/>
      <c r="J674" s="2"/>
      <c r="K674" s="2"/>
      <c r="L674" s="2"/>
      <c r="M674" s="2"/>
      <c r="N674" s="2"/>
      <c r="O674" s="2"/>
      <c r="P674" s="53"/>
      <c r="Q674" s="53"/>
      <c r="R674" s="2"/>
      <c r="S674" s="2"/>
      <c r="T674" s="2"/>
    </row>
    <row r="675" spans="1:20">
      <c r="A675" s="3"/>
      <c r="B675" s="3"/>
      <c r="C675" s="2"/>
      <c r="D675" s="2"/>
      <c r="E675" s="51"/>
      <c r="F675" s="51"/>
      <c r="G675" s="51"/>
      <c r="H675" s="51"/>
      <c r="I675" s="2"/>
      <c r="J675" s="2"/>
      <c r="K675" s="2"/>
      <c r="L675" s="2"/>
      <c r="M675" s="2"/>
      <c r="N675" s="2"/>
      <c r="O675" s="2"/>
      <c r="P675" s="53"/>
      <c r="Q675" s="53"/>
      <c r="R675" s="2"/>
      <c r="S675" s="2"/>
      <c r="T675" s="2"/>
    </row>
    <row r="676" spans="1:20">
      <c r="A676" s="3"/>
      <c r="B676" s="3"/>
      <c r="C676" s="2"/>
      <c r="D676" s="2"/>
      <c r="E676" s="51"/>
      <c r="F676" s="51"/>
      <c r="G676" s="51"/>
      <c r="H676" s="51"/>
      <c r="I676" s="2"/>
      <c r="J676" s="2"/>
      <c r="K676" s="2"/>
      <c r="L676" s="2"/>
      <c r="M676" s="2"/>
      <c r="N676" s="2"/>
      <c r="O676" s="2"/>
      <c r="P676" s="53"/>
      <c r="Q676" s="53"/>
      <c r="R676" s="2"/>
      <c r="S676" s="2"/>
      <c r="T676" s="2"/>
    </row>
    <row r="677" spans="1:20">
      <c r="A677" s="3"/>
      <c r="B677" s="3"/>
      <c r="C677" s="2"/>
      <c r="D677" s="2"/>
      <c r="E677" s="51"/>
      <c r="F677" s="51"/>
      <c r="G677" s="51"/>
      <c r="H677" s="51"/>
      <c r="I677" s="2"/>
      <c r="J677" s="2"/>
      <c r="K677" s="2"/>
      <c r="L677" s="2"/>
      <c r="M677" s="2"/>
      <c r="N677" s="2"/>
      <c r="O677" s="2"/>
      <c r="P677" s="53"/>
      <c r="Q677" s="53"/>
      <c r="R677" s="2"/>
      <c r="S677" s="2"/>
      <c r="T677" s="2"/>
    </row>
    <row r="678" spans="1:20">
      <c r="A678" s="3"/>
      <c r="B678" s="3"/>
      <c r="C678" s="2"/>
      <c r="D678" s="2"/>
      <c r="E678" s="51"/>
      <c r="F678" s="51"/>
      <c r="G678" s="51"/>
      <c r="H678" s="51"/>
      <c r="I678" s="2"/>
      <c r="J678" s="2"/>
      <c r="K678" s="2"/>
      <c r="L678" s="2"/>
      <c r="M678" s="2"/>
      <c r="N678" s="2"/>
      <c r="O678" s="2"/>
      <c r="P678" s="53"/>
      <c r="Q678" s="53"/>
      <c r="R678" s="2"/>
      <c r="S678" s="2"/>
      <c r="T678" s="2"/>
    </row>
    <row r="679" spans="1:20">
      <c r="A679" s="3"/>
      <c r="B679" s="3"/>
      <c r="C679" s="2"/>
      <c r="D679" s="2"/>
      <c r="E679" s="51"/>
      <c r="F679" s="51"/>
      <c r="G679" s="51"/>
      <c r="H679" s="51"/>
      <c r="I679" s="2"/>
      <c r="J679" s="2"/>
      <c r="K679" s="2"/>
      <c r="L679" s="2"/>
      <c r="M679" s="2"/>
      <c r="N679" s="2"/>
      <c r="O679" s="2"/>
      <c r="P679" s="53"/>
      <c r="Q679" s="53"/>
      <c r="R679" s="2"/>
      <c r="S679" s="2"/>
      <c r="T679" s="2"/>
    </row>
    <row r="680" spans="1:20">
      <c r="A680" s="3"/>
      <c r="B680" s="3"/>
      <c r="C680" s="2"/>
      <c r="D680" s="2"/>
      <c r="E680" s="51"/>
      <c r="F680" s="51"/>
      <c r="G680" s="51"/>
      <c r="H680" s="51"/>
      <c r="I680" s="2"/>
      <c r="J680" s="2"/>
      <c r="K680" s="2"/>
      <c r="L680" s="2"/>
      <c r="M680" s="2"/>
      <c r="N680" s="2"/>
      <c r="O680" s="2"/>
      <c r="P680" s="53"/>
      <c r="Q680" s="53"/>
      <c r="R680" s="2"/>
      <c r="S680" s="2"/>
      <c r="T680" s="2"/>
    </row>
    <row r="681" spans="1:20">
      <c r="A681" s="3"/>
      <c r="B681" s="3"/>
      <c r="C681" s="2"/>
      <c r="D681" s="2"/>
      <c r="E681" s="51"/>
      <c r="F681" s="51"/>
      <c r="G681" s="51"/>
      <c r="H681" s="51"/>
      <c r="I681" s="2"/>
      <c r="J681" s="2"/>
      <c r="K681" s="2"/>
      <c r="L681" s="2"/>
      <c r="M681" s="2"/>
      <c r="N681" s="2"/>
      <c r="O681" s="2"/>
      <c r="P681" s="53"/>
      <c r="Q681" s="53"/>
      <c r="R681" s="2"/>
      <c r="S681" s="2"/>
      <c r="T681" s="2"/>
    </row>
    <row r="682" spans="1:20">
      <c r="A682" s="3"/>
      <c r="B682" s="3"/>
      <c r="C682" s="2"/>
      <c r="D682" s="2"/>
      <c r="E682" s="51"/>
      <c r="F682" s="51"/>
      <c r="G682" s="51"/>
      <c r="H682" s="51"/>
      <c r="I682" s="2"/>
      <c r="J682" s="2"/>
      <c r="K682" s="2"/>
      <c r="L682" s="2"/>
      <c r="M682" s="2"/>
      <c r="N682" s="2"/>
      <c r="O682" s="2"/>
      <c r="P682" s="53"/>
      <c r="Q682" s="53"/>
      <c r="R682" s="2"/>
      <c r="S682" s="2"/>
      <c r="T682" s="2"/>
    </row>
    <row r="683" spans="1:20">
      <c r="A683" s="3"/>
      <c r="B683" s="3"/>
      <c r="C683" s="2"/>
      <c r="D683" s="2"/>
      <c r="E683" s="51"/>
      <c r="F683" s="51"/>
      <c r="G683" s="51"/>
      <c r="H683" s="51"/>
      <c r="I683" s="2"/>
      <c r="J683" s="2"/>
      <c r="K683" s="2"/>
      <c r="L683" s="2"/>
      <c r="M683" s="2"/>
      <c r="N683" s="2"/>
      <c r="O683" s="2"/>
      <c r="P683" s="53"/>
      <c r="Q683" s="53"/>
      <c r="R683" s="2"/>
      <c r="S683" s="2"/>
      <c r="T683" s="2"/>
    </row>
    <row r="684" spans="1:20">
      <c r="A684" s="3"/>
      <c r="B684" s="3"/>
      <c r="C684" s="2"/>
      <c r="D684" s="2"/>
      <c r="E684" s="51"/>
      <c r="F684" s="51"/>
      <c r="G684" s="51"/>
      <c r="H684" s="51"/>
      <c r="I684" s="2"/>
      <c r="J684" s="2"/>
      <c r="K684" s="2"/>
      <c r="L684" s="2"/>
      <c r="M684" s="2"/>
      <c r="N684" s="2"/>
      <c r="O684" s="2"/>
      <c r="P684" s="53"/>
      <c r="Q684" s="53"/>
      <c r="R684" s="2"/>
      <c r="S684" s="2"/>
      <c r="T684" s="2"/>
    </row>
    <row r="685" spans="1:20">
      <c r="A685" s="3"/>
      <c r="B685" s="3"/>
      <c r="C685" s="2"/>
      <c r="D685" s="2"/>
      <c r="E685" s="51"/>
      <c r="F685" s="51"/>
      <c r="G685" s="51"/>
      <c r="H685" s="51"/>
      <c r="I685" s="2"/>
      <c r="J685" s="2"/>
      <c r="K685" s="2"/>
      <c r="L685" s="2"/>
      <c r="M685" s="2"/>
      <c r="N685" s="2"/>
      <c r="O685" s="2"/>
      <c r="P685" s="53"/>
      <c r="Q685" s="53"/>
      <c r="R685" s="2"/>
      <c r="S685" s="2"/>
      <c r="T685" s="2"/>
    </row>
    <row r="686" spans="1:20">
      <c r="A686" s="3"/>
      <c r="B686" s="3"/>
      <c r="C686" s="2"/>
      <c r="D686" s="2"/>
      <c r="E686" s="51"/>
      <c r="F686" s="51"/>
      <c r="G686" s="51"/>
      <c r="H686" s="51"/>
      <c r="I686" s="2"/>
      <c r="J686" s="2"/>
      <c r="K686" s="2"/>
      <c r="L686" s="2"/>
      <c r="M686" s="2"/>
      <c r="N686" s="2"/>
      <c r="O686" s="2"/>
      <c r="P686" s="53"/>
      <c r="Q686" s="53"/>
      <c r="R686" s="2"/>
      <c r="S686" s="2"/>
      <c r="T686" s="2"/>
    </row>
    <row r="687" spans="1:20">
      <c r="A687" s="3"/>
      <c r="B687" s="3"/>
      <c r="C687" s="2"/>
      <c r="D687" s="2"/>
      <c r="E687" s="51"/>
      <c r="F687" s="51"/>
      <c r="G687" s="51"/>
      <c r="H687" s="51"/>
      <c r="I687" s="2"/>
      <c r="J687" s="2"/>
      <c r="K687" s="2"/>
      <c r="L687" s="2"/>
      <c r="M687" s="2"/>
      <c r="N687" s="2"/>
      <c r="O687" s="2"/>
      <c r="P687" s="53"/>
      <c r="Q687" s="53"/>
      <c r="R687" s="2"/>
      <c r="S687" s="2"/>
      <c r="T687" s="2"/>
    </row>
    <row r="688" spans="1:20">
      <c r="A688" s="3"/>
      <c r="B688" s="3"/>
      <c r="C688" s="2"/>
      <c r="D688" s="2"/>
      <c r="E688" s="51"/>
      <c r="F688" s="51"/>
      <c r="G688" s="51"/>
      <c r="H688" s="51"/>
      <c r="I688" s="2"/>
      <c r="J688" s="2"/>
      <c r="K688" s="2"/>
      <c r="L688" s="2"/>
      <c r="M688" s="2"/>
      <c r="N688" s="2"/>
      <c r="O688" s="2"/>
      <c r="P688" s="53"/>
      <c r="Q688" s="53"/>
      <c r="R688" s="2"/>
      <c r="S688" s="2"/>
      <c r="T688" s="2"/>
    </row>
    <row r="689" spans="1:20">
      <c r="A689" s="3"/>
      <c r="B689" s="3"/>
      <c r="C689" s="2"/>
      <c r="D689" s="2"/>
      <c r="E689" s="51"/>
      <c r="F689" s="51"/>
      <c r="G689" s="51"/>
      <c r="H689" s="51"/>
      <c r="I689" s="2"/>
      <c r="J689" s="2"/>
      <c r="K689" s="2"/>
      <c r="L689" s="2"/>
      <c r="M689" s="2"/>
      <c r="N689" s="2"/>
      <c r="O689" s="2"/>
      <c r="P689" s="53"/>
      <c r="Q689" s="53"/>
      <c r="R689" s="2"/>
      <c r="S689" s="2"/>
      <c r="T689" s="2"/>
    </row>
    <row r="690" spans="1:20">
      <c r="A690" s="3"/>
      <c r="B690" s="3"/>
      <c r="C690" s="2"/>
      <c r="D690" s="2"/>
      <c r="E690" s="51"/>
      <c r="F690" s="51"/>
      <c r="G690" s="51"/>
      <c r="H690" s="51"/>
      <c r="I690" s="2"/>
      <c r="J690" s="2"/>
      <c r="K690" s="2"/>
      <c r="L690" s="2"/>
      <c r="M690" s="2"/>
      <c r="N690" s="2"/>
      <c r="O690" s="2"/>
      <c r="P690" s="53"/>
      <c r="Q690" s="53"/>
      <c r="R690" s="2"/>
      <c r="S690" s="2"/>
      <c r="T690" s="2"/>
    </row>
    <row r="691" spans="1:20">
      <c r="A691" s="3"/>
      <c r="B691" s="3"/>
      <c r="C691" s="2"/>
      <c r="D691" s="2"/>
      <c r="E691" s="51"/>
      <c r="F691" s="51"/>
      <c r="G691" s="51"/>
      <c r="H691" s="51"/>
      <c r="I691" s="2"/>
      <c r="J691" s="2"/>
      <c r="K691" s="2"/>
      <c r="L691" s="2"/>
      <c r="M691" s="2"/>
      <c r="N691" s="2"/>
      <c r="O691" s="2"/>
      <c r="P691" s="53"/>
      <c r="Q691" s="53"/>
      <c r="R691" s="2"/>
      <c r="S691" s="2"/>
      <c r="T691" s="2"/>
    </row>
    <row r="692" spans="1:20">
      <c r="A692" s="3"/>
      <c r="B692" s="3"/>
      <c r="C692" s="2"/>
      <c r="D692" s="2"/>
      <c r="E692" s="51"/>
      <c r="F692" s="51"/>
      <c r="G692" s="51"/>
      <c r="H692" s="51"/>
      <c r="I692" s="2"/>
      <c r="J692" s="2"/>
      <c r="K692" s="2"/>
      <c r="L692" s="2"/>
      <c r="M692" s="2"/>
      <c r="N692" s="2"/>
      <c r="O692" s="2"/>
      <c r="P692" s="53"/>
      <c r="Q692" s="53"/>
      <c r="R692" s="2"/>
      <c r="S692" s="2"/>
      <c r="T692" s="2"/>
    </row>
    <row r="693" spans="1:20">
      <c r="A693" s="3"/>
      <c r="B693" s="3"/>
      <c r="C693" s="2"/>
      <c r="D693" s="2"/>
      <c r="E693" s="51"/>
      <c r="F693" s="51"/>
      <c r="G693" s="51"/>
      <c r="H693" s="51"/>
      <c r="I693" s="2"/>
      <c r="J693" s="2"/>
      <c r="K693" s="2"/>
      <c r="L693" s="2"/>
      <c r="M693" s="2"/>
      <c r="N693" s="2"/>
      <c r="O693" s="2"/>
      <c r="P693" s="53"/>
      <c r="Q693" s="53"/>
      <c r="R693" s="2"/>
      <c r="S693" s="2"/>
      <c r="T693" s="2"/>
    </row>
    <row r="694" spans="1:20">
      <c r="A694" s="3"/>
      <c r="B694" s="3"/>
      <c r="C694" s="2"/>
      <c r="D694" s="2"/>
      <c r="E694" s="51"/>
      <c r="F694" s="51"/>
      <c r="G694" s="51"/>
      <c r="H694" s="51"/>
      <c r="I694" s="2"/>
      <c r="J694" s="2"/>
      <c r="K694" s="2"/>
      <c r="L694" s="2"/>
      <c r="M694" s="2"/>
      <c r="N694" s="2"/>
      <c r="O694" s="2"/>
      <c r="P694" s="53"/>
      <c r="Q694" s="53"/>
      <c r="R694" s="2"/>
      <c r="S694" s="2"/>
      <c r="T694" s="2"/>
    </row>
    <row r="695" spans="1:20">
      <c r="A695" s="3"/>
      <c r="B695" s="3"/>
      <c r="C695" s="2"/>
      <c r="D695" s="2"/>
      <c r="E695" s="51"/>
      <c r="F695" s="51"/>
      <c r="G695" s="51"/>
      <c r="H695" s="51"/>
      <c r="I695" s="2"/>
      <c r="J695" s="2"/>
      <c r="K695" s="2"/>
      <c r="L695" s="2"/>
      <c r="M695" s="2"/>
      <c r="N695" s="2"/>
      <c r="O695" s="2"/>
      <c r="P695" s="53"/>
      <c r="Q695" s="53"/>
      <c r="R695" s="2"/>
      <c r="S695" s="2"/>
      <c r="T695" s="2"/>
    </row>
    <row r="696" spans="1:20">
      <c r="A696" s="3"/>
      <c r="B696" s="3"/>
      <c r="C696" s="2"/>
      <c r="D696" s="2"/>
      <c r="E696" s="51"/>
      <c r="F696" s="51"/>
      <c r="G696" s="51"/>
      <c r="H696" s="51"/>
      <c r="I696" s="2"/>
      <c r="J696" s="2"/>
      <c r="K696" s="2"/>
      <c r="L696" s="2"/>
      <c r="M696" s="2"/>
      <c r="N696" s="2"/>
      <c r="O696" s="2"/>
      <c r="P696" s="53"/>
      <c r="Q696" s="53"/>
      <c r="R696" s="2"/>
      <c r="S696" s="2"/>
      <c r="T696" s="2"/>
    </row>
    <row r="697" spans="1:20">
      <c r="A697" s="3"/>
      <c r="B697" s="3"/>
      <c r="C697" s="2"/>
      <c r="D697" s="2"/>
      <c r="E697" s="51"/>
      <c r="F697" s="51"/>
      <c r="G697" s="51"/>
      <c r="H697" s="51"/>
      <c r="I697" s="2"/>
      <c r="J697" s="2"/>
      <c r="K697" s="2"/>
      <c r="L697" s="2"/>
      <c r="M697" s="2"/>
      <c r="N697" s="2"/>
      <c r="O697" s="2"/>
      <c r="P697" s="53"/>
      <c r="Q697" s="53"/>
      <c r="R697" s="2"/>
      <c r="S697" s="2"/>
      <c r="T697" s="2"/>
    </row>
    <row r="698" spans="1:20">
      <c r="A698" s="3"/>
      <c r="B698" s="3"/>
      <c r="C698" s="2"/>
      <c r="D698" s="2"/>
      <c r="E698" s="51"/>
      <c r="F698" s="51"/>
      <c r="G698" s="51"/>
      <c r="H698" s="51"/>
      <c r="I698" s="2"/>
      <c r="J698" s="2"/>
      <c r="K698" s="2"/>
      <c r="L698" s="2"/>
      <c r="M698" s="2"/>
      <c r="N698" s="2"/>
      <c r="O698" s="2"/>
      <c r="P698" s="53"/>
      <c r="Q698" s="53"/>
      <c r="R698" s="2"/>
      <c r="S698" s="2"/>
      <c r="T698" s="2"/>
    </row>
    <row r="699" spans="1:20">
      <c r="A699" s="3"/>
      <c r="B699" s="3"/>
      <c r="C699" s="2"/>
      <c r="D699" s="2"/>
      <c r="E699" s="51"/>
      <c r="F699" s="51"/>
      <c r="G699" s="51"/>
      <c r="H699" s="51"/>
      <c r="I699" s="2"/>
      <c r="J699" s="2"/>
      <c r="K699" s="2"/>
      <c r="L699" s="2"/>
      <c r="M699" s="2"/>
      <c r="N699" s="2"/>
      <c r="O699" s="2"/>
      <c r="P699" s="53"/>
      <c r="Q699" s="53"/>
      <c r="R699" s="2"/>
      <c r="S699" s="2"/>
      <c r="T699" s="2"/>
    </row>
    <row r="700" spans="1:20">
      <c r="A700" s="3"/>
      <c r="B700" s="3"/>
      <c r="C700" s="2"/>
      <c r="D700" s="2"/>
      <c r="E700" s="51"/>
      <c r="F700" s="51"/>
      <c r="G700" s="51"/>
      <c r="H700" s="51"/>
      <c r="I700" s="2"/>
      <c r="J700" s="2"/>
      <c r="K700" s="2"/>
      <c r="L700" s="2"/>
      <c r="M700" s="2"/>
      <c r="N700" s="2"/>
      <c r="O700" s="2"/>
      <c r="P700" s="53"/>
      <c r="Q700" s="53"/>
      <c r="R700" s="2"/>
      <c r="S700" s="2"/>
      <c r="T700" s="2"/>
    </row>
    <row r="701" spans="1:20">
      <c r="A701" s="3"/>
      <c r="B701" s="3"/>
      <c r="C701" s="2"/>
      <c r="D701" s="2"/>
      <c r="E701" s="51"/>
      <c r="F701" s="51"/>
      <c r="G701" s="51"/>
      <c r="H701" s="51"/>
      <c r="I701" s="2"/>
      <c r="J701" s="2"/>
      <c r="K701" s="2"/>
      <c r="L701" s="2"/>
      <c r="M701" s="2"/>
      <c r="N701" s="2"/>
      <c r="O701" s="2"/>
      <c r="P701" s="53"/>
      <c r="Q701" s="53"/>
      <c r="R701" s="2"/>
      <c r="S701" s="2"/>
      <c r="T701" s="2"/>
    </row>
    <row r="702" spans="1:20">
      <c r="A702" s="3"/>
      <c r="B702" s="3"/>
      <c r="C702" s="2"/>
      <c r="D702" s="2"/>
      <c r="E702" s="51"/>
      <c r="F702" s="51"/>
      <c r="G702" s="51"/>
      <c r="H702" s="51"/>
      <c r="I702" s="2"/>
      <c r="J702" s="2"/>
      <c r="K702" s="2"/>
      <c r="L702" s="2"/>
      <c r="M702" s="2"/>
      <c r="N702" s="2"/>
      <c r="O702" s="2"/>
      <c r="P702" s="53"/>
      <c r="Q702" s="53"/>
      <c r="R702" s="2"/>
      <c r="S702" s="2"/>
      <c r="T702" s="2"/>
    </row>
    <row r="703" spans="1:20">
      <c r="A703" s="3"/>
      <c r="B703" s="3"/>
      <c r="C703" s="2"/>
      <c r="D703" s="2"/>
      <c r="E703" s="51"/>
      <c r="F703" s="51"/>
      <c r="G703" s="51"/>
      <c r="H703" s="51"/>
      <c r="I703" s="2"/>
      <c r="J703" s="2"/>
      <c r="K703" s="2"/>
      <c r="L703" s="2"/>
      <c r="M703" s="2"/>
      <c r="N703" s="2"/>
      <c r="O703" s="2"/>
      <c r="P703" s="53"/>
      <c r="Q703" s="53"/>
      <c r="R703" s="2"/>
      <c r="S703" s="2"/>
      <c r="T703" s="2"/>
    </row>
    <row r="704" spans="1:20">
      <c r="A704" s="3"/>
      <c r="B704" s="3"/>
      <c r="C704" s="2"/>
      <c r="D704" s="2"/>
      <c r="E704" s="51"/>
      <c r="F704" s="51"/>
      <c r="G704" s="51"/>
      <c r="H704" s="51"/>
      <c r="I704" s="2"/>
      <c r="J704" s="2"/>
      <c r="K704" s="2"/>
      <c r="L704" s="2"/>
      <c r="M704" s="2"/>
      <c r="N704" s="2"/>
      <c r="O704" s="2"/>
      <c r="P704" s="53"/>
      <c r="Q704" s="53"/>
      <c r="R704" s="2"/>
      <c r="S704" s="2"/>
      <c r="T704" s="2"/>
    </row>
    <row r="705" spans="1:20">
      <c r="A705" s="3"/>
      <c r="B705" s="3"/>
      <c r="C705" s="2"/>
      <c r="D705" s="2"/>
      <c r="E705" s="51"/>
      <c r="F705" s="51"/>
      <c r="G705" s="51"/>
      <c r="H705" s="51"/>
      <c r="I705" s="2"/>
      <c r="J705" s="2"/>
      <c r="K705" s="2"/>
      <c r="L705" s="2"/>
      <c r="M705" s="2"/>
      <c r="N705" s="2"/>
      <c r="O705" s="2"/>
      <c r="P705" s="53"/>
      <c r="Q705" s="53"/>
      <c r="R705" s="2"/>
      <c r="S705" s="2"/>
      <c r="T705" s="2"/>
    </row>
    <row r="706" spans="1:20">
      <c r="A706" s="3"/>
      <c r="B706" s="3"/>
      <c r="C706" s="2"/>
      <c r="D706" s="2"/>
      <c r="E706" s="51"/>
      <c r="F706" s="51"/>
      <c r="G706" s="51"/>
      <c r="H706" s="51"/>
      <c r="I706" s="2"/>
      <c r="J706" s="2"/>
      <c r="K706" s="2"/>
      <c r="L706" s="2"/>
      <c r="M706" s="2"/>
      <c r="N706" s="2"/>
      <c r="O706" s="2"/>
      <c r="P706" s="53"/>
      <c r="Q706" s="53"/>
      <c r="R706" s="2"/>
      <c r="S706" s="2"/>
      <c r="T706" s="2"/>
    </row>
    <row r="707" spans="1:20">
      <c r="A707" s="3"/>
      <c r="B707" s="3"/>
      <c r="C707" s="2"/>
      <c r="D707" s="2"/>
      <c r="E707" s="51"/>
      <c r="F707" s="51"/>
      <c r="G707" s="51"/>
      <c r="H707" s="51"/>
      <c r="I707" s="2"/>
      <c r="J707" s="2"/>
      <c r="K707" s="2"/>
      <c r="L707" s="2"/>
      <c r="M707" s="2"/>
      <c r="N707" s="2"/>
      <c r="O707" s="2"/>
      <c r="P707" s="53"/>
      <c r="Q707" s="53"/>
      <c r="R707" s="2"/>
      <c r="S707" s="2"/>
      <c r="T707" s="2"/>
    </row>
    <row r="708" spans="1:20">
      <c r="A708" s="3"/>
      <c r="B708" s="3"/>
      <c r="C708" s="2"/>
      <c r="D708" s="2"/>
      <c r="E708" s="51"/>
      <c r="F708" s="51"/>
      <c r="G708" s="51"/>
      <c r="H708" s="51"/>
      <c r="I708" s="2"/>
      <c r="J708" s="2"/>
      <c r="K708" s="2"/>
      <c r="L708" s="2"/>
      <c r="M708" s="2"/>
      <c r="N708" s="2"/>
      <c r="O708" s="2"/>
      <c r="P708" s="53"/>
      <c r="Q708" s="53"/>
      <c r="R708" s="2"/>
      <c r="S708" s="2"/>
      <c r="T708" s="2"/>
    </row>
    <row r="709" spans="1:20">
      <c r="A709" s="3"/>
      <c r="B709" s="3"/>
      <c r="C709" s="2"/>
      <c r="D709" s="2"/>
      <c r="E709" s="51"/>
      <c r="F709" s="51"/>
      <c r="G709" s="51"/>
      <c r="H709" s="51"/>
      <c r="I709" s="2"/>
      <c r="J709" s="2"/>
      <c r="K709" s="2"/>
      <c r="L709" s="2"/>
      <c r="M709" s="2"/>
      <c r="N709" s="2"/>
      <c r="O709" s="2"/>
      <c r="P709" s="53"/>
      <c r="Q709" s="53"/>
      <c r="R709" s="2"/>
      <c r="S709" s="2"/>
      <c r="T709" s="2"/>
    </row>
    <row r="710" spans="1:20">
      <c r="A710" s="3"/>
      <c r="B710" s="3"/>
      <c r="C710" s="2"/>
      <c r="D710" s="2"/>
      <c r="E710" s="51"/>
      <c r="F710" s="51"/>
      <c r="G710" s="51"/>
      <c r="H710" s="51"/>
      <c r="I710" s="2"/>
      <c r="J710" s="2"/>
      <c r="K710" s="2"/>
      <c r="L710" s="2"/>
      <c r="M710" s="2"/>
      <c r="N710" s="2"/>
      <c r="O710" s="2"/>
      <c r="P710" s="53"/>
      <c r="Q710" s="53"/>
      <c r="R710" s="2"/>
      <c r="S710" s="2"/>
      <c r="T710" s="2"/>
    </row>
    <row r="711" spans="1:20">
      <c r="A711" s="3"/>
      <c r="B711" s="3"/>
      <c r="C711" s="2"/>
      <c r="D711" s="2"/>
      <c r="E711" s="51"/>
      <c r="F711" s="51"/>
      <c r="G711" s="51"/>
      <c r="H711" s="51"/>
      <c r="I711" s="2"/>
      <c r="J711" s="2"/>
      <c r="K711" s="2"/>
      <c r="L711" s="2"/>
      <c r="M711" s="2"/>
      <c r="N711" s="2"/>
      <c r="O711" s="2"/>
      <c r="P711" s="53"/>
      <c r="Q711" s="53"/>
      <c r="R711" s="2"/>
      <c r="S711" s="2"/>
      <c r="T711" s="2"/>
    </row>
    <row r="712" spans="1:20">
      <c r="A712" s="3"/>
      <c r="B712" s="3"/>
      <c r="C712" s="2"/>
      <c r="D712" s="2"/>
      <c r="E712" s="51"/>
      <c r="F712" s="51"/>
      <c r="G712" s="51"/>
      <c r="H712" s="51"/>
      <c r="I712" s="2"/>
      <c r="J712" s="2"/>
      <c r="K712" s="2"/>
      <c r="L712" s="2"/>
      <c r="M712" s="2"/>
      <c r="N712" s="2"/>
      <c r="O712" s="2"/>
      <c r="P712" s="53"/>
      <c r="Q712" s="53"/>
      <c r="R712" s="2"/>
      <c r="S712" s="2"/>
      <c r="T712" s="2"/>
    </row>
    <row r="713" spans="1:20">
      <c r="A713" s="3"/>
      <c r="B713" s="3"/>
      <c r="C713" s="2"/>
      <c r="D713" s="2"/>
      <c r="E713" s="51"/>
      <c r="F713" s="51"/>
      <c r="G713" s="51"/>
      <c r="H713" s="51"/>
      <c r="I713" s="2"/>
      <c r="J713" s="2"/>
      <c r="K713" s="2"/>
      <c r="L713" s="2"/>
      <c r="M713" s="2"/>
      <c r="N713" s="2"/>
      <c r="O713" s="2"/>
      <c r="P713" s="53"/>
      <c r="Q713" s="53"/>
      <c r="R713" s="2"/>
      <c r="S713" s="2"/>
      <c r="T713" s="2"/>
    </row>
    <row r="714" spans="1:20">
      <c r="A714" s="3"/>
      <c r="B714" s="3"/>
      <c r="C714" s="2"/>
      <c r="D714" s="2"/>
      <c r="E714" s="51"/>
      <c r="F714" s="51"/>
      <c r="G714" s="51"/>
      <c r="H714" s="51"/>
      <c r="I714" s="2"/>
      <c r="J714" s="2"/>
      <c r="K714" s="2"/>
      <c r="L714" s="2"/>
      <c r="M714" s="2"/>
      <c r="N714" s="2"/>
      <c r="O714" s="2"/>
      <c r="P714" s="53"/>
      <c r="Q714" s="53"/>
      <c r="R714" s="2"/>
      <c r="S714" s="2"/>
      <c r="T714" s="2"/>
    </row>
    <row r="715" spans="1:20">
      <c r="A715" s="3"/>
      <c r="B715" s="3"/>
      <c r="C715" s="2"/>
      <c r="D715" s="2"/>
      <c r="E715" s="51"/>
      <c r="F715" s="51"/>
      <c r="G715" s="51"/>
      <c r="H715" s="51"/>
      <c r="I715" s="2"/>
      <c r="J715" s="2"/>
      <c r="K715" s="2"/>
      <c r="L715" s="2"/>
      <c r="M715" s="2"/>
      <c r="N715" s="2"/>
      <c r="O715" s="2"/>
      <c r="P715" s="53"/>
      <c r="Q715" s="53"/>
      <c r="R715" s="2"/>
      <c r="S715" s="2"/>
      <c r="T715" s="2"/>
    </row>
    <row r="716" spans="1:20">
      <c r="A716" s="3"/>
      <c r="B716" s="3"/>
      <c r="C716" s="2"/>
      <c r="D716" s="2"/>
      <c r="E716" s="51"/>
      <c r="F716" s="51"/>
      <c r="G716" s="51"/>
      <c r="H716" s="51"/>
      <c r="I716" s="2"/>
      <c r="J716" s="2"/>
      <c r="K716" s="2"/>
      <c r="L716" s="2"/>
      <c r="M716" s="2"/>
      <c r="N716" s="2"/>
      <c r="O716" s="2"/>
      <c r="P716" s="53"/>
      <c r="Q716" s="53"/>
      <c r="R716" s="2"/>
      <c r="S716" s="2"/>
      <c r="T716" s="2"/>
    </row>
    <row r="717" spans="1:20">
      <c r="A717" s="3"/>
      <c r="B717" s="3"/>
      <c r="C717" s="2"/>
      <c r="D717" s="2"/>
      <c r="E717" s="51"/>
      <c r="F717" s="51"/>
      <c r="G717" s="51"/>
      <c r="H717" s="51"/>
      <c r="I717" s="2"/>
      <c r="J717" s="2"/>
      <c r="K717" s="2"/>
      <c r="L717" s="2"/>
      <c r="M717" s="2"/>
      <c r="N717" s="2"/>
      <c r="O717" s="2"/>
      <c r="P717" s="53"/>
      <c r="Q717" s="53"/>
      <c r="R717" s="2"/>
      <c r="S717" s="2"/>
      <c r="T717" s="2"/>
    </row>
    <row r="718" spans="1:20">
      <c r="A718" s="3"/>
      <c r="B718" s="3"/>
      <c r="C718" s="2"/>
      <c r="D718" s="2"/>
      <c r="E718" s="51"/>
      <c r="F718" s="51"/>
      <c r="G718" s="51"/>
      <c r="H718" s="51"/>
      <c r="I718" s="2"/>
      <c r="J718" s="2"/>
      <c r="K718" s="2"/>
      <c r="L718" s="2"/>
      <c r="M718" s="2"/>
      <c r="N718" s="2"/>
      <c r="O718" s="2"/>
      <c r="P718" s="53"/>
      <c r="Q718" s="53"/>
      <c r="R718" s="2"/>
      <c r="S718" s="2"/>
      <c r="T718" s="2"/>
    </row>
    <row r="719" spans="1:20">
      <c r="A719" s="3"/>
      <c r="B719" s="3"/>
      <c r="C719" s="2"/>
      <c r="D719" s="2"/>
      <c r="E719" s="51"/>
      <c r="F719" s="51"/>
      <c r="G719" s="51"/>
      <c r="H719" s="51"/>
      <c r="I719" s="2"/>
      <c r="J719" s="2"/>
      <c r="K719" s="2"/>
      <c r="L719" s="2"/>
      <c r="M719" s="2"/>
      <c r="N719" s="2"/>
      <c r="O719" s="2"/>
      <c r="P719" s="53"/>
      <c r="Q719" s="53"/>
      <c r="R719" s="2"/>
      <c r="S719" s="2"/>
      <c r="T719" s="2"/>
    </row>
    <row r="720" spans="1:20">
      <c r="A720" s="3"/>
      <c r="B720" s="3"/>
      <c r="C720" s="2"/>
      <c r="D720" s="2"/>
      <c r="E720" s="51"/>
      <c r="F720" s="51"/>
      <c r="G720" s="51"/>
      <c r="H720" s="51"/>
      <c r="I720" s="2"/>
      <c r="J720" s="2"/>
      <c r="K720" s="2"/>
      <c r="L720" s="2"/>
      <c r="M720" s="2"/>
      <c r="N720" s="2"/>
      <c r="O720" s="2"/>
      <c r="P720" s="53"/>
      <c r="Q720" s="53"/>
      <c r="R720" s="2"/>
      <c r="S720" s="2"/>
      <c r="T720" s="2"/>
    </row>
    <row r="721" spans="1:20">
      <c r="A721" s="3"/>
      <c r="B721" s="3"/>
      <c r="C721" s="2"/>
      <c r="D721" s="2"/>
      <c r="E721" s="51"/>
      <c r="F721" s="51"/>
      <c r="G721" s="51"/>
      <c r="H721" s="51"/>
      <c r="I721" s="2"/>
      <c r="J721" s="2"/>
      <c r="K721" s="2"/>
      <c r="L721" s="2"/>
      <c r="M721" s="2"/>
      <c r="N721" s="2"/>
      <c r="O721" s="2"/>
      <c r="P721" s="53"/>
      <c r="Q721" s="53"/>
      <c r="R721" s="2"/>
      <c r="S721" s="2"/>
      <c r="T721" s="2"/>
    </row>
    <row r="722" spans="1:20">
      <c r="A722" s="3"/>
      <c r="B722" s="3"/>
      <c r="C722" s="2"/>
      <c r="D722" s="2"/>
      <c r="E722" s="51"/>
      <c r="F722" s="51"/>
      <c r="G722" s="51"/>
      <c r="H722" s="51"/>
      <c r="I722" s="2"/>
      <c r="J722" s="2"/>
      <c r="K722" s="2"/>
      <c r="L722" s="2"/>
      <c r="M722" s="2"/>
      <c r="N722" s="2"/>
      <c r="O722" s="2"/>
      <c r="P722" s="53"/>
      <c r="Q722" s="53"/>
      <c r="R722" s="2"/>
      <c r="S722" s="2"/>
      <c r="T722" s="2"/>
    </row>
    <row r="723" spans="1:20">
      <c r="A723" s="3"/>
      <c r="B723" s="3"/>
      <c r="C723" s="2"/>
      <c r="D723" s="2"/>
      <c r="E723" s="51"/>
      <c r="F723" s="51"/>
      <c r="G723" s="51"/>
      <c r="H723" s="51"/>
      <c r="I723" s="2"/>
      <c r="J723" s="2"/>
      <c r="K723" s="2"/>
      <c r="L723" s="2"/>
      <c r="M723" s="2"/>
      <c r="N723" s="2"/>
      <c r="O723" s="2"/>
      <c r="P723" s="53"/>
      <c r="Q723" s="53"/>
      <c r="R723" s="2"/>
      <c r="S723" s="2"/>
      <c r="T723" s="2"/>
    </row>
    <row r="724" spans="1:20">
      <c r="A724" s="3"/>
      <c r="B724" s="3"/>
      <c r="C724" s="2"/>
      <c r="D724" s="2"/>
      <c r="E724" s="51"/>
      <c r="F724" s="51"/>
      <c r="G724" s="51"/>
      <c r="H724" s="51"/>
      <c r="I724" s="2"/>
      <c r="J724" s="2"/>
      <c r="K724" s="2"/>
      <c r="L724" s="2"/>
      <c r="M724" s="2"/>
      <c r="N724" s="2"/>
      <c r="O724" s="2"/>
      <c r="P724" s="53"/>
      <c r="Q724" s="53"/>
      <c r="R724" s="2"/>
      <c r="S724" s="2"/>
      <c r="T724" s="2"/>
    </row>
    <row r="725" spans="1:20">
      <c r="A725" s="3"/>
      <c r="B725" s="3"/>
      <c r="C725" s="2"/>
      <c r="D725" s="2"/>
      <c r="E725" s="51"/>
      <c r="F725" s="51"/>
      <c r="G725" s="51"/>
      <c r="H725" s="51"/>
      <c r="I725" s="2"/>
      <c r="J725" s="2"/>
      <c r="K725" s="2"/>
      <c r="L725" s="2"/>
      <c r="M725" s="2"/>
      <c r="N725" s="2"/>
      <c r="O725" s="2"/>
      <c r="P725" s="53"/>
      <c r="Q725" s="53"/>
      <c r="R725" s="2"/>
      <c r="S725" s="2"/>
      <c r="T725" s="2"/>
    </row>
    <row r="726" spans="1:20">
      <c r="A726" s="3"/>
      <c r="B726" s="3"/>
      <c r="C726" s="2"/>
      <c r="D726" s="2"/>
      <c r="E726" s="51"/>
      <c r="F726" s="51"/>
      <c r="G726" s="51"/>
      <c r="H726" s="51"/>
      <c r="I726" s="2"/>
      <c r="J726" s="2"/>
      <c r="K726" s="2"/>
      <c r="L726" s="2"/>
      <c r="M726" s="2"/>
      <c r="N726" s="2"/>
      <c r="O726" s="2"/>
      <c r="P726" s="53"/>
      <c r="Q726" s="53"/>
      <c r="R726" s="2"/>
      <c r="S726" s="2"/>
      <c r="T726" s="2"/>
    </row>
    <row r="727" spans="1:20">
      <c r="A727" s="3"/>
      <c r="B727" s="3"/>
      <c r="C727" s="2"/>
      <c r="D727" s="2"/>
      <c r="E727" s="51"/>
      <c r="F727" s="51"/>
      <c r="G727" s="51"/>
      <c r="H727" s="51"/>
      <c r="I727" s="2"/>
      <c r="J727" s="2"/>
      <c r="K727" s="2"/>
      <c r="L727" s="2"/>
      <c r="M727" s="2"/>
      <c r="N727" s="2"/>
      <c r="O727" s="2"/>
      <c r="P727" s="53"/>
      <c r="Q727" s="53"/>
      <c r="R727" s="2"/>
      <c r="S727" s="2"/>
      <c r="T727" s="2"/>
    </row>
    <row r="728" spans="1:20">
      <c r="A728" s="3"/>
      <c r="B728" s="3"/>
      <c r="C728" s="2"/>
      <c r="D728" s="2"/>
      <c r="E728" s="51"/>
      <c r="F728" s="51"/>
      <c r="G728" s="51"/>
      <c r="H728" s="51"/>
      <c r="I728" s="2"/>
      <c r="J728" s="2"/>
      <c r="K728" s="2"/>
      <c r="L728" s="2"/>
      <c r="M728" s="2"/>
      <c r="N728" s="2"/>
      <c r="O728" s="2"/>
      <c r="P728" s="53"/>
      <c r="Q728" s="53"/>
      <c r="R728" s="2"/>
      <c r="S728" s="2"/>
      <c r="T728" s="2"/>
    </row>
    <row r="729" spans="1:20">
      <c r="A729" s="3"/>
      <c r="B729" s="3"/>
      <c r="C729" s="2"/>
      <c r="D729" s="2"/>
      <c r="E729" s="51"/>
      <c r="F729" s="51"/>
      <c r="G729" s="51"/>
      <c r="H729" s="51"/>
      <c r="I729" s="2"/>
      <c r="J729" s="2"/>
      <c r="K729" s="2"/>
      <c r="L729" s="2"/>
      <c r="M729" s="2"/>
      <c r="N729" s="2"/>
      <c r="O729" s="2"/>
      <c r="P729" s="53"/>
      <c r="Q729" s="53"/>
      <c r="R729" s="2"/>
      <c r="S729" s="2"/>
      <c r="T729" s="2"/>
    </row>
    <row r="730" spans="1:20">
      <c r="A730" s="3"/>
      <c r="B730" s="3"/>
      <c r="C730" s="2"/>
      <c r="D730" s="2"/>
      <c r="E730" s="51"/>
      <c r="F730" s="51"/>
      <c r="G730" s="51"/>
      <c r="H730" s="51"/>
      <c r="I730" s="2"/>
      <c r="J730" s="2"/>
      <c r="K730" s="2"/>
      <c r="L730" s="2"/>
      <c r="M730" s="2"/>
      <c r="N730" s="2"/>
      <c r="O730" s="2"/>
      <c r="P730" s="53"/>
      <c r="Q730" s="53"/>
      <c r="R730" s="2"/>
      <c r="S730" s="2"/>
      <c r="T730" s="2"/>
    </row>
    <row r="731" spans="1:20">
      <c r="A731" s="3"/>
      <c r="B731" s="3"/>
      <c r="C731" s="2"/>
      <c r="D731" s="2"/>
      <c r="E731" s="51"/>
      <c r="F731" s="51"/>
      <c r="G731" s="51"/>
      <c r="H731" s="51"/>
      <c r="I731" s="2"/>
      <c r="J731" s="2"/>
      <c r="K731" s="2"/>
      <c r="L731" s="2"/>
      <c r="M731" s="2"/>
      <c r="N731" s="2"/>
      <c r="O731" s="2"/>
      <c r="P731" s="53"/>
      <c r="Q731" s="53"/>
      <c r="R731" s="2"/>
      <c r="S731" s="2"/>
      <c r="T731" s="2"/>
    </row>
    <row r="732" spans="1:20">
      <c r="A732" s="3"/>
      <c r="B732" s="3"/>
      <c r="C732" s="2"/>
      <c r="D732" s="2"/>
      <c r="E732" s="51"/>
      <c r="F732" s="51"/>
      <c r="G732" s="51"/>
      <c r="H732" s="51"/>
      <c r="I732" s="2"/>
      <c r="J732" s="2"/>
      <c r="K732" s="2"/>
      <c r="L732" s="2"/>
      <c r="M732" s="2"/>
      <c r="N732" s="2"/>
      <c r="O732" s="2"/>
      <c r="P732" s="53"/>
      <c r="Q732" s="53"/>
      <c r="R732" s="2"/>
      <c r="S732" s="2"/>
      <c r="T732" s="2"/>
    </row>
    <row r="733" spans="1:20">
      <c r="A733" s="3"/>
      <c r="B733" s="3"/>
      <c r="C733" s="2"/>
      <c r="D733" s="2"/>
      <c r="E733" s="51"/>
      <c r="F733" s="51"/>
      <c r="G733" s="51"/>
      <c r="H733" s="51"/>
      <c r="I733" s="2"/>
      <c r="J733" s="2"/>
      <c r="K733" s="2"/>
      <c r="L733" s="2"/>
      <c r="M733" s="2"/>
      <c r="N733" s="2"/>
      <c r="O733" s="2"/>
      <c r="P733" s="53"/>
      <c r="Q733" s="53"/>
      <c r="R733" s="2"/>
      <c r="S733" s="2"/>
      <c r="T733" s="2"/>
    </row>
    <row r="734" spans="1:20">
      <c r="A734" s="3"/>
      <c r="B734" s="3"/>
      <c r="C734" s="2"/>
      <c r="D734" s="2"/>
      <c r="E734" s="51"/>
      <c r="F734" s="51"/>
      <c r="G734" s="51"/>
      <c r="H734" s="51"/>
      <c r="I734" s="2"/>
      <c r="J734" s="2"/>
      <c r="K734" s="2"/>
      <c r="L734" s="2"/>
      <c r="M734" s="2"/>
      <c r="N734" s="2"/>
      <c r="O734" s="2"/>
      <c r="P734" s="53"/>
      <c r="Q734" s="53"/>
      <c r="R734" s="2"/>
      <c r="S734" s="2"/>
      <c r="T734" s="2"/>
    </row>
    <row r="735" spans="1:20">
      <c r="A735" s="3"/>
      <c r="B735" s="3"/>
      <c r="C735" s="2"/>
      <c r="D735" s="2"/>
      <c r="E735" s="51"/>
      <c r="F735" s="51"/>
      <c r="G735" s="51"/>
      <c r="H735" s="51"/>
      <c r="I735" s="2"/>
      <c r="J735" s="2"/>
      <c r="K735" s="2"/>
      <c r="L735" s="2"/>
      <c r="M735" s="2"/>
      <c r="N735" s="2"/>
      <c r="O735" s="2"/>
      <c r="P735" s="53"/>
      <c r="Q735" s="53"/>
      <c r="R735" s="2"/>
      <c r="S735" s="2"/>
      <c r="T735" s="2"/>
    </row>
    <row r="736" spans="1:20">
      <c r="A736" s="3"/>
      <c r="B736" s="3"/>
      <c r="C736" s="2"/>
      <c r="D736" s="2"/>
      <c r="E736" s="51"/>
      <c r="F736" s="51"/>
      <c r="G736" s="51"/>
      <c r="H736" s="51"/>
      <c r="I736" s="2"/>
      <c r="J736" s="2"/>
      <c r="K736" s="2"/>
      <c r="L736" s="2"/>
      <c r="M736" s="2"/>
      <c r="N736" s="2"/>
      <c r="O736" s="2"/>
      <c r="P736" s="53"/>
      <c r="Q736" s="53"/>
      <c r="R736" s="2"/>
      <c r="S736" s="2"/>
      <c r="T736" s="2"/>
    </row>
    <row r="737" spans="1:20">
      <c r="A737" s="3"/>
      <c r="B737" s="3"/>
      <c r="C737" s="2"/>
      <c r="D737" s="2"/>
      <c r="E737" s="51"/>
      <c r="F737" s="51"/>
      <c r="G737" s="51"/>
      <c r="H737" s="51"/>
      <c r="I737" s="2"/>
      <c r="J737" s="2"/>
      <c r="K737" s="2"/>
      <c r="L737" s="2"/>
      <c r="M737" s="2"/>
      <c r="N737" s="2"/>
      <c r="O737" s="2"/>
      <c r="P737" s="53"/>
      <c r="Q737" s="53"/>
      <c r="R737" s="2"/>
      <c r="S737" s="2"/>
      <c r="T737" s="2"/>
    </row>
    <row r="738" spans="1:20">
      <c r="A738" s="3"/>
      <c r="B738" s="3"/>
      <c r="C738" s="2"/>
      <c r="D738" s="2"/>
      <c r="E738" s="51"/>
      <c r="F738" s="51"/>
      <c r="G738" s="51"/>
      <c r="H738" s="51"/>
      <c r="I738" s="2"/>
      <c r="J738" s="2"/>
      <c r="K738" s="2"/>
      <c r="L738" s="2"/>
      <c r="M738" s="2"/>
      <c r="N738" s="2"/>
      <c r="O738" s="2"/>
      <c r="P738" s="53"/>
      <c r="Q738" s="53"/>
      <c r="R738" s="2"/>
      <c r="S738" s="2"/>
      <c r="T738" s="2"/>
    </row>
    <row r="739" spans="1:20">
      <c r="A739" s="3"/>
      <c r="B739" s="3"/>
      <c r="C739" s="2"/>
      <c r="D739" s="2"/>
      <c r="E739" s="51"/>
      <c r="F739" s="51"/>
      <c r="G739" s="51"/>
      <c r="H739" s="51"/>
      <c r="I739" s="2"/>
      <c r="J739" s="2"/>
      <c r="K739" s="2"/>
      <c r="L739" s="2"/>
      <c r="M739" s="2"/>
      <c r="N739" s="2"/>
      <c r="O739" s="2"/>
      <c r="P739" s="53"/>
      <c r="Q739" s="53"/>
      <c r="R739" s="2"/>
      <c r="S739" s="2"/>
      <c r="T739" s="2"/>
    </row>
    <row r="740" spans="1:20">
      <c r="A740" s="3"/>
      <c r="B740" s="3"/>
      <c r="C740" s="2"/>
      <c r="D740" s="2"/>
      <c r="E740" s="51"/>
      <c r="F740" s="51"/>
      <c r="G740" s="51"/>
      <c r="H740" s="51"/>
      <c r="I740" s="2"/>
      <c r="J740" s="2"/>
      <c r="K740" s="2"/>
      <c r="L740" s="2"/>
      <c r="M740" s="2"/>
      <c r="N740" s="2"/>
      <c r="O740" s="2"/>
      <c r="P740" s="53"/>
      <c r="Q740" s="53"/>
      <c r="R740" s="2"/>
      <c r="S740" s="2"/>
      <c r="T740" s="2"/>
    </row>
    <row r="741" spans="1:20">
      <c r="A741" s="3"/>
      <c r="B741" s="3"/>
      <c r="C741" s="2"/>
      <c r="D741" s="2"/>
      <c r="E741" s="51"/>
      <c r="F741" s="51"/>
      <c r="G741" s="51"/>
      <c r="H741" s="51"/>
      <c r="I741" s="2"/>
      <c r="J741" s="2"/>
      <c r="K741" s="2"/>
      <c r="L741" s="2"/>
      <c r="M741" s="2"/>
      <c r="N741" s="2"/>
      <c r="O741" s="2"/>
      <c r="P741" s="53"/>
      <c r="Q741" s="53"/>
      <c r="R741" s="2"/>
      <c r="S741" s="2"/>
      <c r="T741" s="2"/>
    </row>
    <row r="742" spans="1:20">
      <c r="A742" s="3"/>
      <c r="B742" s="3"/>
      <c r="C742" s="2"/>
      <c r="D742" s="2"/>
      <c r="E742" s="51"/>
      <c r="F742" s="51"/>
      <c r="G742" s="51"/>
      <c r="H742" s="51"/>
      <c r="I742" s="2"/>
      <c r="J742" s="2"/>
      <c r="K742" s="2"/>
      <c r="L742" s="2"/>
      <c r="M742" s="2"/>
      <c r="N742" s="2"/>
      <c r="O742" s="2"/>
      <c r="P742" s="53"/>
      <c r="Q742" s="53"/>
      <c r="R742" s="2"/>
      <c r="S742" s="2"/>
      <c r="T742" s="2"/>
    </row>
    <row r="743" spans="1:20">
      <c r="A743" s="3"/>
      <c r="B743" s="3"/>
      <c r="C743" s="2"/>
      <c r="D743" s="2"/>
      <c r="E743" s="51"/>
      <c r="F743" s="51"/>
      <c r="G743" s="51"/>
      <c r="H743" s="51"/>
      <c r="I743" s="2"/>
      <c r="J743" s="2"/>
      <c r="K743" s="2"/>
      <c r="L743" s="2"/>
      <c r="M743" s="2"/>
      <c r="N743" s="2"/>
      <c r="O743" s="2"/>
      <c r="P743" s="53"/>
      <c r="Q743" s="53"/>
      <c r="R743" s="2"/>
      <c r="S743" s="2"/>
      <c r="T743" s="2"/>
    </row>
    <row r="744" spans="1:20">
      <c r="A744" s="3"/>
      <c r="B744" s="3"/>
      <c r="C744" s="2"/>
      <c r="D744" s="2"/>
      <c r="E744" s="51"/>
      <c r="F744" s="51"/>
      <c r="G744" s="51"/>
      <c r="H744" s="51"/>
      <c r="I744" s="2"/>
      <c r="J744" s="2"/>
      <c r="K744" s="2"/>
      <c r="L744" s="2"/>
      <c r="M744" s="2"/>
      <c r="N744" s="2"/>
      <c r="O744" s="2"/>
      <c r="P744" s="53"/>
      <c r="Q744" s="53"/>
      <c r="R744" s="2"/>
      <c r="S744" s="2"/>
      <c r="T744" s="2"/>
    </row>
    <row r="745" spans="1:20">
      <c r="A745" s="3"/>
      <c r="B745" s="3"/>
      <c r="C745" s="2"/>
      <c r="D745" s="2"/>
      <c r="E745" s="51"/>
      <c r="F745" s="51"/>
      <c r="G745" s="51"/>
      <c r="H745" s="51"/>
      <c r="I745" s="2"/>
      <c r="J745" s="2"/>
      <c r="K745" s="2"/>
      <c r="L745" s="2"/>
      <c r="M745" s="2"/>
      <c r="N745" s="2"/>
      <c r="O745" s="2"/>
      <c r="P745" s="53"/>
      <c r="Q745" s="53"/>
      <c r="R745" s="2"/>
      <c r="S745" s="2"/>
      <c r="T745" s="2"/>
    </row>
    <row r="746" spans="1:20">
      <c r="A746" s="3"/>
      <c r="B746" s="3"/>
      <c r="C746" s="2"/>
      <c r="D746" s="2"/>
      <c r="E746" s="51"/>
      <c r="F746" s="51"/>
      <c r="G746" s="51"/>
      <c r="H746" s="51"/>
      <c r="I746" s="2"/>
      <c r="J746" s="2"/>
      <c r="K746" s="2"/>
      <c r="L746" s="2"/>
      <c r="M746" s="2"/>
      <c r="N746" s="2"/>
      <c r="O746" s="2"/>
      <c r="P746" s="53"/>
      <c r="Q746" s="53"/>
      <c r="R746" s="2"/>
      <c r="S746" s="2"/>
      <c r="T746" s="2"/>
    </row>
    <row r="747" spans="1:20">
      <c r="A747" s="3"/>
      <c r="B747" s="3"/>
      <c r="C747" s="2"/>
      <c r="D747" s="2"/>
      <c r="E747" s="51"/>
      <c r="F747" s="51"/>
      <c r="G747" s="51"/>
      <c r="H747" s="51"/>
      <c r="I747" s="2"/>
      <c r="J747" s="2"/>
      <c r="K747" s="2"/>
      <c r="L747" s="2"/>
      <c r="M747" s="2"/>
      <c r="N747" s="2"/>
      <c r="O747" s="2"/>
      <c r="P747" s="53"/>
      <c r="Q747" s="53"/>
      <c r="R747" s="2"/>
      <c r="S747" s="2"/>
      <c r="T747" s="2"/>
    </row>
    <row r="748" spans="1:20">
      <c r="A748" s="3"/>
      <c r="B748" s="3"/>
      <c r="C748" s="2"/>
      <c r="D748" s="2"/>
      <c r="E748" s="51"/>
      <c r="F748" s="51"/>
      <c r="G748" s="51"/>
      <c r="H748" s="51"/>
      <c r="I748" s="2"/>
      <c r="J748" s="2"/>
      <c r="K748" s="2"/>
      <c r="L748" s="2"/>
      <c r="M748" s="2"/>
      <c r="N748" s="2"/>
      <c r="O748" s="2"/>
      <c r="P748" s="53"/>
      <c r="Q748" s="53"/>
      <c r="R748" s="2"/>
      <c r="S748" s="2"/>
      <c r="T748" s="2"/>
    </row>
    <row r="749" spans="1:20">
      <c r="A749" s="3"/>
      <c r="B749" s="3"/>
      <c r="C749" s="2"/>
      <c r="D749" s="2"/>
      <c r="E749" s="51"/>
      <c r="F749" s="51"/>
      <c r="G749" s="51"/>
      <c r="H749" s="51"/>
      <c r="I749" s="2"/>
      <c r="J749" s="2"/>
      <c r="K749" s="2"/>
      <c r="L749" s="2"/>
      <c r="M749" s="2"/>
      <c r="N749" s="2"/>
      <c r="O749" s="2"/>
      <c r="P749" s="53"/>
      <c r="Q749" s="53"/>
      <c r="R749" s="2"/>
      <c r="S749" s="2"/>
      <c r="T749" s="2"/>
    </row>
    <row r="750" spans="1:20">
      <c r="A750" s="3"/>
      <c r="B750" s="3"/>
      <c r="C750" s="2"/>
      <c r="D750" s="2"/>
      <c r="E750" s="51"/>
      <c r="F750" s="51"/>
      <c r="G750" s="51"/>
      <c r="H750" s="51"/>
      <c r="I750" s="2"/>
      <c r="J750" s="2"/>
      <c r="K750" s="2"/>
      <c r="L750" s="2"/>
      <c r="M750" s="2"/>
      <c r="N750" s="2"/>
      <c r="O750" s="2"/>
      <c r="P750" s="53"/>
      <c r="Q750" s="53"/>
      <c r="R750" s="2"/>
      <c r="S750" s="2"/>
      <c r="T750" s="2"/>
    </row>
    <row r="751" spans="1:20">
      <c r="A751" s="3"/>
      <c r="B751" s="3"/>
      <c r="C751" s="2"/>
      <c r="D751" s="2"/>
      <c r="E751" s="51"/>
      <c r="F751" s="51"/>
      <c r="G751" s="51"/>
      <c r="H751" s="51"/>
      <c r="I751" s="2"/>
      <c r="J751" s="2"/>
      <c r="K751" s="2"/>
      <c r="L751" s="2"/>
      <c r="M751" s="2"/>
      <c r="N751" s="2"/>
      <c r="O751" s="2"/>
      <c r="P751" s="53"/>
      <c r="Q751" s="53"/>
      <c r="R751" s="2"/>
      <c r="S751" s="2"/>
      <c r="T751" s="2"/>
    </row>
    <row r="752" spans="1:20">
      <c r="A752" s="3"/>
      <c r="B752" s="3"/>
      <c r="C752" s="2"/>
      <c r="D752" s="2"/>
      <c r="E752" s="51"/>
      <c r="F752" s="51"/>
      <c r="G752" s="51"/>
      <c r="H752" s="51"/>
      <c r="I752" s="2"/>
      <c r="J752" s="2"/>
      <c r="K752" s="2"/>
      <c r="L752" s="2"/>
      <c r="M752" s="2"/>
      <c r="N752" s="2"/>
      <c r="O752" s="2"/>
      <c r="P752" s="53"/>
      <c r="Q752" s="53"/>
      <c r="R752" s="2"/>
      <c r="S752" s="2"/>
      <c r="T752" s="2"/>
    </row>
    <row r="753" spans="1:20">
      <c r="A753" s="3"/>
      <c r="B753" s="3"/>
      <c r="C753" s="2"/>
      <c r="D753" s="2"/>
      <c r="E753" s="51"/>
      <c r="F753" s="51"/>
      <c r="G753" s="51"/>
      <c r="H753" s="51"/>
      <c r="I753" s="2"/>
      <c r="J753" s="2"/>
      <c r="K753" s="2"/>
      <c r="L753" s="2"/>
      <c r="M753" s="2"/>
      <c r="N753" s="2"/>
      <c r="O753" s="2"/>
      <c r="P753" s="53"/>
      <c r="Q753" s="53"/>
      <c r="R753" s="2"/>
      <c r="S753" s="2"/>
      <c r="T753" s="2"/>
    </row>
    <row r="754" spans="1:20">
      <c r="A754" s="3"/>
      <c r="B754" s="3"/>
      <c r="C754" s="2"/>
      <c r="D754" s="2"/>
      <c r="E754" s="51"/>
      <c r="F754" s="51"/>
      <c r="G754" s="51"/>
      <c r="H754" s="51"/>
      <c r="I754" s="2"/>
      <c r="J754" s="2"/>
      <c r="K754" s="2"/>
      <c r="L754" s="2"/>
      <c r="M754" s="2"/>
      <c r="N754" s="2"/>
      <c r="O754" s="2"/>
      <c r="P754" s="53"/>
      <c r="Q754" s="53"/>
      <c r="R754" s="2"/>
      <c r="S754" s="2"/>
      <c r="T754" s="2"/>
    </row>
    <row r="755" spans="1:20">
      <c r="A755" s="3"/>
      <c r="B755" s="3"/>
      <c r="C755" s="2"/>
      <c r="D755" s="2"/>
      <c r="E755" s="51"/>
      <c r="F755" s="51"/>
      <c r="G755" s="51"/>
      <c r="H755" s="51"/>
      <c r="I755" s="2"/>
      <c r="J755" s="2"/>
      <c r="K755" s="2"/>
      <c r="L755" s="2"/>
      <c r="M755" s="2"/>
      <c r="N755" s="2"/>
      <c r="O755" s="2"/>
      <c r="P755" s="53"/>
      <c r="Q755" s="53"/>
      <c r="R755" s="2"/>
      <c r="S755" s="2"/>
      <c r="T755" s="2"/>
    </row>
    <row r="756" spans="1:20">
      <c r="A756" s="3"/>
      <c r="B756" s="3"/>
      <c r="C756" s="2"/>
      <c r="D756" s="2"/>
      <c r="E756" s="51"/>
      <c r="F756" s="51"/>
      <c r="G756" s="51"/>
      <c r="H756" s="51"/>
      <c r="I756" s="2"/>
      <c r="J756" s="2"/>
      <c r="K756" s="2"/>
      <c r="L756" s="2"/>
      <c r="M756" s="2"/>
      <c r="N756" s="2"/>
      <c r="O756" s="2"/>
      <c r="P756" s="53"/>
      <c r="Q756" s="53"/>
      <c r="R756" s="2"/>
      <c r="S756" s="2"/>
      <c r="T756" s="2"/>
    </row>
    <row r="757" spans="1:20">
      <c r="A757" s="3"/>
      <c r="B757" s="3"/>
      <c r="C757" s="2"/>
      <c r="D757" s="2"/>
      <c r="E757" s="51"/>
      <c r="F757" s="51"/>
      <c r="G757" s="51"/>
      <c r="H757" s="51"/>
      <c r="I757" s="2"/>
      <c r="J757" s="2"/>
      <c r="K757" s="2"/>
      <c r="L757" s="2"/>
      <c r="M757" s="2"/>
      <c r="N757" s="2"/>
      <c r="O757" s="2"/>
      <c r="P757" s="53"/>
      <c r="Q757" s="53"/>
      <c r="R757" s="2"/>
      <c r="S757" s="2"/>
      <c r="T757" s="2"/>
    </row>
    <row r="758" spans="1:20">
      <c r="A758" s="3"/>
      <c r="B758" s="3"/>
      <c r="C758" s="2"/>
      <c r="D758" s="2"/>
      <c r="E758" s="51"/>
      <c r="F758" s="51"/>
      <c r="G758" s="51"/>
      <c r="H758" s="51"/>
      <c r="I758" s="2"/>
      <c r="J758" s="2"/>
      <c r="K758" s="2"/>
      <c r="L758" s="2"/>
      <c r="M758" s="2"/>
      <c r="N758" s="2"/>
      <c r="O758" s="2"/>
      <c r="P758" s="53"/>
      <c r="Q758" s="53"/>
      <c r="R758" s="2"/>
      <c r="S758" s="2"/>
      <c r="T758" s="2"/>
    </row>
    <row r="759" spans="1:20">
      <c r="A759" s="3"/>
      <c r="B759" s="3"/>
      <c r="C759" s="2"/>
      <c r="D759" s="2"/>
      <c r="E759" s="51"/>
      <c r="F759" s="51"/>
      <c r="G759" s="51"/>
      <c r="H759" s="51"/>
      <c r="I759" s="2"/>
      <c r="J759" s="2"/>
      <c r="K759" s="2"/>
      <c r="L759" s="2"/>
      <c r="M759" s="2"/>
      <c r="N759" s="2"/>
      <c r="O759" s="2"/>
      <c r="P759" s="53"/>
      <c r="Q759" s="53"/>
      <c r="R759" s="2"/>
      <c r="S759" s="2"/>
      <c r="T759" s="2"/>
    </row>
    <row r="760" spans="1:20">
      <c r="A760" s="3"/>
      <c r="B760" s="3"/>
      <c r="C760" s="2"/>
      <c r="D760" s="2"/>
      <c r="E760" s="51"/>
      <c r="F760" s="51"/>
      <c r="G760" s="51"/>
      <c r="H760" s="51"/>
      <c r="I760" s="2"/>
      <c r="J760" s="2"/>
      <c r="K760" s="2"/>
      <c r="L760" s="2"/>
      <c r="M760" s="2"/>
      <c r="N760" s="2"/>
      <c r="O760" s="2"/>
      <c r="P760" s="53"/>
      <c r="Q760" s="53"/>
      <c r="R760" s="2"/>
      <c r="S760" s="2"/>
      <c r="T760" s="2"/>
    </row>
    <row r="761" spans="1:20">
      <c r="A761" s="3"/>
      <c r="B761" s="3"/>
      <c r="C761" s="2"/>
      <c r="D761" s="2"/>
      <c r="E761" s="51"/>
      <c r="F761" s="51"/>
      <c r="G761" s="51"/>
      <c r="H761" s="51"/>
      <c r="I761" s="2"/>
      <c r="J761" s="2"/>
      <c r="K761" s="2"/>
      <c r="L761" s="2"/>
      <c r="M761" s="2"/>
      <c r="N761" s="2"/>
      <c r="O761" s="2"/>
      <c r="P761" s="53"/>
      <c r="Q761" s="53"/>
      <c r="R761" s="2"/>
      <c r="S761" s="2"/>
      <c r="T761" s="2"/>
    </row>
    <row r="762" spans="1:20">
      <c r="A762" s="3"/>
      <c r="B762" s="3"/>
      <c r="C762" s="2"/>
      <c r="D762" s="2"/>
      <c r="E762" s="51"/>
      <c r="F762" s="51"/>
      <c r="G762" s="51"/>
      <c r="H762" s="51"/>
      <c r="I762" s="2"/>
      <c r="J762" s="2"/>
      <c r="K762" s="2"/>
      <c r="L762" s="2"/>
      <c r="M762" s="2"/>
      <c r="N762" s="2"/>
      <c r="O762" s="2"/>
      <c r="P762" s="53"/>
      <c r="Q762" s="53"/>
      <c r="R762" s="2"/>
      <c r="S762" s="2"/>
      <c r="T762" s="2"/>
    </row>
    <row r="763" spans="1:20">
      <c r="A763" s="3"/>
      <c r="B763" s="3"/>
      <c r="C763" s="2"/>
      <c r="D763" s="2"/>
      <c r="E763" s="51"/>
      <c r="F763" s="51"/>
      <c r="G763" s="51"/>
      <c r="H763" s="51"/>
      <c r="I763" s="2"/>
      <c r="J763" s="2"/>
      <c r="K763" s="2"/>
      <c r="L763" s="2"/>
      <c r="M763" s="2"/>
      <c r="N763" s="2"/>
      <c r="O763" s="2"/>
      <c r="P763" s="53"/>
      <c r="Q763" s="53"/>
      <c r="R763" s="2"/>
      <c r="S763" s="2"/>
      <c r="T763" s="2"/>
    </row>
    <row r="764" spans="1:20">
      <c r="A764" s="3"/>
      <c r="B764" s="3"/>
      <c r="C764" s="2"/>
      <c r="D764" s="2"/>
      <c r="E764" s="51"/>
      <c r="F764" s="51"/>
      <c r="G764" s="51"/>
      <c r="H764" s="51"/>
      <c r="I764" s="2"/>
      <c r="J764" s="2"/>
      <c r="K764" s="2"/>
      <c r="L764" s="2"/>
      <c r="M764" s="2"/>
      <c r="N764" s="2"/>
      <c r="O764" s="2"/>
      <c r="P764" s="53"/>
      <c r="Q764" s="53"/>
      <c r="R764" s="2"/>
      <c r="S764" s="2"/>
      <c r="T764" s="2"/>
    </row>
    <row r="765" spans="1:20">
      <c r="A765" s="3"/>
      <c r="B765" s="3"/>
      <c r="C765" s="2"/>
      <c r="D765" s="2"/>
      <c r="E765" s="51"/>
      <c r="F765" s="51"/>
      <c r="G765" s="51"/>
      <c r="H765" s="51"/>
      <c r="I765" s="2"/>
      <c r="J765" s="2"/>
      <c r="K765" s="2"/>
      <c r="L765" s="2"/>
      <c r="M765" s="2"/>
      <c r="N765" s="2"/>
      <c r="O765" s="2"/>
      <c r="P765" s="53"/>
      <c r="Q765" s="53"/>
      <c r="R765" s="2"/>
      <c r="S765" s="2"/>
      <c r="T765" s="2"/>
    </row>
    <row r="766" spans="1:20">
      <c r="A766" s="3"/>
      <c r="B766" s="3"/>
      <c r="C766" s="2"/>
      <c r="D766" s="2"/>
      <c r="E766" s="51"/>
      <c r="F766" s="51"/>
      <c r="G766" s="51"/>
      <c r="H766" s="51"/>
      <c r="I766" s="2"/>
      <c r="J766" s="2"/>
      <c r="K766" s="2"/>
      <c r="L766" s="2"/>
      <c r="M766" s="2"/>
      <c r="N766" s="2"/>
      <c r="O766" s="2"/>
      <c r="P766" s="53"/>
      <c r="Q766" s="53"/>
      <c r="R766" s="2"/>
      <c r="S766" s="2"/>
      <c r="T766" s="2"/>
    </row>
    <row r="767" spans="1:20">
      <c r="A767" s="3"/>
      <c r="B767" s="3"/>
      <c r="C767" s="2"/>
      <c r="D767" s="2"/>
      <c r="E767" s="51"/>
      <c r="F767" s="51"/>
      <c r="G767" s="51"/>
      <c r="H767" s="51"/>
      <c r="I767" s="2"/>
      <c r="J767" s="2"/>
      <c r="K767" s="2"/>
      <c r="L767" s="2"/>
      <c r="M767" s="2"/>
      <c r="N767" s="2"/>
      <c r="O767" s="2"/>
      <c r="P767" s="53"/>
      <c r="Q767" s="53"/>
      <c r="R767" s="2"/>
      <c r="S767" s="2"/>
      <c r="T767" s="2"/>
    </row>
    <row r="768" spans="1:20">
      <c r="A768" s="3"/>
      <c r="B768" s="3"/>
      <c r="C768" s="2"/>
      <c r="D768" s="2"/>
      <c r="E768" s="51"/>
      <c r="F768" s="51"/>
      <c r="G768" s="51"/>
      <c r="H768" s="51"/>
      <c r="I768" s="2"/>
      <c r="J768" s="2"/>
      <c r="K768" s="2"/>
      <c r="L768" s="2"/>
      <c r="M768" s="2"/>
      <c r="N768" s="2"/>
      <c r="O768" s="2"/>
      <c r="P768" s="53"/>
      <c r="Q768" s="53"/>
      <c r="R768" s="2"/>
      <c r="S768" s="2"/>
      <c r="T768" s="2"/>
    </row>
    <row r="769" spans="1:20">
      <c r="A769" s="3"/>
      <c r="B769" s="3"/>
      <c r="C769" s="2"/>
      <c r="D769" s="2"/>
      <c r="E769" s="51"/>
      <c r="F769" s="51"/>
      <c r="G769" s="51"/>
      <c r="H769" s="51"/>
      <c r="I769" s="2"/>
      <c r="J769" s="2"/>
      <c r="K769" s="2"/>
      <c r="L769" s="2"/>
      <c r="M769" s="2"/>
      <c r="N769" s="2"/>
      <c r="O769" s="2"/>
      <c r="P769" s="53"/>
      <c r="Q769" s="53"/>
      <c r="R769" s="2"/>
      <c r="S769" s="2"/>
      <c r="T769" s="2"/>
    </row>
    <row r="770" spans="1:20">
      <c r="A770" s="3"/>
      <c r="B770" s="3"/>
      <c r="C770" s="2"/>
      <c r="D770" s="2"/>
      <c r="E770" s="51"/>
      <c r="F770" s="51"/>
      <c r="G770" s="51"/>
      <c r="H770" s="51"/>
      <c r="I770" s="2"/>
      <c r="J770" s="2"/>
      <c r="K770" s="2"/>
      <c r="L770" s="2"/>
      <c r="M770" s="2"/>
      <c r="N770" s="2"/>
      <c r="O770" s="2"/>
      <c r="P770" s="53"/>
      <c r="Q770" s="53"/>
      <c r="R770" s="2"/>
      <c r="S770" s="2"/>
      <c r="T770" s="2"/>
    </row>
    <row r="771" spans="1:20">
      <c r="A771" s="3"/>
      <c r="B771" s="3"/>
      <c r="C771" s="2"/>
      <c r="D771" s="2"/>
      <c r="E771" s="51"/>
      <c r="F771" s="51"/>
      <c r="G771" s="51"/>
      <c r="H771" s="51"/>
      <c r="I771" s="2"/>
      <c r="J771" s="2"/>
      <c r="K771" s="2"/>
      <c r="L771" s="2"/>
      <c r="M771" s="2"/>
      <c r="N771" s="2"/>
      <c r="O771" s="2"/>
      <c r="P771" s="53"/>
      <c r="Q771" s="53"/>
      <c r="R771" s="2"/>
      <c r="S771" s="2"/>
      <c r="T771" s="2"/>
    </row>
    <row r="772" spans="1:20">
      <c r="A772" s="3"/>
      <c r="B772" s="3"/>
      <c r="C772" s="2"/>
      <c r="D772" s="2"/>
      <c r="E772" s="51"/>
      <c r="F772" s="51"/>
      <c r="G772" s="51"/>
      <c r="H772" s="51"/>
      <c r="I772" s="2"/>
      <c r="J772" s="2"/>
      <c r="K772" s="2"/>
      <c r="L772" s="2"/>
      <c r="M772" s="2"/>
      <c r="N772" s="2"/>
      <c r="O772" s="2"/>
      <c r="P772" s="53"/>
      <c r="Q772" s="53"/>
      <c r="R772" s="2"/>
      <c r="S772" s="2"/>
      <c r="T772" s="2"/>
    </row>
    <row r="773" spans="1:20">
      <c r="A773" s="3"/>
      <c r="B773" s="3"/>
      <c r="C773" s="2"/>
      <c r="D773" s="2"/>
      <c r="E773" s="51"/>
      <c r="F773" s="51"/>
      <c r="G773" s="51"/>
      <c r="H773" s="51"/>
      <c r="I773" s="2"/>
      <c r="J773" s="2"/>
      <c r="K773" s="2"/>
      <c r="L773" s="2"/>
      <c r="M773" s="2"/>
      <c r="N773" s="2"/>
      <c r="O773" s="2"/>
      <c r="P773" s="53"/>
      <c r="Q773" s="53"/>
      <c r="R773" s="2"/>
      <c r="S773" s="2"/>
      <c r="T773" s="2"/>
    </row>
    <row r="774" spans="1:20">
      <c r="A774" s="3"/>
      <c r="B774" s="3"/>
      <c r="C774" s="2"/>
      <c r="D774" s="2"/>
      <c r="E774" s="51"/>
      <c r="F774" s="51"/>
      <c r="G774" s="51"/>
      <c r="H774" s="51"/>
      <c r="I774" s="2"/>
      <c r="J774" s="2"/>
      <c r="K774" s="2"/>
      <c r="L774" s="2"/>
      <c r="M774" s="2"/>
      <c r="N774" s="2"/>
      <c r="O774" s="2"/>
      <c r="P774" s="53"/>
      <c r="Q774" s="53"/>
      <c r="R774" s="2"/>
      <c r="S774" s="2"/>
      <c r="T774" s="2"/>
    </row>
    <row r="775" spans="1:20">
      <c r="A775" s="3"/>
      <c r="B775" s="3"/>
      <c r="C775" s="2"/>
      <c r="D775" s="2"/>
      <c r="E775" s="51"/>
      <c r="F775" s="51"/>
      <c r="G775" s="51"/>
      <c r="H775" s="51"/>
      <c r="I775" s="2"/>
      <c r="J775" s="2"/>
      <c r="K775" s="2"/>
      <c r="L775" s="2"/>
      <c r="M775" s="2"/>
      <c r="N775" s="2"/>
      <c r="O775" s="2"/>
      <c r="P775" s="53"/>
      <c r="Q775" s="53"/>
      <c r="R775" s="2"/>
      <c r="S775" s="2"/>
      <c r="T775" s="2"/>
    </row>
    <row r="776" spans="1:20">
      <c r="A776" s="3"/>
      <c r="B776" s="3"/>
      <c r="C776" s="2"/>
      <c r="D776" s="2"/>
      <c r="E776" s="51"/>
      <c r="F776" s="51"/>
      <c r="G776" s="51"/>
      <c r="H776" s="51"/>
      <c r="I776" s="2"/>
      <c r="J776" s="2"/>
      <c r="K776" s="2"/>
      <c r="L776" s="2"/>
      <c r="M776" s="2"/>
      <c r="N776" s="2"/>
      <c r="O776" s="2"/>
      <c r="P776" s="53"/>
      <c r="Q776" s="53"/>
      <c r="R776" s="2"/>
      <c r="S776" s="2"/>
      <c r="T776" s="2"/>
    </row>
    <row r="777" spans="1:20">
      <c r="A777" s="3"/>
      <c r="B777" s="3"/>
      <c r="C777" s="2"/>
      <c r="D777" s="2"/>
      <c r="E777" s="51"/>
      <c r="F777" s="51"/>
      <c r="G777" s="51"/>
      <c r="H777" s="51"/>
      <c r="I777" s="2"/>
      <c r="J777" s="2"/>
      <c r="K777" s="2"/>
      <c r="L777" s="2"/>
      <c r="M777" s="2"/>
      <c r="N777" s="2"/>
      <c r="O777" s="2"/>
      <c r="P777" s="53"/>
      <c r="Q777" s="53"/>
      <c r="R777" s="2"/>
      <c r="S777" s="2"/>
      <c r="T777" s="2"/>
    </row>
    <row r="778" spans="1:20">
      <c r="A778" s="3"/>
      <c r="B778" s="3"/>
      <c r="C778" s="2"/>
      <c r="D778" s="2"/>
      <c r="E778" s="51"/>
      <c r="F778" s="51"/>
      <c r="G778" s="51"/>
      <c r="H778" s="51"/>
      <c r="I778" s="2"/>
      <c r="J778" s="2"/>
      <c r="K778" s="2"/>
      <c r="L778" s="2"/>
      <c r="M778" s="2"/>
      <c r="N778" s="2"/>
      <c r="O778" s="2"/>
      <c r="P778" s="53"/>
      <c r="Q778" s="53"/>
      <c r="R778" s="2"/>
      <c r="S778" s="2"/>
      <c r="T778" s="2"/>
    </row>
    <row r="779" spans="1:20">
      <c r="A779" s="3"/>
      <c r="B779" s="3"/>
      <c r="C779" s="2"/>
      <c r="D779" s="2"/>
      <c r="E779" s="51"/>
      <c r="F779" s="51"/>
      <c r="G779" s="51"/>
      <c r="H779" s="51"/>
      <c r="I779" s="2"/>
      <c r="J779" s="2"/>
      <c r="K779" s="2"/>
      <c r="L779" s="2"/>
      <c r="M779" s="2"/>
      <c r="N779" s="2"/>
      <c r="O779" s="2"/>
      <c r="P779" s="53"/>
      <c r="Q779" s="53"/>
      <c r="R779" s="2"/>
      <c r="S779" s="2"/>
      <c r="T779" s="2"/>
    </row>
    <row r="780" spans="1:20">
      <c r="A780" s="3"/>
      <c r="B780" s="3"/>
      <c r="C780" s="2"/>
      <c r="D780" s="2"/>
      <c r="E780" s="51"/>
      <c r="F780" s="51"/>
      <c r="G780" s="51"/>
      <c r="H780" s="51"/>
      <c r="I780" s="2"/>
      <c r="J780" s="2"/>
      <c r="K780" s="2"/>
      <c r="L780" s="2"/>
      <c r="M780" s="2"/>
      <c r="N780" s="2"/>
      <c r="O780" s="2"/>
      <c r="P780" s="53"/>
      <c r="Q780" s="53"/>
      <c r="R780" s="2"/>
      <c r="S780" s="2"/>
      <c r="T780" s="2"/>
    </row>
    <row r="781" spans="1:20">
      <c r="A781" s="3"/>
      <c r="B781" s="3"/>
      <c r="C781" s="2"/>
      <c r="D781" s="2"/>
      <c r="E781" s="51"/>
      <c r="F781" s="51"/>
      <c r="G781" s="51"/>
      <c r="H781" s="51"/>
      <c r="I781" s="2"/>
      <c r="J781" s="2"/>
      <c r="K781" s="2"/>
      <c r="L781" s="2"/>
      <c r="M781" s="2"/>
      <c r="N781" s="2"/>
      <c r="O781" s="2"/>
      <c r="P781" s="53"/>
      <c r="Q781" s="53"/>
      <c r="R781" s="2"/>
      <c r="S781" s="2"/>
      <c r="T781" s="2"/>
    </row>
    <row r="782" spans="1:20">
      <c r="A782" s="3"/>
      <c r="B782" s="3"/>
      <c r="C782" s="2"/>
      <c r="D782" s="2"/>
      <c r="E782" s="51"/>
      <c r="F782" s="51"/>
      <c r="G782" s="51"/>
      <c r="H782" s="51"/>
      <c r="I782" s="2"/>
      <c r="J782" s="2"/>
      <c r="K782" s="2"/>
      <c r="L782" s="2"/>
      <c r="M782" s="2"/>
      <c r="N782" s="2"/>
      <c r="O782" s="2"/>
      <c r="P782" s="53"/>
      <c r="Q782" s="53"/>
      <c r="R782" s="2"/>
      <c r="S782" s="2"/>
      <c r="T782" s="2"/>
    </row>
    <row r="783" spans="1:20">
      <c r="A783" s="3"/>
      <c r="B783" s="3"/>
      <c r="C783" s="2"/>
      <c r="D783" s="2"/>
      <c r="E783" s="51"/>
      <c r="F783" s="51"/>
      <c r="G783" s="51"/>
      <c r="H783" s="51"/>
      <c r="I783" s="2"/>
      <c r="J783" s="2"/>
      <c r="K783" s="2"/>
      <c r="L783" s="2"/>
      <c r="M783" s="2"/>
      <c r="N783" s="2"/>
      <c r="O783" s="2"/>
      <c r="P783" s="53"/>
      <c r="Q783" s="53"/>
      <c r="R783" s="2"/>
      <c r="S783" s="2"/>
      <c r="T783" s="2"/>
    </row>
    <row r="784" spans="1:20">
      <c r="A784" s="3"/>
      <c r="B784" s="3"/>
      <c r="C784" s="2"/>
      <c r="D784" s="2"/>
      <c r="E784" s="51"/>
      <c r="F784" s="51"/>
      <c r="G784" s="51"/>
      <c r="H784" s="51"/>
      <c r="I784" s="2"/>
      <c r="J784" s="2"/>
      <c r="K784" s="2"/>
      <c r="L784" s="2"/>
      <c r="M784" s="2"/>
      <c r="N784" s="2"/>
      <c r="O784" s="2"/>
      <c r="P784" s="53"/>
      <c r="Q784" s="53"/>
      <c r="R784" s="2"/>
      <c r="S784" s="2"/>
      <c r="T784" s="2"/>
    </row>
    <row r="785" spans="1:20">
      <c r="A785" s="3"/>
      <c r="B785" s="3"/>
      <c r="C785" s="2"/>
      <c r="D785" s="2"/>
      <c r="E785" s="51"/>
      <c r="F785" s="51"/>
      <c r="G785" s="51"/>
      <c r="H785" s="51"/>
      <c r="I785" s="2"/>
      <c r="J785" s="2"/>
      <c r="K785" s="2"/>
      <c r="L785" s="2"/>
      <c r="M785" s="2"/>
      <c r="N785" s="2"/>
      <c r="O785" s="2"/>
      <c r="P785" s="53"/>
      <c r="Q785" s="53"/>
      <c r="R785" s="2"/>
      <c r="S785" s="2"/>
      <c r="T785" s="2"/>
    </row>
    <row r="786" spans="1:20">
      <c r="A786" s="3"/>
      <c r="B786" s="3"/>
      <c r="C786" s="2"/>
      <c r="D786" s="2"/>
      <c r="E786" s="51"/>
      <c r="F786" s="51"/>
      <c r="G786" s="51"/>
      <c r="H786" s="51"/>
      <c r="I786" s="2"/>
      <c r="J786" s="2"/>
      <c r="K786" s="2"/>
      <c r="L786" s="2"/>
      <c r="M786" s="2"/>
      <c r="N786" s="2"/>
      <c r="O786" s="2"/>
      <c r="P786" s="53"/>
      <c r="Q786" s="53"/>
      <c r="R786" s="2"/>
      <c r="S786" s="2"/>
      <c r="T786" s="2"/>
    </row>
    <row r="787" spans="1:20">
      <c r="A787" s="3"/>
      <c r="B787" s="3"/>
      <c r="C787" s="2"/>
      <c r="D787" s="2"/>
      <c r="E787" s="51"/>
      <c r="F787" s="51"/>
      <c r="G787" s="51"/>
      <c r="H787" s="51"/>
      <c r="I787" s="2"/>
      <c r="J787" s="2"/>
      <c r="K787" s="2"/>
      <c r="L787" s="2"/>
      <c r="M787" s="2"/>
      <c r="N787" s="2"/>
      <c r="O787" s="2"/>
      <c r="P787" s="53"/>
      <c r="Q787" s="53"/>
      <c r="R787" s="2"/>
      <c r="S787" s="2"/>
      <c r="T787" s="2"/>
    </row>
    <row r="788" spans="1:20">
      <c r="A788" s="3"/>
      <c r="B788" s="3"/>
      <c r="C788" s="2"/>
      <c r="D788" s="2"/>
      <c r="E788" s="51"/>
      <c r="F788" s="51"/>
      <c r="G788" s="51"/>
      <c r="H788" s="51"/>
      <c r="I788" s="2"/>
      <c r="J788" s="2"/>
      <c r="K788" s="2"/>
      <c r="L788" s="2"/>
      <c r="M788" s="2"/>
      <c r="N788" s="2"/>
      <c r="O788" s="2"/>
      <c r="P788" s="53"/>
      <c r="Q788" s="53"/>
      <c r="R788" s="2"/>
      <c r="S788" s="2"/>
      <c r="T788" s="2"/>
    </row>
    <row r="789" spans="1:20">
      <c r="A789" s="3"/>
      <c r="B789" s="3"/>
      <c r="C789" s="2"/>
      <c r="D789" s="2"/>
      <c r="E789" s="51"/>
      <c r="F789" s="51"/>
      <c r="G789" s="51"/>
      <c r="H789" s="51"/>
      <c r="I789" s="2"/>
      <c r="J789" s="2"/>
      <c r="K789" s="2"/>
      <c r="L789" s="2"/>
      <c r="M789" s="2"/>
      <c r="N789" s="2"/>
      <c r="O789" s="2"/>
      <c r="P789" s="53"/>
      <c r="Q789" s="53"/>
      <c r="R789" s="2"/>
      <c r="S789" s="2"/>
      <c r="T789" s="2"/>
    </row>
    <row r="790" spans="1:20">
      <c r="A790" s="3"/>
      <c r="B790" s="3"/>
      <c r="C790" s="2"/>
      <c r="D790" s="2"/>
      <c r="E790" s="51"/>
      <c r="F790" s="51"/>
      <c r="G790" s="51"/>
      <c r="H790" s="51"/>
      <c r="I790" s="2"/>
      <c r="J790" s="2"/>
      <c r="K790" s="2"/>
      <c r="L790" s="2"/>
      <c r="M790" s="2"/>
      <c r="N790" s="2"/>
      <c r="O790" s="2"/>
      <c r="P790" s="53"/>
      <c r="Q790" s="53"/>
      <c r="R790" s="2"/>
      <c r="S790" s="2"/>
      <c r="T790" s="2"/>
    </row>
    <row r="791" spans="1:20">
      <c r="A791" s="3"/>
      <c r="B791" s="3"/>
      <c r="C791" s="2"/>
      <c r="D791" s="2"/>
      <c r="E791" s="51"/>
      <c r="F791" s="51"/>
      <c r="G791" s="51"/>
      <c r="H791" s="51"/>
      <c r="I791" s="2"/>
      <c r="J791" s="2"/>
      <c r="K791" s="2"/>
      <c r="L791" s="2"/>
      <c r="M791" s="2"/>
      <c r="N791" s="2"/>
      <c r="O791" s="2"/>
      <c r="P791" s="53"/>
      <c r="Q791" s="53"/>
      <c r="R791" s="2"/>
      <c r="S791" s="2"/>
      <c r="T791" s="2"/>
    </row>
    <row r="792" spans="1:20">
      <c r="A792" s="3"/>
      <c r="B792" s="3"/>
      <c r="C792" s="2"/>
      <c r="D792" s="2"/>
      <c r="E792" s="51"/>
      <c r="F792" s="51"/>
      <c r="G792" s="51"/>
      <c r="H792" s="51"/>
      <c r="I792" s="2"/>
      <c r="J792" s="2"/>
      <c r="K792" s="2"/>
      <c r="L792" s="2"/>
      <c r="M792" s="2"/>
      <c r="N792" s="2"/>
      <c r="O792" s="2"/>
      <c r="P792" s="53"/>
      <c r="Q792" s="53"/>
      <c r="R792" s="2"/>
      <c r="S792" s="2"/>
      <c r="T792" s="2"/>
    </row>
    <row r="793" spans="1:20">
      <c r="A793" s="3"/>
      <c r="B793" s="3"/>
      <c r="C793" s="2"/>
      <c r="D793" s="2"/>
      <c r="E793" s="51"/>
      <c r="F793" s="51"/>
      <c r="G793" s="51"/>
      <c r="H793" s="51"/>
      <c r="I793" s="2"/>
      <c r="J793" s="2"/>
      <c r="K793" s="2"/>
      <c r="L793" s="2"/>
      <c r="M793" s="2"/>
      <c r="N793" s="2"/>
      <c r="O793" s="2"/>
      <c r="P793" s="53"/>
      <c r="Q793" s="53"/>
      <c r="R793" s="2"/>
      <c r="S793" s="2"/>
      <c r="T793" s="2"/>
    </row>
    <row r="794" spans="1:20">
      <c r="A794" s="3"/>
      <c r="B794" s="3"/>
      <c r="C794" s="2"/>
      <c r="D794" s="2"/>
      <c r="E794" s="51"/>
      <c r="F794" s="51"/>
      <c r="G794" s="51"/>
      <c r="H794" s="51"/>
      <c r="I794" s="2"/>
      <c r="J794" s="2"/>
      <c r="K794" s="2"/>
      <c r="L794" s="2"/>
      <c r="M794" s="2"/>
      <c r="N794" s="2"/>
      <c r="O794" s="2"/>
      <c r="P794" s="53"/>
      <c r="Q794" s="53"/>
      <c r="R794" s="2"/>
      <c r="S794" s="2"/>
      <c r="T794" s="2"/>
    </row>
    <row r="795" spans="1:20">
      <c r="A795" s="3"/>
      <c r="B795" s="3"/>
      <c r="C795" s="2"/>
      <c r="D795" s="2"/>
      <c r="E795" s="51"/>
      <c r="F795" s="51"/>
      <c r="G795" s="51"/>
      <c r="H795" s="51"/>
      <c r="I795" s="2"/>
      <c r="J795" s="2"/>
      <c r="K795" s="2"/>
      <c r="L795" s="2"/>
      <c r="M795" s="2"/>
      <c r="N795" s="2"/>
      <c r="O795" s="2"/>
      <c r="P795" s="53"/>
      <c r="Q795" s="53"/>
      <c r="R795" s="2"/>
      <c r="S795" s="2"/>
      <c r="T795" s="2"/>
    </row>
    <row r="796" spans="1:20">
      <c r="A796" s="3"/>
      <c r="B796" s="3"/>
      <c r="C796" s="2"/>
      <c r="D796" s="2"/>
      <c r="E796" s="51"/>
      <c r="F796" s="51"/>
      <c r="G796" s="51"/>
      <c r="H796" s="51"/>
      <c r="I796" s="2"/>
      <c r="J796" s="2"/>
      <c r="K796" s="2"/>
      <c r="L796" s="2"/>
      <c r="M796" s="2"/>
      <c r="N796" s="2"/>
      <c r="O796" s="2"/>
      <c r="P796" s="53"/>
      <c r="Q796" s="53"/>
      <c r="R796" s="2"/>
      <c r="S796" s="2"/>
      <c r="T796" s="2"/>
    </row>
    <row r="797" spans="1:20">
      <c r="A797" s="3"/>
      <c r="B797" s="3"/>
      <c r="C797" s="2"/>
      <c r="D797" s="2"/>
      <c r="E797" s="51"/>
      <c r="F797" s="51"/>
      <c r="G797" s="51"/>
      <c r="H797" s="51"/>
      <c r="I797" s="2"/>
      <c r="J797" s="2"/>
      <c r="K797" s="2"/>
      <c r="L797" s="2"/>
      <c r="M797" s="2"/>
      <c r="N797" s="2"/>
      <c r="O797" s="2"/>
      <c r="P797" s="53"/>
      <c r="Q797" s="53"/>
      <c r="R797" s="2"/>
      <c r="S797" s="2"/>
      <c r="T797" s="2"/>
    </row>
    <row r="798" spans="1:20">
      <c r="A798" s="3"/>
      <c r="B798" s="3"/>
      <c r="C798" s="2"/>
      <c r="D798" s="2"/>
      <c r="E798" s="51"/>
      <c r="F798" s="51"/>
      <c r="G798" s="51"/>
      <c r="H798" s="51"/>
      <c r="I798" s="2"/>
      <c r="J798" s="2"/>
      <c r="K798" s="2"/>
      <c r="L798" s="2"/>
      <c r="M798" s="2"/>
      <c r="N798" s="2"/>
      <c r="O798" s="2"/>
      <c r="P798" s="53"/>
      <c r="Q798" s="53"/>
      <c r="R798" s="2"/>
      <c r="S798" s="2"/>
      <c r="T798" s="2"/>
    </row>
    <row r="799" spans="1:20">
      <c r="A799" s="3"/>
      <c r="B799" s="3"/>
      <c r="C799" s="2"/>
      <c r="D799" s="2"/>
      <c r="E799" s="51"/>
      <c r="F799" s="51"/>
      <c r="G799" s="51"/>
      <c r="H799" s="51"/>
      <c r="I799" s="2"/>
      <c r="J799" s="2"/>
      <c r="K799" s="2"/>
      <c r="L799" s="2"/>
      <c r="M799" s="2"/>
      <c r="N799" s="2"/>
      <c r="O799" s="2"/>
      <c r="P799" s="53"/>
      <c r="Q799" s="53"/>
      <c r="R799" s="2"/>
      <c r="S799" s="2"/>
      <c r="T799" s="2"/>
    </row>
    <row r="800" spans="1:20">
      <c r="A800" s="3"/>
      <c r="B800" s="3"/>
      <c r="C800" s="2"/>
      <c r="D800" s="2"/>
      <c r="E800" s="51"/>
      <c r="F800" s="51"/>
      <c r="G800" s="51"/>
      <c r="H800" s="51"/>
      <c r="I800" s="2"/>
      <c r="J800" s="2"/>
      <c r="K800" s="2"/>
      <c r="L800" s="2"/>
      <c r="M800" s="2"/>
      <c r="N800" s="2"/>
      <c r="O800" s="2"/>
      <c r="P800" s="53"/>
      <c r="Q800" s="53"/>
      <c r="R800" s="2"/>
      <c r="S800" s="2"/>
      <c r="T800" s="2"/>
    </row>
    <row r="801" spans="1:20">
      <c r="A801" s="3"/>
      <c r="B801" s="3"/>
      <c r="C801" s="2"/>
      <c r="D801" s="2"/>
      <c r="E801" s="51"/>
      <c r="F801" s="51"/>
      <c r="G801" s="51"/>
      <c r="H801" s="51"/>
      <c r="I801" s="2"/>
      <c r="J801" s="2"/>
      <c r="K801" s="2"/>
      <c r="L801" s="2"/>
      <c r="M801" s="2"/>
      <c r="N801" s="2"/>
      <c r="O801" s="2"/>
      <c r="P801" s="53"/>
      <c r="Q801" s="53"/>
      <c r="R801" s="2"/>
      <c r="S801" s="2"/>
      <c r="T801" s="2"/>
    </row>
    <row r="802" spans="1:20">
      <c r="A802" s="3"/>
      <c r="B802" s="3"/>
      <c r="C802" s="2"/>
      <c r="D802" s="2"/>
      <c r="E802" s="51"/>
      <c r="F802" s="51"/>
      <c r="G802" s="51"/>
      <c r="H802" s="51"/>
      <c r="I802" s="2"/>
      <c r="J802" s="2"/>
      <c r="K802" s="2"/>
      <c r="L802" s="2"/>
      <c r="M802" s="2"/>
      <c r="N802" s="2"/>
      <c r="O802" s="2"/>
      <c r="P802" s="53"/>
      <c r="Q802" s="53"/>
      <c r="R802" s="2"/>
      <c r="S802" s="2"/>
      <c r="T802" s="2"/>
    </row>
    <row r="803" spans="1:20">
      <c r="A803" s="3"/>
      <c r="B803" s="3"/>
      <c r="C803" s="2"/>
      <c r="D803" s="2"/>
      <c r="E803" s="51"/>
      <c r="F803" s="51"/>
      <c r="G803" s="51"/>
      <c r="H803" s="51"/>
      <c r="I803" s="2"/>
      <c r="J803" s="2"/>
      <c r="K803" s="2"/>
      <c r="L803" s="2"/>
      <c r="M803" s="2"/>
      <c r="N803" s="2"/>
      <c r="O803" s="2"/>
      <c r="P803" s="53"/>
      <c r="Q803" s="53"/>
      <c r="R803" s="2"/>
      <c r="S803" s="2"/>
      <c r="T803" s="2"/>
    </row>
    <row r="804" spans="1:20">
      <c r="A804" s="3"/>
      <c r="B804" s="3"/>
      <c r="C804" s="2"/>
      <c r="D804" s="2"/>
      <c r="E804" s="51"/>
      <c r="F804" s="51"/>
      <c r="G804" s="51"/>
      <c r="H804" s="51"/>
      <c r="I804" s="2"/>
      <c r="J804" s="2"/>
      <c r="K804" s="2"/>
      <c r="L804" s="2"/>
      <c r="M804" s="2"/>
      <c r="N804" s="2"/>
      <c r="O804" s="2"/>
      <c r="P804" s="53"/>
      <c r="Q804" s="53"/>
      <c r="R804" s="2"/>
      <c r="S804" s="2"/>
      <c r="T804" s="2"/>
    </row>
    <row r="805" spans="1:20">
      <c r="A805" s="3"/>
      <c r="B805" s="3"/>
      <c r="C805" s="2"/>
      <c r="D805" s="2"/>
      <c r="E805" s="51"/>
      <c r="F805" s="51"/>
      <c r="G805" s="51"/>
      <c r="H805" s="51"/>
      <c r="I805" s="2"/>
      <c r="J805" s="2"/>
      <c r="K805" s="2"/>
      <c r="L805" s="2"/>
      <c r="M805" s="2"/>
      <c r="N805" s="2"/>
      <c r="O805" s="2"/>
      <c r="P805" s="53"/>
      <c r="Q805" s="53"/>
      <c r="R805" s="2"/>
      <c r="S805" s="2"/>
      <c r="T805" s="2"/>
    </row>
    <row r="806" spans="1:20">
      <c r="A806" s="3"/>
      <c r="B806" s="3"/>
      <c r="C806" s="2"/>
      <c r="D806" s="2"/>
      <c r="E806" s="51"/>
      <c r="F806" s="51"/>
      <c r="G806" s="51"/>
      <c r="H806" s="51"/>
      <c r="I806" s="2"/>
      <c r="J806" s="2"/>
      <c r="K806" s="2"/>
      <c r="L806" s="2"/>
      <c r="M806" s="2"/>
      <c r="N806" s="2"/>
      <c r="O806" s="2"/>
      <c r="P806" s="53"/>
      <c r="Q806" s="53"/>
      <c r="R806" s="2"/>
      <c r="S806" s="2"/>
      <c r="T806" s="2"/>
    </row>
    <row r="807" spans="1:20">
      <c r="A807" s="3"/>
      <c r="B807" s="3"/>
      <c r="C807" s="2"/>
      <c r="D807" s="2"/>
      <c r="E807" s="51"/>
      <c r="F807" s="51"/>
      <c r="G807" s="51"/>
      <c r="H807" s="51"/>
      <c r="I807" s="2"/>
      <c r="J807" s="2"/>
      <c r="K807" s="2"/>
      <c r="L807" s="2"/>
      <c r="M807" s="2"/>
      <c r="N807" s="2"/>
      <c r="O807" s="2"/>
      <c r="P807" s="53"/>
      <c r="Q807" s="53"/>
      <c r="R807" s="2"/>
      <c r="S807" s="2"/>
      <c r="T807" s="2"/>
    </row>
    <row r="808" spans="1:20">
      <c r="A808" s="3"/>
      <c r="B808" s="3"/>
      <c r="C808" s="2"/>
      <c r="D808" s="2"/>
      <c r="E808" s="51"/>
      <c r="F808" s="51"/>
      <c r="G808" s="51"/>
      <c r="H808" s="51"/>
      <c r="I808" s="2"/>
      <c r="J808" s="2"/>
      <c r="K808" s="2"/>
      <c r="L808" s="2"/>
      <c r="M808" s="2"/>
      <c r="N808" s="2"/>
      <c r="O808" s="2"/>
      <c r="P808" s="53"/>
      <c r="Q808" s="53"/>
      <c r="R808" s="2"/>
      <c r="S808" s="2"/>
      <c r="T808" s="2"/>
    </row>
    <row r="809" spans="1:20">
      <c r="A809" s="3"/>
      <c r="B809" s="3"/>
      <c r="C809" s="2"/>
      <c r="D809" s="2"/>
      <c r="E809" s="51"/>
      <c r="F809" s="51"/>
      <c r="G809" s="51"/>
      <c r="H809" s="51"/>
      <c r="I809" s="2"/>
      <c r="J809" s="2"/>
      <c r="K809" s="2"/>
      <c r="L809" s="2"/>
      <c r="M809" s="2"/>
      <c r="N809" s="2"/>
      <c r="O809" s="2"/>
      <c r="P809" s="53"/>
      <c r="Q809" s="53"/>
      <c r="R809" s="2"/>
      <c r="S809" s="2"/>
      <c r="T809" s="2"/>
    </row>
    <row r="810" spans="1:20">
      <c r="A810" s="3"/>
      <c r="B810" s="3"/>
      <c r="C810" s="2"/>
      <c r="D810" s="2"/>
      <c r="E810" s="51"/>
      <c r="F810" s="51"/>
      <c r="G810" s="51"/>
      <c r="H810" s="51"/>
      <c r="I810" s="2"/>
      <c r="J810" s="2"/>
      <c r="K810" s="2"/>
      <c r="L810" s="2"/>
      <c r="M810" s="2"/>
      <c r="N810" s="2"/>
      <c r="O810" s="2"/>
      <c r="P810" s="53"/>
      <c r="Q810" s="53"/>
      <c r="R810" s="2"/>
      <c r="S810" s="2"/>
      <c r="T810" s="2"/>
    </row>
    <row r="811" spans="1:20">
      <c r="A811" s="3"/>
      <c r="B811" s="3"/>
      <c r="C811" s="2"/>
      <c r="D811" s="2"/>
      <c r="E811" s="51"/>
      <c r="F811" s="51"/>
      <c r="G811" s="51"/>
      <c r="H811" s="51"/>
      <c r="I811" s="2"/>
      <c r="J811" s="2"/>
      <c r="K811" s="2"/>
      <c r="L811" s="2"/>
      <c r="M811" s="2"/>
      <c r="N811" s="2"/>
      <c r="O811" s="2"/>
      <c r="P811" s="53"/>
      <c r="Q811" s="53"/>
      <c r="R811" s="2"/>
      <c r="S811" s="2"/>
      <c r="T811" s="2"/>
    </row>
    <row r="812" spans="1:20">
      <c r="A812" s="3"/>
      <c r="B812" s="3"/>
      <c r="C812" s="2"/>
      <c r="D812" s="2"/>
      <c r="E812" s="51"/>
      <c r="F812" s="51"/>
      <c r="G812" s="51"/>
      <c r="H812" s="51"/>
      <c r="I812" s="2"/>
      <c r="J812" s="2"/>
      <c r="K812" s="2"/>
      <c r="L812" s="2"/>
      <c r="M812" s="2"/>
      <c r="N812" s="2"/>
      <c r="O812" s="2"/>
      <c r="P812" s="53"/>
      <c r="Q812" s="53"/>
      <c r="R812" s="2"/>
      <c r="S812" s="2"/>
      <c r="T812" s="2"/>
    </row>
    <row r="813" spans="1:20">
      <c r="A813" s="3"/>
      <c r="B813" s="3"/>
      <c r="C813" s="2"/>
      <c r="D813" s="2"/>
      <c r="E813" s="51"/>
      <c r="F813" s="51"/>
      <c r="G813" s="51"/>
      <c r="H813" s="51"/>
      <c r="I813" s="2"/>
      <c r="J813" s="2"/>
      <c r="K813" s="2"/>
      <c r="L813" s="2"/>
      <c r="M813" s="2"/>
      <c r="N813" s="2"/>
      <c r="O813" s="2"/>
      <c r="P813" s="53"/>
      <c r="Q813" s="53"/>
      <c r="R813" s="2"/>
      <c r="S813" s="2"/>
      <c r="T813" s="2"/>
    </row>
    <row r="814" spans="1:20">
      <c r="A814" s="3"/>
      <c r="B814" s="3"/>
      <c r="C814" s="2"/>
      <c r="D814" s="2"/>
      <c r="E814" s="51"/>
      <c r="F814" s="51"/>
      <c r="G814" s="51"/>
      <c r="H814" s="51"/>
      <c r="I814" s="2"/>
      <c r="J814" s="2"/>
      <c r="K814" s="2"/>
      <c r="L814" s="2"/>
      <c r="M814" s="2"/>
      <c r="N814" s="2"/>
      <c r="O814" s="2"/>
      <c r="P814" s="53"/>
      <c r="Q814" s="53"/>
      <c r="R814" s="2"/>
      <c r="S814" s="2"/>
      <c r="T814" s="2"/>
    </row>
    <row r="815" spans="1:20">
      <c r="A815" s="3"/>
      <c r="B815" s="3"/>
      <c r="C815" s="2"/>
      <c r="D815" s="2"/>
      <c r="E815" s="51"/>
      <c r="F815" s="51"/>
      <c r="G815" s="51"/>
      <c r="H815" s="51"/>
      <c r="I815" s="2"/>
      <c r="J815" s="2"/>
      <c r="K815" s="2"/>
      <c r="L815" s="2"/>
      <c r="M815" s="2"/>
      <c r="N815" s="2"/>
      <c r="O815" s="2"/>
      <c r="P815" s="53"/>
      <c r="Q815" s="53"/>
      <c r="R815" s="2"/>
      <c r="S815" s="2"/>
      <c r="T815" s="2"/>
    </row>
    <row r="816" spans="1:20">
      <c r="A816" s="3"/>
      <c r="B816" s="3"/>
      <c r="C816" s="2"/>
      <c r="D816" s="2"/>
      <c r="E816" s="51"/>
      <c r="F816" s="51"/>
      <c r="G816" s="51"/>
      <c r="H816" s="51"/>
      <c r="I816" s="2"/>
      <c r="J816" s="2"/>
      <c r="K816" s="2"/>
      <c r="L816" s="2"/>
      <c r="M816" s="2"/>
      <c r="N816" s="2"/>
      <c r="O816" s="2"/>
      <c r="P816" s="53"/>
      <c r="Q816" s="53"/>
      <c r="R816" s="2"/>
      <c r="S816" s="2"/>
      <c r="T816" s="2"/>
    </row>
    <row r="817" spans="1:20">
      <c r="A817" s="3"/>
      <c r="B817" s="3"/>
      <c r="C817" s="2"/>
      <c r="D817" s="2"/>
      <c r="E817" s="51"/>
      <c r="F817" s="51"/>
      <c r="G817" s="51"/>
      <c r="H817" s="51"/>
      <c r="I817" s="2"/>
      <c r="J817" s="2"/>
      <c r="K817" s="2"/>
      <c r="L817" s="2"/>
      <c r="M817" s="2"/>
      <c r="N817" s="2"/>
      <c r="O817" s="2"/>
      <c r="P817" s="53"/>
      <c r="Q817" s="53"/>
      <c r="R817" s="2"/>
      <c r="S817" s="2"/>
      <c r="T817" s="2"/>
    </row>
    <row r="818" spans="1:20">
      <c r="A818" s="3"/>
      <c r="B818" s="3"/>
      <c r="C818" s="2"/>
      <c r="D818" s="2"/>
      <c r="E818" s="51"/>
      <c r="F818" s="51"/>
      <c r="G818" s="51"/>
      <c r="H818" s="51"/>
      <c r="I818" s="2"/>
      <c r="J818" s="2"/>
      <c r="K818" s="2"/>
      <c r="L818" s="2"/>
      <c r="M818" s="2"/>
      <c r="N818" s="2"/>
      <c r="O818" s="2"/>
      <c r="P818" s="53"/>
      <c r="Q818" s="53"/>
      <c r="R818" s="2"/>
      <c r="S818" s="2"/>
      <c r="T818" s="2"/>
    </row>
    <row r="819" spans="1:20">
      <c r="A819" s="3"/>
      <c r="B819" s="3"/>
      <c r="C819" s="2"/>
      <c r="D819" s="2"/>
      <c r="E819" s="51"/>
      <c r="F819" s="51"/>
      <c r="G819" s="51"/>
      <c r="H819" s="51"/>
      <c r="I819" s="2"/>
      <c r="J819" s="2"/>
      <c r="K819" s="2"/>
      <c r="L819" s="2"/>
      <c r="M819" s="2"/>
      <c r="N819" s="2"/>
      <c r="O819" s="2"/>
      <c r="P819" s="53"/>
      <c r="Q819" s="53"/>
      <c r="R819" s="2"/>
      <c r="S819" s="2"/>
      <c r="T819" s="2"/>
    </row>
    <row r="820" spans="1:20">
      <c r="A820" s="3"/>
      <c r="B820" s="3"/>
      <c r="C820" s="2"/>
      <c r="D820" s="2"/>
      <c r="E820" s="51"/>
      <c r="F820" s="51"/>
      <c r="G820" s="51"/>
      <c r="H820" s="51"/>
      <c r="I820" s="2"/>
      <c r="J820" s="2"/>
      <c r="K820" s="2"/>
      <c r="L820" s="2"/>
      <c r="M820" s="2"/>
      <c r="N820" s="2"/>
      <c r="O820" s="2"/>
      <c r="P820" s="53"/>
      <c r="Q820" s="53"/>
      <c r="R820" s="2"/>
      <c r="S820" s="2"/>
      <c r="T820" s="2"/>
    </row>
    <row r="821" spans="1:20">
      <c r="A821" s="3"/>
      <c r="B821" s="3"/>
      <c r="C821" s="2"/>
      <c r="D821" s="2"/>
      <c r="E821" s="51"/>
      <c r="F821" s="51"/>
      <c r="G821" s="51"/>
      <c r="H821" s="51"/>
      <c r="I821" s="2"/>
      <c r="J821" s="2"/>
      <c r="K821" s="2"/>
      <c r="L821" s="2"/>
      <c r="M821" s="2"/>
      <c r="N821" s="2"/>
      <c r="O821" s="2"/>
      <c r="P821" s="53"/>
      <c r="Q821" s="53"/>
      <c r="R821" s="2"/>
      <c r="S821" s="2"/>
      <c r="T821" s="2"/>
    </row>
    <row r="822" spans="1:20">
      <c r="A822" s="3"/>
      <c r="B822" s="3"/>
      <c r="C822" s="2"/>
      <c r="D822" s="2"/>
      <c r="E822" s="51"/>
      <c r="F822" s="51"/>
      <c r="G822" s="51"/>
      <c r="H822" s="51"/>
      <c r="I822" s="2"/>
      <c r="J822" s="2"/>
      <c r="K822" s="2"/>
      <c r="L822" s="2"/>
      <c r="M822" s="2"/>
      <c r="N822" s="2"/>
      <c r="O822" s="2"/>
      <c r="P822" s="53"/>
      <c r="Q822" s="53"/>
      <c r="R822" s="2"/>
      <c r="S822" s="2"/>
      <c r="T822" s="2"/>
    </row>
    <row r="823" spans="1:20">
      <c r="A823" s="3"/>
      <c r="B823" s="3"/>
      <c r="C823" s="2"/>
      <c r="D823" s="2"/>
      <c r="E823" s="51"/>
      <c r="F823" s="51"/>
      <c r="G823" s="51"/>
      <c r="H823" s="51"/>
      <c r="I823" s="2"/>
      <c r="J823" s="2"/>
      <c r="K823" s="2"/>
      <c r="L823" s="2"/>
      <c r="M823" s="2"/>
      <c r="N823" s="2"/>
      <c r="O823" s="2"/>
      <c r="P823" s="53"/>
      <c r="Q823" s="53"/>
      <c r="R823" s="2"/>
      <c r="S823" s="2"/>
      <c r="T823" s="2"/>
    </row>
    <row r="824" spans="1:20">
      <c r="A824" s="3"/>
      <c r="B824" s="3"/>
      <c r="C824" s="2"/>
      <c r="D824" s="2"/>
      <c r="E824" s="51"/>
      <c r="F824" s="51"/>
      <c r="G824" s="51"/>
      <c r="H824" s="51"/>
      <c r="I824" s="2"/>
      <c r="J824" s="2"/>
      <c r="K824" s="2"/>
      <c r="L824" s="2"/>
      <c r="M824" s="2"/>
      <c r="N824" s="2"/>
      <c r="O824" s="2"/>
      <c r="P824" s="53"/>
      <c r="Q824" s="53"/>
      <c r="R824" s="2"/>
      <c r="S824" s="2"/>
      <c r="T824" s="2"/>
    </row>
    <row r="825" spans="1:20">
      <c r="A825" s="3"/>
      <c r="B825" s="3"/>
      <c r="C825" s="2"/>
      <c r="D825" s="2"/>
      <c r="E825" s="51"/>
      <c r="F825" s="51"/>
      <c r="G825" s="51"/>
      <c r="H825" s="51"/>
      <c r="I825" s="2"/>
      <c r="J825" s="2"/>
      <c r="K825" s="2"/>
      <c r="L825" s="2"/>
      <c r="M825" s="2"/>
      <c r="N825" s="2"/>
      <c r="O825" s="2"/>
      <c r="P825" s="53"/>
      <c r="Q825" s="53"/>
      <c r="R825" s="2"/>
      <c r="S825" s="2"/>
      <c r="T825" s="2"/>
    </row>
    <row r="826" spans="1:20">
      <c r="A826" s="3"/>
      <c r="B826" s="3"/>
      <c r="C826" s="2"/>
      <c r="D826" s="2"/>
      <c r="E826" s="51"/>
      <c r="F826" s="51"/>
      <c r="G826" s="51"/>
      <c r="H826" s="51"/>
      <c r="I826" s="2"/>
      <c r="J826" s="2"/>
      <c r="K826" s="2"/>
      <c r="L826" s="2"/>
      <c r="M826" s="2"/>
      <c r="N826" s="2"/>
      <c r="O826" s="2"/>
      <c r="P826" s="53"/>
      <c r="Q826" s="53"/>
      <c r="R826" s="2"/>
      <c r="S826" s="2"/>
      <c r="T826" s="2"/>
    </row>
    <row r="827" spans="1:20">
      <c r="A827" s="3"/>
      <c r="B827" s="3"/>
      <c r="C827" s="2"/>
      <c r="D827" s="2"/>
      <c r="E827" s="51"/>
      <c r="F827" s="51"/>
      <c r="G827" s="51"/>
      <c r="H827" s="51"/>
      <c r="I827" s="2"/>
      <c r="J827" s="2"/>
      <c r="K827" s="2"/>
      <c r="L827" s="2"/>
      <c r="M827" s="2"/>
      <c r="N827" s="2"/>
      <c r="O827" s="2"/>
      <c r="P827" s="53"/>
      <c r="Q827" s="53"/>
      <c r="R827" s="2"/>
      <c r="S827" s="2"/>
      <c r="T827" s="2"/>
    </row>
    <row r="828" spans="1:20">
      <c r="A828" s="3"/>
      <c r="B828" s="3"/>
      <c r="C828" s="2"/>
      <c r="D828" s="2"/>
      <c r="E828" s="51"/>
      <c r="F828" s="51"/>
      <c r="G828" s="51"/>
      <c r="H828" s="51"/>
      <c r="I828" s="2"/>
      <c r="J828" s="2"/>
      <c r="K828" s="2"/>
      <c r="L828" s="2"/>
      <c r="M828" s="2"/>
      <c r="N828" s="2"/>
      <c r="O828" s="2"/>
      <c r="P828" s="53"/>
      <c r="Q828" s="53"/>
      <c r="R828" s="2"/>
      <c r="S828" s="2"/>
      <c r="T828" s="2"/>
    </row>
    <row r="829" spans="1:20">
      <c r="A829" s="3"/>
      <c r="B829" s="3"/>
      <c r="C829" s="2"/>
      <c r="D829" s="2"/>
      <c r="E829" s="51"/>
      <c r="F829" s="51"/>
      <c r="G829" s="51"/>
      <c r="H829" s="51"/>
      <c r="I829" s="2"/>
      <c r="J829" s="2"/>
      <c r="K829" s="2"/>
      <c r="L829" s="2"/>
      <c r="M829" s="2"/>
      <c r="N829" s="2"/>
      <c r="O829" s="2"/>
      <c r="P829" s="53"/>
      <c r="Q829" s="53"/>
      <c r="R829" s="2"/>
      <c r="S829" s="2"/>
      <c r="T829" s="2"/>
    </row>
    <row r="830" spans="1:20">
      <c r="A830" s="3"/>
      <c r="B830" s="3"/>
      <c r="C830" s="2"/>
      <c r="D830" s="2"/>
      <c r="E830" s="51"/>
      <c r="F830" s="51"/>
      <c r="G830" s="51"/>
      <c r="H830" s="51"/>
      <c r="I830" s="2"/>
      <c r="J830" s="2"/>
      <c r="K830" s="2"/>
      <c r="L830" s="2"/>
      <c r="M830" s="2"/>
      <c r="N830" s="2"/>
      <c r="O830" s="2"/>
      <c r="P830" s="53"/>
      <c r="Q830" s="53"/>
      <c r="R830" s="2"/>
      <c r="S830" s="2"/>
      <c r="T830" s="2"/>
    </row>
    <row r="831" spans="1:20">
      <c r="A831" s="3"/>
      <c r="B831" s="3"/>
      <c r="C831" s="2"/>
      <c r="D831" s="2"/>
      <c r="E831" s="51"/>
      <c r="F831" s="51"/>
      <c r="G831" s="51"/>
      <c r="H831" s="51"/>
      <c r="I831" s="2"/>
      <c r="J831" s="2"/>
      <c r="K831" s="2"/>
      <c r="L831" s="2"/>
      <c r="M831" s="2"/>
      <c r="N831" s="2"/>
      <c r="O831" s="2"/>
      <c r="P831" s="53"/>
      <c r="Q831" s="53"/>
      <c r="R831" s="2"/>
      <c r="S831" s="2"/>
      <c r="T831" s="2"/>
    </row>
    <row r="832" spans="1:20">
      <c r="A832" s="3"/>
      <c r="B832" s="3"/>
      <c r="C832" s="2"/>
      <c r="D832" s="2"/>
      <c r="E832" s="51"/>
      <c r="F832" s="51"/>
      <c r="G832" s="51"/>
      <c r="H832" s="51"/>
      <c r="I832" s="2"/>
      <c r="J832" s="2"/>
      <c r="K832" s="2"/>
      <c r="L832" s="2"/>
      <c r="M832" s="2"/>
      <c r="N832" s="2"/>
      <c r="O832" s="2"/>
      <c r="P832" s="53"/>
      <c r="Q832" s="53"/>
      <c r="R832" s="2"/>
      <c r="S832" s="2"/>
      <c r="T832" s="2"/>
    </row>
    <row r="833" spans="1:20">
      <c r="A833" s="3"/>
      <c r="B833" s="3"/>
      <c r="C833" s="2"/>
      <c r="D833" s="2"/>
      <c r="E833" s="51"/>
      <c r="F833" s="51"/>
      <c r="G833" s="51"/>
      <c r="H833" s="51"/>
      <c r="I833" s="2"/>
      <c r="J833" s="2"/>
      <c r="K833" s="2"/>
      <c r="L833" s="2"/>
      <c r="M833" s="2"/>
      <c r="N833" s="2"/>
      <c r="O833" s="2"/>
      <c r="P833" s="53"/>
      <c r="Q833" s="53"/>
      <c r="R833" s="2"/>
      <c r="S833" s="2"/>
      <c r="T833" s="2"/>
    </row>
    <row r="834" spans="1:20">
      <c r="A834" s="3"/>
      <c r="B834" s="3"/>
      <c r="C834" s="2"/>
      <c r="D834" s="2"/>
      <c r="E834" s="51"/>
      <c r="F834" s="51"/>
      <c r="G834" s="51"/>
      <c r="H834" s="51"/>
      <c r="I834" s="2"/>
      <c r="J834" s="2"/>
      <c r="K834" s="2"/>
      <c r="L834" s="2"/>
      <c r="M834" s="2"/>
      <c r="N834" s="2"/>
      <c r="O834" s="2"/>
      <c r="P834" s="53"/>
      <c r="Q834" s="53"/>
      <c r="R834" s="2"/>
      <c r="S834" s="2"/>
      <c r="T834" s="2"/>
    </row>
    <row r="835" spans="1:20">
      <c r="A835" s="3"/>
      <c r="B835" s="3"/>
      <c r="C835" s="2"/>
      <c r="D835" s="2"/>
      <c r="E835" s="51"/>
      <c r="F835" s="51"/>
      <c r="G835" s="51"/>
      <c r="H835" s="51"/>
      <c r="I835" s="2"/>
      <c r="J835" s="2"/>
      <c r="K835" s="2"/>
      <c r="L835" s="2"/>
      <c r="M835" s="2"/>
      <c r="N835" s="2"/>
      <c r="O835" s="2"/>
      <c r="P835" s="53"/>
      <c r="Q835" s="53"/>
      <c r="R835" s="2"/>
      <c r="S835" s="2"/>
      <c r="T835" s="2"/>
    </row>
    <row r="836" spans="1:20">
      <c r="A836" s="3"/>
      <c r="B836" s="3"/>
      <c r="C836" s="2"/>
      <c r="D836" s="2"/>
      <c r="E836" s="51"/>
      <c r="F836" s="51"/>
      <c r="G836" s="51"/>
      <c r="H836" s="51"/>
      <c r="I836" s="2"/>
      <c r="J836" s="2"/>
      <c r="K836" s="2"/>
      <c r="L836" s="2"/>
      <c r="M836" s="2"/>
      <c r="N836" s="2"/>
      <c r="O836" s="2"/>
      <c r="P836" s="53"/>
      <c r="Q836" s="53"/>
      <c r="R836" s="2"/>
      <c r="S836" s="2"/>
      <c r="T836" s="2"/>
    </row>
    <row r="837" spans="1:20">
      <c r="A837" s="3"/>
      <c r="B837" s="3"/>
      <c r="C837" s="2"/>
      <c r="D837" s="2"/>
      <c r="E837" s="51"/>
      <c r="F837" s="51"/>
      <c r="G837" s="51"/>
      <c r="H837" s="51"/>
      <c r="I837" s="2"/>
      <c r="J837" s="2"/>
      <c r="K837" s="2"/>
      <c r="L837" s="2"/>
      <c r="M837" s="2"/>
      <c r="N837" s="2"/>
      <c r="O837" s="2"/>
      <c r="P837" s="53"/>
      <c r="Q837" s="53"/>
      <c r="R837" s="2"/>
      <c r="S837" s="2"/>
      <c r="T837" s="2"/>
    </row>
    <row r="838" spans="1:20">
      <c r="A838" s="3"/>
      <c r="B838" s="3"/>
      <c r="C838" s="2"/>
      <c r="D838" s="2"/>
      <c r="E838" s="51"/>
      <c r="F838" s="51"/>
      <c r="G838" s="51"/>
      <c r="H838" s="51"/>
      <c r="I838" s="2"/>
      <c r="J838" s="2"/>
      <c r="K838" s="2"/>
      <c r="L838" s="2"/>
      <c r="M838" s="2"/>
      <c r="N838" s="2"/>
      <c r="O838" s="2"/>
      <c r="P838" s="53"/>
      <c r="Q838" s="53"/>
      <c r="R838" s="2"/>
      <c r="S838" s="2"/>
      <c r="T838" s="2"/>
    </row>
    <row r="839" spans="1:20">
      <c r="A839" s="3"/>
      <c r="B839" s="3"/>
      <c r="C839" s="2"/>
      <c r="D839" s="2"/>
      <c r="E839" s="51"/>
      <c r="F839" s="51"/>
      <c r="G839" s="51"/>
      <c r="H839" s="51"/>
      <c r="I839" s="2"/>
      <c r="J839" s="2"/>
      <c r="K839" s="2"/>
      <c r="L839" s="2"/>
      <c r="M839" s="2"/>
      <c r="N839" s="2"/>
      <c r="O839" s="2"/>
      <c r="P839" s="53"/>
      <c r="Q839" s="53"/>
      <c r="R839" s="2"/>
      <c r="S839" s="2"/>
      <c r="T839" s="2"/>
    </row>
    <row r="840" spans="1:20">
      <c r="A840" s="3"/>
      <c r="B840" s="3"/>
      <c r="C840" s="2"/>
      <c r="D840" s="2"/>
      <c r="E840" s="51"/>
      <c r="F840" s="51"/>
      <c r="G840" s="51"/>
      <c r="H840" s="51"/>
      <c r="I840" s="2"/>
      <c r="J840" s="2"/>
      <c r="K840" s="2"/>
      <c r="L840" s="2"/>
      <c r="M840" s="2"/>
      <c r="N840" s="2"/>
      <c r="O840" s="2"/>
      <c r="P840" s="53"/>
      <c r="Q840" s="53"/>
      <c r="R840" s="2"/>
      <c r="S840" s="2"/>
      <c r="T840" s="2"/>
    </row>
    <row r="841" spans="1:20">
      <c r="A841" s="3"/>
      <c r="B841" s="3"/>
      <c r="C841" s="2"/>
      <c r="D841" s="2"/>
      <c r="E841" s="51"/>
      <c r="F841" s="51"/>
      <c r="G841" s="51"/>
      <c r="H841" s="51"/>
      <c r="I841" s="2"/>
      <c r="J841" s="2"/>
      <c r="K841" s="2"/>
      <c r="L841" s="2"/>
      <c r="M841" s="2"/>
      <c r="N841" s="2"/>
      <c r="O841" s="2"/>
      <c r="P841" s="53"/>
      <c r="Q841" s="53"/>
      <c r="R841" s="2"/>
      <c r="S841" s="2"/>
      <c r="T841" s="2"/>
    </row>
    <row r="842" spans="1:20">
      <c r="A842" s="3"/>
      <c r="B842" s="3"/>
      <c r="C842" s="2"/>
      <c r="D842" s="2"/>
      <c r="E842" s="51"/>
      <c r="F842" s="51"/>
      <c r="G842" s="51"/>
      <c r="H842" s="51"/>
      <c r="I842" s="2"/>
      <c r="J842" s="2"/>
      <c r="K842" s="2"/>
      <c r="L842" s="2"/>
      <c r="M842" s="2"/>
      <c r="N842" s="2"/>
      <c r="O842" s="2"/>
      <c r="P842" s="53"/>
      <c r="Q842" s="53"/>
      <c r="R842" s="2"/>
      <c r="S842" s="2"/>
      <c r="T842" s="2"/>
    </row>
    <row r="843" spans="1:20">
      <c r="A843" s="3"/>
      <c r="B843" s="3"/>
      <c r="C843" s="2"/>
      <c r="D843" s="2"/>
      <c r="E843" s="51"/>
      <c r="F843" s="51"/>
      <c r="G843" s="51"/>
      <c r="H843" s="51"/>
      <c r="I843" s="2"/>
      <c r="J843" s="2"/>
      <c r="K843" s="2"/>
      <c r="L843" s="2"/>
      <c r="M843" s="2"/>
      <c r="N843" s="2"/>
      <c r="O843" s="2"/>
      <c r="P843" s="53"/>
      <c r="Q843" s="53"/>
      <c r="R843" s="2"/>
      <c r="S843" s="2"/>
      <c r="T843" s="2"/>
    </row>
    <row r="844" spans="1:20">
      <c r="A844" s="3"/>
      <c r="B844" s="3"/>
      <c r="C844" s="2"/>
      <c r="D844" s="2"/>
      <c r="E844" s="51"/>
      <c r="F844" s="51"/>
      <c r="G844" s="51"/>
      <c r="H844" s="51"/>
      <c r="I844" s="2"/>
      <c r="J844" s="2"/>
      <c r="K844" s="2"/>
      <c r="L844" s="2"/>
      <c r="M844" s="2"/>
      <c r="N844" s="2"/>
      <c r="O844" s="2"/>
      <c r="P844" s="53"/>
      <c r="Q844" s="53"/>
      <c r="R844" s="2"/>
      <c r="S844" s="2"/>
      <c r="T844" s="2"/>
    </row>
    <row r="845" spans="1:20">
      <c r="A845" s="3"/>
      <c r="B845" s="3"/>
      <c r="C845" s="2"/>
      <c r="D845" s="2"/>
      <c r="E845" s="51"/>
      <c r="F845" s="51"/>
      <c r="G845" s="51"/>
      <c r="H845" s="51"/>
      <c r="I845" s="2"/>
      <c r="J845" s="2"/>
      <c r="K845" s="2"/>
      <c r="L845" s="2"/>
      <c r="M845" s="2"/>
      <c r="N845" s="2"/>
      <c r="O845" s="2"/>
      <c r="P845" s="53"/>
      <c r="Q845" s="53"/>
      <c r="R845" s="2"/>
      <c r="S845" s="2"/>
      <c r="T845" s="2"/>
    </row>
    <row r="846" spans="1:20">
      <c r="A846" s="3"/>
      <c r="B846" s="3"/>
      <c r="C846" s="2"/>
      <c r="D846" s="2"/>
      <c r="E846" s="51"/>
      <c r="F846" s="51"/>
      <c r="G846" s="51"/>
      <c r="H846" s="51"/>
      <c r="I846" s="2"/>
      <c r="J846" s="2"/>
      <c r="K846" s="2"/>
      <c r="L846" s="2"/>
      <c r="M846" s="2"/>
      <c r="N846" s="2"/>
      <c r="O846" s="2"/>
      <c r="P846" s="53"/>
      <c r="Q846" s="53"/>
      <c r="R846" s="2"/>
      <c r="S846" s="2"/>
      <c r="T846" s="2"/>
    </row>
    <row r="847" spans="1:20">
      <c r="A847" s="3"/>
      <c r="B847" s="3"/>
      <c r="C847" s="2"/>
      <c r="D847" s="2"/>
      <c r="E847" s="51"/>
      <c r="F847" s="51"/>
      <c r="G847" s="51"/>
      <c r="H847" s="51"/>
      <c r="I847" s="2"/>
      <c r="J847" s="2"/>
      <c r="K847" s="2"/>
      <c r="L847" s="2"/>
      <c r="M847" s="2"/>
      <c r="N847" s="2"/>
      <c r="O847" s="2"/>
      <c r="P847" s="53"/>
      <c r="Q847" s="53"/>
      <c r="R847" s="2"/>
      <c r="S847" s="2"/>
      <c r="T847" s="2"/>
    </row>
    <row r="848" spans="1:20">
      <c r="A848" s="3"/>
      <c r="B848" s="3"/>
      <c r="C848" s="2"/>
      <c r="D848" s="2"/>
      <c r="E848" s="51"/>
      <c r="F848" s="51"/>
      <c r="G848" s="51"/>
      <c r="H848" s="51"/>
      <c r="I848" s="2"/>
      <c r="J848" s="2"/>
      <c r="K848" s="2"/>
      <c r="L848" s="2"/>
      <c r="M848" s="2"/>
      <c r="N848" s="2"/>
      <c r="O848" s="2"/>
      <c r="P848" s="53"/>
      <c r="Q848" s="53"/>
      <c r="R848" s="2"/>
      <c r="S848" s="2"/>
      <c r="T848" s="2"/>
    </row>
    <row r="849" spans="1:20">
      <c r="A849" s="3"/>
      <c r="B849" s="3"/>
      <c r="C849" s="2"/>
      <c r="D849" s="2"/>
      <c r="E849" s="51"/>
      <c r="F849" s="51"/>
      <c r="G849" s="51"/>
      <c r="H849" s="51"/>
      <c r="I849" s="2"/>
      <c r="J849" s="2"/>
      <c r="K849" s="2"/>
      <c r="L849" s="2"/>
      <c r="M849" s="2"/>
      <c r="N849" s="2"/>
      <c r="O849" s="2"/>
      <c r="P849" s="53"/>
      <c r="Q849" s="53"/>
      <c r="R849" s="2"/>
      <c r="S849" s="2"/>
      <c r="T849" s="2"/>
    </row>
    <row r="850" spans="1:20">
      <c r="A850" s="3"/>
      <c r="B850" s="3"/>
      <c r="C850" s="2"/>
      <c r="D850" s="2"/>
      <c r="E850" s="51"/>
      <c r="F850" s="51"/>
      <c r="G850" s="51"/>
      <c r="H850" s="51"/>
      <c r="I850" s="2"/>
      <c r="J850" s="2"/>
      <c r="K850" s="2"/>
      <c r="L850" s="2"/>
      <c r="M850" s="2"/>
      <c r="N850" s="2"/>
      <c r="O850" s="2"/>
      <c r="P850" s="53"/>
      <c r="Q850" s="53"/>
      <c r="R850" s="2"/>
      <c r="S850" s="2"/>
      <c r="T850" s="2"/>
    </row>
    <row r="851" spans="1:20">
      <c r="A851" s="3"/>
      <c r="B851" s="3"/>
      <c r="C851" s="2"/>
      <c r="D851" s="2"/>
      <c r="E851" s="51"/>
      <c r="F851" s="51"/>
      <c r="G851" s="51"/>
      <c r="H851" s="51"/>
      <c r="I851" s="2"/>
      <c r="J851" s="2"/>
      <c r="K851" s="2"/>
      <c r="L851" s="2"/>
      <c r="M851" s="2"/>
      <c r="N851" s="2"/>
      <c r="O851" s="2"/>
      <c r="P851" s="53"/>
      <c r="Q851" s="53"/>
      <c r="R851" s="2"/>
      <c r="S851" s="2"/>
      <c r="T851" s="2"/>
    </row>
    <row r="852" spans="1:20">
      <c r="A852" s="3"/>
      <c r="B852" s="3"/>
      <c r="C852" s="2"/>
      <c r="D852" s="2"/>
      <c r="E852" s="51"/>
      <c r="F852" s="51"/>
      <c r="G852" s="51"/>
      <c r="H852" s="51"/>
      <c r="I852" s="2"/>
      <c r="J852" s="2"/>
      <c r="K852" s="2"/>
      <c r="L852" s="2"/>
      <c r="M852" s="2"/>
      <c r="N852" s="2"/>
      <c r="O852" s="2"/>
      <c r="P852" s="53"/>
      <c r="Q852" s="53"/>
      <c r="R852" s="2"/>
      <c r="S852" s="2"/>
      <c r="T852" s="2"/>
    </row>
    <row r="853" spans="1:20">
      <c r="A853" s="3"/>
      <c r="B853" s="3"/>
      <c r="C853" s="2"/>
      <c r="D853" s="2"/>
      <c r="E853" s="51"/>
      <c r="F853" s="51"/>
      <c r="G853" s="51"/>
      <c r="H853" s="51"/>
      <c r="I853" s="2"/>
      <c r="J853" s="2"/>
      <c r="K853" s="2"/>
      <c r="L853" s="2"/>
      <c r="M853" s="2"/>
      <c r="N853" s="2"/>
      <c r="O853" s="2"/>
      <c r="P853" s="53"/>
      <c r="Q853" s="53"/>
      <c r="R853" s="2"/>
      <c r="S853" s="2"/>
      <c r="T853" s="2"/>
    </row>
    <row r="854" spans="1:20">
      <c r="A854" s="3"/>
      <c r="B854" s="3"/>
      <c r="C854" s="2"/>
      <c r="D854" s="2"/>
      <c r="E854" s="51"/>
      <c r="F854" s="51"/>
      <c r="G854" s="51"/>
      <c r="H854" s="51"/>
      <c r="I854" s="2"/>
      <c r="J854" s="2"/>
      <c r="K854" s="2"/>
      <c r="L854" s="2"/>
      <c r="M854" s="2"/>
      <c r="N854" s="2"/>
      <c r="O854" s="2"/>
      <c r="P854" s="53"/>
      <c r="Q854" s="53"/>
      <c r="R854" s="2"/>
      <c r="S854" s="2"/>
      <c r="T854" s="2"/>
    </row>
    <row r="855" spans="1:20">
      <c r="A855" s="3"/>
      <c r="B855" s="3"/>
      <c r="C855" s="2"/>
      <c r="D855" s="2"/>
      <c r="E855" s="51"/>
      <c r="F855" s="51"/>
      <c r="G855" s="51"/>
      <c r="H855" s="51"/>
      <c r="I855" s="2"/>
      <c r="J855" s="2"/>
      <c r="K855" s="2"/>
      <c r="L855" s="2"/>
      <c r="M855" s="2"/>
      <c r="N855" s="2"/>
      <c r="O855" s="2"/>
      <c r="P855" s="53"/>
      <c r="Q855" s="53"/>
      <c r="R855" s="2"/>
      <c r="S855" s="2"/>
      <c r="T855" s="2"/>
    </row>
    <row r="856" spans="1:20">
      <c r="A856" s="3"/>
      <c r="B856" s="3"/>
      <c r="C856" s="2"/>
      <c r="D856" s="2"/>
      <c r="E856" s="51"/>
      <c r="F856" s="51"/>
      <c r="G856" s="51"/>
      <c r="H856" s="51"/>
      <c r="I856" s="2"/>
      <c r="J856" s="2"/>
      <c r="K856" s="2"/>
      <c r="L856" s="2"/>
      <c r="M856" s="2"/>
      <c r="N856" s="2"/>
      <c r="O856" s="2"/>
      <c r="P856" s="53"/>
      <c r="Q856" s="53"/>
      <c r="R856" s="2"/>
      <c r="S856" s="2"/>
      <c r="T856" s="2"/>
    </row>
    <row r="857" spans="1:20">
      <c r="A857" s="3"/>
      <c r="B857" s="3"/>
      <c r="C857" s="2"/>
      <c r="D857" s="2"/>
      <c r="E857" s="51"/>
      <c r="F857" s="51"/>
      <c r="G857" s="51"/>
      <c r="H857" s="51"/>
      <c r="I857" s="2"/>
      <c r="J857" s="2"/>
      <c r="K857" s="2"/>
      <c r="L857" s="2"/>
      <c r="M857" s="2"/>
      <c r="N857" s="2"/>
      <c r="O857" s="2"/>
      <c r="P857" s="53"/>
      <c r="Q857" s="53"/>
      <c r="R857" s="2"/>
      <c r="S857" s="2"/>
      <c r="T857" s="2"/>
    </row>
    <row r="858" spans="1:20">
      <c r="A858" s="3"/>
      <c r="B858" s="3"/>
      <c r="C858" s="2"/>
      <c r="D858" s="2"/>
      <c r="E858" s="51"/>
      <c r="F858" s="51"/>
      <c r="G858" s="51"/>
      <c r="H858" s="51"/>
      <c r="I858" s="2"/>
      <c r="J858" s="2"/>
      <c r="K858" s="2"/>
      <c r="L858" s="2"/>
      <c r="M858" s="2"/>
      <c r="N858" s="2"/>
      <c r="O858" s="2"/>
      <c r="P858" s="53"/>
      <c r="Q858" s="53"/>
      <c r="R858" s="2"/>
      <c r="S858" s="2"/>
      <c r="T858" s="2"/>
    </row>
    <row r="859" spans="1:20">
      <c r="A859" s="3"/>
      <c r="B859" s="3"/>
      <c r="C859" s="2"/>
      <c r="D859" s="2"/>
      <c r="E859" s="51"/>
      <c r="F859" s="51"/>
      <c r="G859" s="51"/>
      <c r="H859" s="51"/>
      <c r="I859" s="2"/>
      <c r="J859" s="2"/>
      <c r="K859" s="2"/>
      <c r="L859" s="2"/>
      <c r="M859" s="2"/>
      <c r="N859" s="2"/>
      <c r="O859" s="2"/>
      <c r="P859" s="53"/>
      <c r="Q859" s="53"/>
      <c r="R859" s="2"/>
      <c r="S859" s="2"/>
      <c r="T859" s="2"/>
    </row>
    <row r="860" spans="1:20">
      <c r="A860" s="3"/>
      <c r="B860" s="3"/>
      <c r="C860" s="2"/>
      <c r="D860" s="2"/>
      <c r="E860" s="51"/>
      <c r="F860" s="51"/>
      <c r="G860" s="51"/>
      <c r="H860" s="51"/>
      <c r="I860" s="2"/>
      <c r="J860" s="2"/>
      <c r="K860" s="2"/>
      <c r="L860" s="2"/>
      <c r="M860" s="2"/>
      <c r="N860" s="2"/>
      <c r="O860" s="2"/>
      <c r="P860" s="53"/>
      <c r="Q860" s="53"/>
      <c r="R860" s="2"/>
      <c r="S860" s="2"/>
      <c r="T860" s="2"/>
    </row>
    <row r="861" spans="1:20">
      <c r="A861" s="3"/>
      <c r="B861" s="3"/>
      <c r="C861" s="2"/>
      <c r="D861" s="2"/>
      <c r="E861" s="51"/>
      <c r="F861" s="51"/>
      <c r="G861" s="51"/>
      <c r="H861" s="51"/>
      <c r="I861" s="2"/>
      <c r="J861" s="2"/>
      <c r="K861" s="2"/>
      <c r="L861" s="2"/>
      <c r="M861" s="2"/>
      <c r="N861" s="2"/>
      <c r="O861" s="2"/>
      <c r="P861" s="53"/>
      <c r="Q861" s="53"/>
      <c r="R861" s="2"/>
      <c r="S861" s="2"/>
      <c r="T861" s="2"/>
    </row>
    <row r="862" spans="1:20">
      <c r="A862" s="3"/>
      <c r="B862" s="3"/>
      <c r="C862" s="2"/>
      <c r="D862" s="2"/>
      <c r="E862" s="51"/>
      <c r="F862" s="51"/>
      <c r="G862" s="51"/>
      <c r="H862" s="51"/>
      <c r="I862" s="2"/>
      <c r="J862" s="2"/>
      <c r="K862" s="2"/>
      <c r="L862" s="2"/>
      <c r="M862" s="2"/>
      <c r="N862" s="2"/>
      <c r="O862" s="2"/>
      <c r="P862" s="53"/>
      <c r="Q862" s="53"/>
      <c r="R862" s="2"/>
      <c r="S862" s="2"/>
      <c r="T862" s="2"/>
    </row>
    <row r="863" spans="1:20">
      <c r="A863" s="3"/>
      <c r="B863" s="3"/>
      <c r="C863" s="2"/>
      <c r="D863" s="2"/>
      <c r="E863" s="51"/>
      <c r="F863" s="51"/>
      <c r="G863" s="51"/>
      <c r="H863" s="51"/>
      <c r="I863" s="2"/>
      <c r="J863" s="2"/>
      <c r="K863" s="2"/>
      <c r="L863" s="2"/>
      <c r="M863" s="2"/>
      <c r="N863" s="2"/>
      <c r="O863" s="2"/>
      <c r="P863" s="53"/>
      <c r="Q863" s="53"/>
      <c r="R863" s="2"/>
      <c r="S863" s="2"/>
      <c r="T863" s="2"/>
    </row>
    <row r="864" spans="1:20">
      <c r="A864" s="3"/>
      <c r="B864" s="3"/>
      <c r="C864" s="2"/>
      <c r="D864" s="2"/>
      <c r="E864" s="51"/>
      <c r="F864" s="51"/>
      <c r="G864" s="51"/>
      <c r="H864" s="51"/>
      <c r="I864" s="2"/>
      <c r="J864" s="2"/>
      <c r="K864" s="2"/>
      <c r="L864" s="2"/>
      <c r="M864" s="2"/>
      <c r="N864" s="2"/>
      <c r="O864" s="2"/>
      <c r="P864" s="53"/>
      <c r="Q864" s="53"/>
      <c r="R864" s="2"/>
      <c r="S864" s="2"/>
      <c r="T864" s="2"/>
    </row>
    <row r="865" spans="1:20">
      <c r="A865" s="3"/>
      <c r="B865" s="3"/>
      <c r="C865" s="2"/>
      <c r="D865" s="2"/>
      <c r="E865" s="51"/>
      <c r="F865" s="51"/>
      <c r="G865" s="51"/>
      <c r="H865" s="51"/>
      <c r="I865" s="2"/>
      <c r="J865" s="2"/>
      <c r="K865" s="2"/>
      <c r="L865" s="2"/>
      <c r="M865" s="2"/>
      <c r="N865" s="2"/>
      <c r="O865" s="2"/>
      <c r="P865" s="53"/>
      <c r="Q865" s="53"/>
      <c r="R865" s="2"/>
      <c r="S865" s="2"/>
      <c r="T865" s="2"/>
    </row>
    <row r="866" spans="1:20">
      <c r="A866" s="3"/>
      <c r="B866" s="3"/>
      <c r="C866" s="2"/>
      <c r="D866" s="2"/>
      <c r="E866" s="51"/>
      <c r="F866" s="51"/>
      <c r="G866" s="51"/>
      <c r="H866" s="51"/>
      <c r="I866" s="2"/>
      <c r="J866" s="2"/>
      <c r="K866" s="2"/>
      <c r="L866" s="2"/>
      <c r="M866" s="2"/>
      <c r="N866" s="2"/>
      <c r="O866" s="2"/>
      <c r="P866" s="53"/>
      <c r="Q866" s="53"/>
      <c r="R866" s="2"/>
      <c r="S866" s="2"/>
      <c r="T866" s="2"/>
    </row>
    <row r="867" spans="1:20">
      <c r="A867" s="3"/>
      <c r="B867" s="3"/>
      <c r="C867" s="2"/>
      <c r="D867" s="2"/>
      <c r="E867" s="51"/>
      <c r="F867" s="51"/>
      <c r="G867" s="51"/>
      <c r="H867" s="51"/>
      <c r="I867" s="2"/>
      <c r="J867" s="2"/>
      <c r="K867" s="2"/>
      <c r="L867" s="2"/>
      <c r="M867" s="2"/>
      <c r="N867" s="2"/>
      <c r="O867" s="2"/>
      <c r="P867" s="53"/>
      <c r="Q867" s="53"/>
      <c r="R867" s="2"/>
      <c r="S867" s="2"/>
      <c r="T867" s="2"/>
    </row>
    <row r="868" spans="1:20">
      <c r="A868" s="3"/>
      <c r="B868" s="3"/>
      <c r="C868" s="2"/>
      <c r="D868" s="2"/>
      <c r="E868" s="51"/>
      <c r="F868" s="51"/>
      <c r="G868" s="51"/>
      <c r="H868" s="51"/>
      <c r="I868" s="2"/>
      <c r="J868" s="2"/>
      <c r="K868" s="2"/>
      <c r="L868" s="2"/>
      <c r="M868" s="2"/>
      <c r="N868" s="2"/>
      <c r="O868" s="2"/>
      <c r="P868" s="53"/>
      <c r="Q868" s="53"/>
      <c r="R868" s="2"/>
      <c r="S868" s="2"/>
      <c r="T868" s="2"/>
    </row>
    <row r="869" spans="1:20">
      <c r="A869" s="3"/>
      <c r="B869" s="3"/>
      <c r="C869" s="2"/>
      <c r="D869" s="2"/>
      <c r="E869" s="51"/>
      <c r="F869" s="51"/>
      <c r="G869" s="51"/>
      <c r="H869" s="51"/>
      <c r="I869" s="2"/>
      <c r="J869" s="2"/>
      <c r="K869" s="2"/>
      <c r="L869" s="2"/>
      <c r="M869" s="2"/>
      <c r="N869" s="2"/>
      <c r="O869" s="2"/>
      <c r="P869" s="53"/>
      <c r="Q869" s="53"/>
      <c r="R869" s="2"/>
      <c r="S869" s="2"/>
      <c r="T869" s="2"/>
    </row>
    <row r="870" spans="1:20">
      <c r="A870" s="3"/>
      <c r="B870" s="3"/>
      <c r="C870" s="2"/>
      <c r="D870" s="2"/>
      <c r="E870" s="51"/>
      <c r="F870" s="51"/>
      <c r="G870" s="51"/>
      <c r="H870" s="51"/>
      <c r="I870" s="2"/>
      <c r="J870" s="2"/>
      <c r="K870" s="2"/>
      <c r="L870" s="2"/>
      <c r="M870" s="2"/>
      <c r="N870" s="2"/>
      <c r="O870" s="2"/>
      <c r="P870" s="53"/>
      <c r="Q870" s="53"/>
      <c r="R870" s="2"/>
      <c r="S870" s="2"/>
      <c r="T870" s="2"/>
    </row>
    <row r="871" spans="1:20">
      <c r="A871" s="3"/>
      <c r="B871" s="3"/>
      <c r="C871" s="2"/>
      <c r="D871" s="2"/>
      <c r="E871" s="51"/>
      <c r="F871" s="51"/>
      <c r="G871" s="51"/>
      <c r="H871" s="51"/>
      <c r="I871" s="2"/>
      <c r="J871" s="2"/>
      <c r="K871" s="2"/>
      <c r="L871" s="2"/>
      <c r="M871" s="2"/>
      <c r="N871" s="2"/>
      <c r="O871" s="2"/>
      <c r="P871" s="53"/>
      <c r="Q871" s="53"/>
      <c r="R871" s="2"/>
      <c r="S871" s="2"/>
      <c r="T871" s="2"/>
    </row>
    <row r="872" spans="1:20">
      <c r="A872" s="3"/>
      <c r="B872" s="3"/>
      <c r="C872" s="2"/>
      <c r="D872" s="2"/>
      <c r="E872" s="51"/>
      <c r="F872" s="51"/>
      <c r="G872" s="51"/>
      <c r="H872" s="51"/>
      <c r="I872" s="2"/>
      <c r="J872" s="2"/>
      <c r="K872" s="2"/>
      <c r="L872" s="2"/>
      <c r="M872" s="2"/>
      <c r="N872" s="2"/>
      <c r="O872" s="2"/>
      <c r="P872" s="53"/>
      <c r="Q872" s="53"/>
      <c r="R872" s="2"/>
      <c r="S872" s="2"/>
      <c r="T872" s="2"/>
    </row>
    <row r="873" spans="1:20">
      <c r="A873" s="3"/>
      <c r="B873" s="3"/>
      <c r="C873" s="2"/>
      <c r="D873" s="2"/>
      <c r="E873" s="51"/>
      <c r="F873" s="51"/>
      <c r="G873" s="51"/>
      <c r="H873" s="51"/>
      <c r="I873" s="2"/>
      <c r="J873" s="2"/>
      <c r="K873" s="2"/>
      <c r="L873" s="2"/>
      <c r="M873" s="2"/>
      <c r="N873" s="2"/>
      <c r="O873" s="2"/>
      <c r="P873" s="53"/>
      <c r="Q873" s="53"/>
      <c r="R873" s="2"/>
      <c r="S873" s="2"/>
      <c r="T873" s="2"/>
    </row>
    <row r="874" spans="1:20">
      <c r="A874" s="3"/>
      <c r="B874" s="3"/>
      <c r="C874" s="2"/>
      <c r="D874" s="2"/>
      <c r="E874" s="51"/>
      <c r="F874" s="51"/>
      <c r="G874" s="51"/>
      <c r="H874" s="51"/>
      <c r="I874" s="2"/>
      <c r="J874" s="2"/>
      <c r="K874" s="2"/>
      <c r="L874" s="2"/>
      <c r="M874" s="2"/>
      <c r="N874" s="2"/>
      <c r="O874" s="2"/>
      <c r="P874" s="53"/>
      <c r="Q874" s="53"/>
      <c r="R874" s="2"/>
      <c r="S874" s="2"/>
      <c r="T874" s="2"/>
    </row>
    <row r="875" spans="1:20">
      <c r="A875" s="3"/>
      <c r="B875" s="3"/>
      <c r="C875" s="2"/>
      <c r="D875" s="2"/>
      <c r="E875" s="51"/>
      <c r="F875" s="51"/>
      <c r="G875" s="51"/>
      <c r="H875" s="51"/>
      <c r="I875" s="2"/>
      <c r="J875" s="2"/>
      <c r="K875" s="2"/>
      <c r="L875" s="2"/>
      <c r="M875" s="2"/>
      <c r="N875" s="2"/>
      <c r="O875" s="2"/>
      <c r="P875" s="53"/>
      <c r="Q875" s="53"/>
      <c r="R875" s="2"/>
      <c r="S875" s="2"/>
      <c r="T875" s="2"/>
    </row>
    <row r="876" spans="1:20">
      <c r="A876" s="3"/>
      <c r="B876" s="3"/>
      <c r="C876" s="2"/>
      <c r="D876" s="2"/>
      <c r="E876" s="51"/>
      <c r="F876" s="51"/>
      <c r="G876" s="51"/>
      <c r="H876" s="51"/>
      <c r="I876" s="2"/>
      <c r="J876" s="2"/>
      <c r="K876" s="2"/>
      <c r="L876" s="2"/>
      <c r="M876" s="2"/>
      <c r="N876" s="2"/>
      <c r="O876" s="2"/>
      <c r="P876" s="53"/>
      <c r="Q876" s="53"/>
      <c r="R876" s="2"/>
      <c r="S876" s="2"/>
      <c r="T876" s="2"/>
    </row>
    <row r="877" spans="1:20">
      <c r="A877" s="3"/>
      <c r="B877" s="3"/>
      <c r="C877" s="2"/>
      <c r="D877" s="2"/>
      <c r="E877" s="51"/>
      <c r="F877" s="51"/>
      <c r="G877" s="51"/>
      <c r="H877" s="51"/>
      <c r="I877" s="2"/>
      <c r="J877" s="2"/>
      <c r="K877" s="2"/>
      <c r="L877" s="2"/>
      <c r="M877" s="2"/>
      <c r="N877" s="2"/>
      <c r="O877" s="2"/>
      <c r="P877" s="53"/>
      <c r="Q877" s="53"/>
      <c r="R877" s="2"/>
      <c r="S877" s="2"/>
      <c r="T877" s="2"/>
    </row>
    <row r="878" spans="1:20">
      <c r="A878" s="3"/>
      <c r="B878" s="3"/>
      <c r="C878" s="2"/>
      <c r="D878" s="2"/>
      <c r="E878" s="51"/>
      <c r="F878" s="51"/>
      <c r="G878" s="51"/>
      <c r="H878" s="51"/>
      <c r="I878" s="2"/>
      <c r="J878" s="2"/>
      <c r="K878" s="2"/>
      <c r="L878" s="2"/>
      <c r="M878" s="2"/>
      <c r="N878" s="2"/>
      <c r="O878" s="2"/>
      <c r="P878" s="53"/>
      <c r="Q878" s="53"/>
      <c r="R878" s="2"/>
      <c r="S878" s="2"/>
      <c r="T878" s="2"/>
    </row>
    <row r="879" spans="1:20">
      <c r="A879" s="3"/>
      <c r="B879" s="3"/>
      <c r="C879" s="2"/>
      <c r="D879" s="2"/>
      <c r="E879" s="51"/>
      <c r="F879" s="51"/>
      <c r="G879" s="51"/>
      <c r="H879" s="51"/>
      <c r="I879" s="2"/>
      <c r="J879" s="2"/>
      <c r="K879" s="2"/>
      <c r="L879" s="2"/>
      <c r="M879" s="2"/>
      <c r="N879" s="2"/>
      <c r="O879" s="2"/>
      <c r="P879" s="53"/>
      <c r="Q879" s="53"/>
      <c r="R879" s="2"/>
      <c r="S879" s="2"/>
      <c r="T879" s="2"/>
    </row>
    <row r="880" spans="1:20">
      <c r="A880" s="3"/>
      <c r="B880" s="3"/>
      <c r="C880" s="2"/>
      <c r="D880" s="2"/>
      <c r="E880" s="51"/>
      <c r="F880" s="51"/>
      <c r="G880" s="51"/>
      <c r="H880" s="51"/>
      <c r="I880" s="2"/>
      <c r="J880" s="2"/>
      <c r="K880" s="2"/>
      <c r="L880" s="2"/>
      <c r="M880" s="2"/>
      <c r="N880" s="2"/>
      <c r="O880" s="2"/>
      <c r="P880" s="53"/>
      <c r="Q880" s="53"/>
      <c r="R880" s="2"/>
      <c r="S880" s="2"/>
      <c r="T880" s="2"/>
    </row>
    <row r="881" spans="1:20">
      <c r="A881" s="3"/>
      <c r="B881" s="3"/>
      <c r="C881" s="2"/>
      <c r="D881" s="2"/>
      <c r="E881" s="51"/>
      <c r="F881" s="51"/>
      <c r="G881" s="51"/>
      <c r="H881" s="51"/>
      <c r="I881" s="2"/>
      <c r="J881" s="2"/>
      <c r="K881" s="2"/>
      <c r="L881" s="2"/>
      <c r="M881" s="2"/>
      <c r="N881" s="2"/>
      <c r="O881" s="2"/>
      <c r="P881" s="53"/>
      <c r="Q881" s="53"/>
      <c r="R881" s="2"/>
      <c r="S881" s="2"/>
      <c r="T881" s="2"/>
    </row>
    <row r="882" spans="1:20">
      <c r="A882" s="3"/>
      <c r="B882" s="3"/>
      <c r="C882" s="2"/>
      <c r="D882" s="2"/>
      <c r="E882" s="51"/>
      <c r="F882" s="51"/>
      <c r="G882" s="51"/>
      <c r="H882" s="51"/>
      <c r="I882" s="2"/>
      <c r="J882" s="2"/>
      <c r="K882" s="2"/>
      <c r="L882" s="2"/>
      <c r="M882" s="2"/>
      <c r="N882" s="2"/>
      <c r="O882" s="2"/>
      <c r="P882" s="53"/>
      <c r="Q882" s="53"/>
      <c r="R882" s="2"/>
      <c r="S882" s="2"/>
      <c r="T882" s="2"/>
    </row>
    <row r="883" spans="1:20">
      <c r="A883" s="3"/>
      <c r="B883" s="3"/>
      <c r="C883" s="2"/>
      <c r="D883" s="2"/>
      <c r="E883" s="51"/>
      <c r="F883" s="51"/>
      <c r="G883" s="51"/>
      <c r="H883" s="51"/>
      <c r="I883" s="2"/>
      <c r="J883" s="2"/>
      <c r="K883" s="2"/>
      <c r="L883" s="2"/>
      <c r="M883" s="2"/>
      <c r="N883" s="2"/>
      <c r="O883" s="2"/>
      <c r="P883" s="53"/>
      <c r="Q883" s="53"/>
      <c r="R883" s="2"/>
      <c r="S883" s="2"/>
      <c r="T883" s="2"/>
    </row>
    <row r="884" spans="1:20">
      <c r="A884" s="3"/>
      <c r="B884" s="3"/>
      <c r="C884" s="2"/>
      <c r="D884" s="2"/>
      <c r="E884" s="51"/>
      <c r="F884" s="51"/>
      <c r="G884" s="51"/>
      <c r="H884" s="51"/>
      <c r="I884" s="2"/>
      <c r="J884" s="2"/>
      <c r="K884" s="2"/>
      <c r="L884" s="2"/>
      <c r="M884" s="2"/>
      <c r="N884" s="2"/>
      <c r="O884" s="2"/>
      <c r="P884" s="53"/>
      <c r="Q884" s="53"/>
      <c r="R884" s="2"/>
      <c r="S884" s="2"/>
      <c r="T884" s="2"/>
    </row>
    <row r="885" spans="1:20">
      <c r="A885" s="3"/>
      <c r="B885" s="3"/>
      <c r="C885" s="2"/>
      <c r="D885" s="2"/>
      <c r="E885" s="51"/>
      <c r="F885" s="51"/>
      <c r="G885" s="51"/>
      <c r="H885" s="51"/>
      <c r="I885" s="2"/>
      <c r="J885" s="2"/>
      <c r="K885" s="2"/>
      <c r="L885" s="2"/>
      <c r="M885" s="2"/>
      <c r="N885" s="2"/>
      <c r="O885" s="2"/>
      <c r="P885" s="53"/>
      <c r="Q885" s="53"/>
      <c r="R885" s="2"/>
      <c r="S885" s="2"/>
      <c r="T885" s="2"/>
    </row>
    <row r="886" spans="1:20">
      <c r="A886" s="3"/>
      <c r="B886" s="3"/>
      <c r="C886" s="2"/>
      <c r="D886" s="2"/>
      <c r="E886" s="51"/>
      <c r="F886" s="51"/>
      <c r="G886" s="51"/>
      <c r="H886" s="51"/>
      <c r="I886" s="2"/>
      <c r="J886" s="2"/>
      <c r="K886" s="2"/>
      <c r="L886" s="2"/>
      <c r="M886" s="2"/>
      <c r="N886" s="2"/>
      <c r="O886" s="2"/>
      <c r="P886" s="53"/>
      <c r="Q886" s="53"/>
      <c r="R886" s="2"/>
      <c r="S886" s="2"/>
      <c r="T886" s="2"/>
    </row>
    <row r="887" spans="1:20">
      <c r="A887" s="3"/>
      <c r="B887" s="3"/>
      <c r="C887" s="2"/>
      <c r="D887" s="2"/>
      <c r="E887" s="51"/>
      <c r="F887" s="51"/>
      <c r="G887" s="51"/>
      <c r="H887" s="51"/>
      <c r="I887" s="2"/>
      <c r="J887" s="2"/>
      <c r="K887" s="2"/>
      <c r="L887" s="2"/>
      <c r="M887" s="2"/>
      <c r="N887" s="2"/>
      <c r="O887" s="2"/>
      <c r="P887" s="53"/>
      <c r="Q887" s="53"/>
      <c r="R887" s="2"/>
      <c r="S887" s="2"/>
      <c r="T887" s="2"/>
    </row>
    <row r="888" spans="1:20">
      <c r="A888" s="3"/>
      <c r="B888" s="3"/>
      <c r="C888" s="2"/>
      <c r="D888" s="2"/>
      <c r="E888" s="51"/>
      <c r="F888" s="51"/>
      <c r="G888" s="51"/>
      <c r="H888" s="51"/>
      <c r="I888" s="2"/>
      <c r="J888" s="2"/>
      <c r="K888" s="2"/>
      <c r="L888" s="2"/>
      <c r="M888" s="2"/>
      <c r="N888" s="2"/>
      <c r="O888" s="2"/>
      <c r="P888" s="53"/>
      <c r="Q888" s="53"/>
      <c r="R888" s="2"/>
      <c r="S888" s="2"/>
      <c r="T888" s="2"/>
    </row>
    <row r="889" spans="1:20">
      <c r="A889" s="3"/>
      <c r="B889" s="3"/>
      <c r="C889" s="2"/>
      <c r="D889" s="2"/>
      <c r="E889" s="51"/>
      <c r="F889" s="51"/>
      <c r="G889" s="51"/>
      <c r="H889" s="51"/>
      <c r="I889" s="2"/>
      <c r="J889" s="2"/>
      <c r="K889" s="2"/>
      <c r="L889" s="2"/>
      <c r="M889" s="2"/>
      <c r="N889" s="2"/>
      <c r="O889" s="2"/>
      <c r="P889" s="53"/>
      <c r="Q889" s="53"/>
      <c r="R889" s="2"/>
      <c r="S889" s="2"/>
      <c r="T889" s="2"/>
    </row>
    <row r="890" spans="1:20">
      <c r="A890" s="3"/>
      <c r="B890" s="3"/>
      <c r="C890" s="2"/>
      <c r="D890" s="2"/>
      <c r="E890" s="51"/>
      <c r="F890" s="51"/>
      <c r="G890" s="51"/>
      <c r="H890" s="51"/>
      <c r="I890" s="2"/>
      <c r="J890" s="2"/>
      <c r="K890" s="2"/>
      <c r="L890" s="2"/>
      <c r="M890" s="2"/>
      <c r="N890" s="2"/>
      <c r="O890" s="2"/>
      <c r="P890" s="53"/>
      <c r="Q890" s="53"/>
      <c r="R890" s="2"/>
      <c r="S890" s="2"/>
      <c r="T890" s="2"/>
    </row>
    <row r="891" spans="1:20">
      <c r="A891" s="3"/>
      <c r="B891" s="3"/>
      <c r="C891" s="2"/>
      <c r="D891" s="2"/>
      <c r="E891" s="51"/>
      <c r="F891" s="51"/>
      <c r="G891" s="51"/>
      <c r="H891" s="51"/>
      <c r="I891" s="2"/>
      <c r="J891" s="2"/>
      <c r="K891" s="2"/>
      <c r="L891" s="2"/>
      <c r="M891" s="2"/>
      <c r="N891" s="2"/>
      <c r="O891" s="2"/>
      <c r="P891" s="53"/>
      <c r="Q891" s="53"/>
      <c r="R891" s="2"/>
      <c r="S891" s="2"/>
      <c r="T891" s="2"/>
    </row>
    <row r="892" spans="1:20">
      <c r="A892" s="3"/>
      <c r="B892" s="3"/>
      <c r="C892" s="2"/>
      <c r="D892" s="2"/>
      <c r="E892" s="51"/>
      <c r="F892" s="51"/>
      <c r="G892" s="51"/>
      <c r="H892" s="51"/>
      <c r="I892" s="2"/>
      <c r="J892" s="2"/>
      <c r="K892" s="2"/>
      <c r="L892" s="2"/>
      <c r="M892" s="2"/>
      <c r="N892" s="2"/>
      <c r="O892" s="2"/>
      <c r="P892" s="53"/>
      <c r="Q892" s="53"/>
      <c r="R892" s="2"/>
      <c r="S892" s="2"/>
      <c r="T892" s="2"/>
    </row>
    <row r="893" spans="1:20">
      <c r="A893" s="3"/>
      <c r="B893" s="3"/>
      <c r="C893" s="2"/>
      <c r="D893" s="2"/>
      <c r="E893" s="51"/>
      <c r="F893" s="51"/>
      <c r="G893" s="51"/>
      <c r="H893" s="51"/>
      <c r="I893" s="2"/>
      <c r="J893" s="2"/>
      <c r="K893" s="2"/>
      <c r="L893" s="2"/>
      <c r="M893" s="2"/>
      <c r="N893" s="2"/>
      <c r="O893" s="2"/>
      <c r="P893" s="53"/>
      <c r="Q893" s="53"/>
      <c r="R893" s="2"/>
      <c r="S893" s="2"/>
      <c r="T893" s="2"/>
    </row>
    <row r="894" spans="1:20">
      <c r="A894" s="3"/>
      <c r="B894" s="3"/>
      <c r="C894" s="2"/>
      <c r="D894" s="2"/>
      <c r="E894" s="51"/>
      <c r="F894" s="51"/>
      <c r="G894" s="51"/>
      <c r="H894" s="51"/>
      <c r="I894" s="2"/>
      <c r="J894" s="2"/>
      <c r="K894" s="2"/>
      <c r="L894" s="2"/>
      <c r="M894" s="2"/>
      <c r="N894" s="2"/>
      <c r="O894" s="2"/>
      <c r="P894" s="53"/>
      <c r="Q894" s="53"/>
      <c r="R894" s="2"/>
      <c r="S894" s="2"/>
      <c r="T894" s="2"/>
    </row>
    <row r="895" spans="1:20">
      <c r="A895" s="3"/>
      <c r="B895" s="3"/>
      <c r="C895" s="2"/>
      <c r="D895" s="2"/>
      <c r="E895" s="51"/>
      <c r="F895" s="51"/>
      <c r="G895" s="51"/>
      <c r="H895" s="51"/>
      <c r="I895" s="2"/>
      <c r="J895" s="2"/>
      <c r="K895" s="2"/>
      <c r="L895" s="2"/>
      <c r="M895" s="2"/>
      <c r="N895" s="2"/>
      <c r="O895" s="2"/>
      <c r="P895" s="53"/>
      <c r="Q895" s="53"/>
      <c r="R895" s="2"/>
      <c r="S895" s="2"/>
      <c r="T895" s="2"/>
    </row>
    <row r="896" spans="1:20">
      <c r="A896" s="3"/>
      <c r="B896" s="3"/>
      <c r="C896" s="2"/>
      <c r="D896" s="2"/>
      <c r="E896" s="51"/>
      <c r="F896" s="51"/>
      <c r="G896" s="51"/>
      <c r="H896" s="51"/>
      <c r="I896" s="2"/>
      <c r="J896" s="2"/>
      <c r="K896" s="2"/>
      <c r="L896" s="2"/>
      <c r="M896" s="2"/>
      <c r="N896" s="2"/>
      <c r="O896" s="2"/>
      <c r="P896" s="53"/>
      <c r="Q896" s="53"/>
      <c r="R896" s="2"/>
      <c r="S896" s="2"/>
      <c r="T896" s="2"/>
    </row>
    <row r="897" spans="1:20">
      <c r="A897" s="3"/>
      <c r="B897" s="3"/>
      <c r="C897" s="2"/>
      <c r="D897" s="2"/>
      <c r="E897" s="51"/>
      <c r="F897" s="51"/>
      <c r="G897" s="51"/>
      <c r="H897" s="51"/>
      <c r="I897" s="2"/>
      <c r="J897" s="2"/>
      <c r="K897" s="2"/>
      <c r="L897" s="2"/>
      <c r="M897" s="2"/>
      <c r="N897" s="2"/>
      <c r="O897" s="2"/>
      <c r="P897" s="53"/>
      <c r="Q897" s="53"/>
      <c r="R897" s="2"/>
      <c r="S897" s="2"/>
      <c r="T897" s="2"/>
    </row>
    <row r="898" spans="1:20">
      <c r="A898" s="3"/>
      <c r="B898" s="3"/>
      <c r="C898" s="2"/>
      <c r="D898" s="2"/>
      <c r="E898" s="51"/>
      <c r="F898" s="51"/>
      <c r="G898" s="51"/>
      <c r="H898" s="51"/>
      <c r="I898" s="2"/>
      <c r="J898" s="2"/>
      <c r="K898" s="2"/>
      <c r="L898" s="2"/>
      <c r="M898" s="2"/>
      <c r="N898" s="2"/>
      <c r="O898" s="2"/>
      <c r="P898" s="53"/>
      <c r="Q898" s="53"/>
      <c r="R898" s="2"/>
      <c r="S898" s="2"/>
      <c r="T898" s="2"/>
    </row>
    <row r="899" spans="1:20">
      <c r="A899" s="3"/>
      <c r="B899" s="3"/>
      <c r="C899" s="2"/>
      <c r="D899" s="2"/>
      <c r="E899" s="51"/>
      <c r="F899" s="51"/>
      <c r="G899" s="51"/>
      <c r="H899" s="51"/>
      <c r="I899" s="2"/>
      <c r="J899" s="2"/>
      <c r="K899" s="2"/>
      <c r="L899" s="2"/>
      <c r="M899" s="2"/>
      <c r="N899" s="2"/>
      <c r="O899" s="2"/>
      <c r="P899" s="53"/>
      <c r="Q899" s="53"/>
      <c r="R899" s="2"/>
      <c r="S899" s="2"/>
      <c r="T899" s="2"/>
    </row>
    <row r="900" spans="1:20">
      <c r="A900" s="3"/>
      <c r="B900" s="3"/>
      <c r="C900" s="2"/>
      <c r="D900" s="2"/>
      <c r="E900" s="51"/>
      <c r="F900" s="51"/>
      <c r="G900" s="51"/>
      <c r="H900" s="51"/>
      <c r="I900" s="2"/>
      <c r="J900" s="2"/>
      <c r="K900" s="2"/>
      <c r="L900" s="2"/>
      <c r="M900" s="2"/>
      <c r="N900" s="2"/>
      <c r="O900" s="2"/>
      <c r="P900" s="53"/>
      <c r="Q900" s="53"/>
      <c r="R900" s="2"/>
      <c r="S900" s="2"/>
      <c r="T900" s="2"/>
    </row>
    <row r="901" spans="1:20">
      <c r="A901" s="3"/>
      <c r="B901" s="3"/>
      <c r="C901" s="2"/>
      <c r="D901" s="2"/>
      <c r="E901" s="51"/>
      <c r="F901" s="51"/>
      <c r="G901" s="51"/>
      <c r="H901" s="51"/>
      <c r="I901" s="2"/>
      <c r="J901" s="2"/>
      <c r="K901" s="2"/>
      <c r="L901" s="2"/>
      <c r="M901" s="2"/>
      <c r="N901" s="2"/>
      <c r="O901" s="2"/>
      <c r="P901" s="53"/>
      <c r="Q901" s="53"/>
      <c r="R901" s="2"/>
      <c r="S901" s="2"/>
      <c r="T901" s="2"/>
    </row>
    <row r="902" spans="1:20">
      <c r="A902" s="3"/>
      <c r="B902" s="3"/>
      <c r="C902" s="2"/>
      <c r="D902" s="2"/>
      <c r="E902" s="51"/>
      <c r="F902" s="51"/>
      <c r="G902" s="51"/>
      <c r="H902" s="51"/>
      <c r="I902" s="2"/>
      <c r="J902" s="2"/>
      <c r="K902" s="2"/>
      <c r="L902" s="2"/>
      <c r="M902" s="2"/>
      <c r="N902" s="2"/>
      <c r="O902" s="2"/>
      <c r="P902" s="53"/>
      <c r="Q902" s="53"/>
      <c r="R902" s="2"/>
      <c r="S902" s="2"/>
      <c r="T902" s="2"/>
    </row>
    <row r="903" spans="1:20">
      <c r="A903" s="3"/>
      <c r="B903" s="3"/>
      <c r="C903" s="2"/>
      <c r="D903" s="2"/>
      <c r="E903" s="51"/>
      <c r="F903" s="51"/>
      <c r="G903" s="51"/>
      <c r="H903" s="51"/>
      <c r="I903" s="2"/>
      <c r="J903" s="2"/>
      <c r="K903" s="2"/>
      <c r="L903" s="2"/>
      <c r="M903" s="2"/>
      <c r="N903" s="2"/>
      <c r="O903" s="2"/>
      <c r="P903" s="53"/>
      <c r="Q903" s="53"/>
      <c r="R903" s="2"/>
      <c r="S903" s="2"/>
      <c r="T903" s="2"/>
    </row>
    <row r="904" spans="1:20">
      <c r="A904" s="3"/>
      <c r="B904" s="3"/>
      <c r="C904" s="2"/>
      <c r="D904" s="2"/>
      <c r="E904" s="51"/>
      <c r="F904" s="51"/>
      <c r="G904" s="51"/>
      <c r="H904" s="51"/>
      <c r="I904" s="2"/>
      <c r="J904" s="2"/>
      <c r="K904" s="2"/>
      <c r="L904" s="2"/>
      <c r="M904" s="2"/>
      <c r="N904" s="2"/>
      <c r="O904" s="2"/>
      <c r="P904" s="53"/>
      <c r="Q904" s="53"/>
      <c r="R904" s="2"/>
      <c r="S904" s="2"/>
      <c r="T904" s="2"/>
    </row>
    <row r="905" spans="1:20">
      <c r="A905" s="3"/>
      <c r="B905" s="3"/>
      <c r="C905" s="2"/>
      <c r="D905" s="2"/>
      <c r="E905" s="51"/>
      <c r="F905" s="51"/>
      <c r="G905" s="51"/>
      <c r="H905" s="51"/>
      <c r="I905" s="2"/>
      <c r="J905" s="2"/>
      <c r="K905" s="2"/>
      <c r="L905" s="2"/>
      <c r="M905" s="2"/>
      <c r="N905" s="2"/>
      <c r="O905" s="2"/>
      <c r="P905" s="53"/>
      <c r="Q905" s="53"/>
      <c r="R905" s="2"/>
      <c r="S905" s="2"/>
      <c r="T905" s="2"/>
    </row>
    <row r="906" spans="1:20">
      <c r="A906" s="3"/>
      <c r="B906" s="3"/>
      <c r="C906" s="2"/>
      <c r="D906" s="2"/>
      <c r="E906" s="51"/>
      <c r="F906" s="51"/>
      <c r="G906" s="51"/>
      <c r="H906" s="51"/>
      <c r="I906" s="2"/>
      <c r="J906" s="2"/>
      <c r="K906" s="2"/>
      <c r="L906" s="2"/>
      <c r="M906" s="2"/>
      <c r="N906" s="2"/>
      <c r="O906" s="2"/>
      <c r="P906" s="53"/>
      <c r="Q906" s="53"/>
      <c r="R906" s="2"/>
      <c r="S906" s="2"/>
      <c r="T906" s="2"/>
    </row>
    <row r="907" spans="1:20">
      <c r="A907" s="3"/>
      <c r="B907" s="3"/>
      <c r="C907" s="2"/>
      <c r="D907" s="2"/>
      <c r="E907" s="51"/>
      <c r="F907" s="51"/>
      <c r="G907" s="51"/>
      <c r="H907" s="51"/>
      <c r="I907" s="2"/>
      <c r="J907" s="2"/>
      <c r="K907" s="2"/>
      <c r="L907" s="2"/>
      <c r="M907" s="2"/>
      <c r="N907" s="2"/>
      <c r="O907" s="2"/>
      <c r="P907" s="53"/>
      <c r="Q907" s="53"/>
      <c r="R907" s="2"/>
      <c r="S907" s="2"/>
      <c r="T907" s="2"/>
    </row>
    <row r="908" spans="1:20">
      <c r="A908" s="3"/>
      <c r="B908" s="3"/>
      <c r="C908" s="2"/>
      <c r="D908" s="2"/>
      <c r="E908" s="51"/>
      <c r="F908" s="51"/>
      <c r="G908" s="51"/>
      <c r="H908" s="51"/>
      <c r="I908" s="2"/>
      <c r="J908" s="2"/>
      <c r="K908" s="2"/>
      <c r="L908" s="2"/>
      <c r="M908" s="2"/>
      <c r="N908" s="2"/>
      <c r="O908" s="2"/>
      <c r="P908" s="53"/>
      <c r="Q908" s="53"/>
      <c r="R908" s="2"/>
      <c r="S908" s="2"/>
      <c r="T908" s="2"/>
    </row>
    <row r="909" spans="1:20">
      <c r="A909" s="3"/>
      <c r="B909" s="3"/>
      <c r="C909" s="2"/>
      <c r="D909" s="2"/>
      <c r="E909" s="51"/>
      <c r="F909" s="51"/>
      <c r="G909" s="51"/>
      <c r="H909" s="51"/>
      <c r="I909" s="2"/>
      <c r="J909" s="2"/>
      <c r="K909" s="2"/>
      <c r="L909" s="2"/>
      <c r="M909" s="2"/>
      <c r="N909" s="2"/>
      <c r="O909" s="2"/>
      <c r="P909" s="53"/>
      <c r="Q909" s="53"/>
      <c r="R909" s="2"/>
      <c r="S909" s="2"/>
      <c r="T909" s="2"/>
    </row>
    <row r="910" spans="1:20">
      <c r="A910" s="3"/>
      <c r="B910" s="3"/>
      <c r="C910" s="2"/>
      <c r="D910" s="2"/>
      <c r="E910" s="51"/>
      <c r="F910" s="51"/>
      <c r="G910" s="51"/>
      <c r="H910" s="51"/>
      <c r="I910" s="2"/>
      <c r="J910" s="2"/>
      <c r="K910" s="2"/>
      <c r="L910" s="2"/>
      <c r="M910" s="2"/>
      <c r="N910" s="2"/>
      <c r="O910" s="2"/>
      <c r="P910" s="53"/>
      <c r="Q910" s="53"/>
      <c r="R910" s="2"/>
      <c r="S910" s="2"/>
      <c r="T910" s="2"/>
    </row>
    <row r="911" spans="1:20">
      <c r="A911" s="3"/>
      <c r="B911" s="3"/>
      <c r="C911" s="2"/>
      <c r="D911" s="2"/>
      <c r="E911" s="51"/>
      <c r="F911" s="51"/>
      <c r="G911" s="51"/>
      <c r="H911" s="51"/>
      <c r="I911" s="2"/>
      <c r="J911" s="2"/>
      <c r="K911" s="2"/>
      <c r="L911" s="2"/>
      <c r="M911" s="2"/>
      <c r="N911" s="2"/>
      <c r="O911" s="2"/>
      <c r="P911" s="53"/>
      <c r="Q911" s="53"/>
      <c r="R911" s="2"/>
      <c r="S911" s="2"/>
      <c r="T911" s="2"/>
    </row>
    <row r="912" spans="1:20">
      <c r="A912" s="3"/>
      <c r="B912" s="3"/>
      <c r="C912" s="2"/>
      <c r="D912" s="2"/>
      <c r="E912" s="51"/>
      <c r="F912" s="51"/>
      <c r="G912" s="51"/>
      <c r="H912" s="51"/>
      <c r="I912" s="2"/>
      <c r="J912" s="2"/>
      <c r="K912" s="2"/>
      <c r="L912" s="2"/>
      <c r="M912" s="2"/>
      <c r="N912" s="2"/>
      <c r="O912" s="2"/>
      <c r="P912" s="53"/>
      <c r="Q912" s="53"/>
      <c r="R912" s="2"/>
      <c r="S912" s="2"/>
      <c r="T912" s="2"/>
    </row>
    <row r="913" spans="1:20">
      <c r="A913" s="3"/>
      <c r="B913" s="3"/>
      <c r="C913" s="2"/>
      <c r="D913" s="2"/>
      <c r="E913" s="51"/>
      <c r="F913" s="51"/>
      <c r="G913" s="51"/>
      <c r="H913" s="51"/>
      <c r="I913" s="2"/>
      <c r="J913" s="2"/>
      <c r="K913" s="2"/>
      <c r="L913" s="2"/>
      <c r="M913" s="2"/>
      <c r="N913" s="2"/>
      <c r="O913" s="2"/>
      <c r="P913" s="53"/>
      <c r="Q913" s="53"/>
      <c r="R913" s="2"/>
      <c r="S913" s="2"/>
      <c r="T913" s="2"/>
    </row>
    <row r="914" spans="1:20">
      <c r="A914" s="3"/>
      <c r="B914" s="3"/>
      <c r="C914" s="2"/>
      <c r="D914" s="2"/>
      <c r="E914" s="51"/>
      <c r="F914" s="51"/>
      <c r="G914" s="51"/>
      <c r="H914" s="51"/>
      <c r="I914" s="2"/>
      <c r="J914" s="2"/>
      <c r="K914" s="2"/>
      <c r="L914" s="2"/>
      <c r="M914" s="2"/>
      <c r="N914" s="2"/>
      <c r="O914" s="2"/>
      <c r="P914" s="53"/>
      <c r="Q914" s="53"/>
      <c r="R914" s="2"/>
      <c r="S914" s="2"/>
      <c r="T914" s="2"/>
    </row>
    <row r="915" spans="1:20">
      <c r="A915" s="3"/>
      <c r="B915" s="3"/>
      <c r="C915" s="2"/>
      <c r="D915" s="2"/>
      <c r="E915" s="51"/>
      <c r="F915" s="51"/>
      <c r="G915" s="51"/>
      <c r="H915" s="51"/>
      <c r="I915" s="2"/>
      <c r="J915" s="2"/>
      <c r="K915" s="2"/>
      <c r="L915" s="2"/>
      <c r="M915" s="2"/>
      <c r="N915" s="2"/>
      <c r="O915" s="2"/>
      <c r="P915" s="53"/>
      <c r="Q915" s="53"/>
      <c r="R915" s="2"/>
      <c r="S915" s="2"/>
      <c r="T915" s="2"/>
    </row>
    <row r="916" spans="1:20">
      <c r="A916" s="3"/>
      <c r="B916" s="3"/>
      <c r="C916" s="2"/>
      <c r="D916" s="2"/>
      <c r="E916" s="51"/>
      <c r="F916" s="51"/>
      <c r="G916" s="51"/>
      <c r="H916" s="51"/>
      <c r="I916" s="2"/>
      <c r="J916" s="2"/>
      <c r="K916" s="2"/>
      <c r="L916" s="2"/>
      <c r="M916" s="2"/>
      <c r="N916" s="2"/>
      <c r="O916" s="2"/>
      <c r="P916" s="53"/>
      <c r="Q916" s="53"/>
      <c r="R916" s="2"/>
      <c r="S916" s="2"/>
      <c r="T916" s="2"/>
    </row>
    <row r="917" spans="1:20">
      <c r="A917" s="3"/>
      <c r="B917" s="3"/>
      <c r="C917" s="2"/>
      <c r="D917" s="2"/>
      <c r="E917" s="51"/>
      <c r="F917" s="51"/>
      <c r="G917" s="51"/>
      <c r="H917" s="51"/>
      <c r="I917" s="2"/>
      <c r="J917" s="2"/>
      <c r="K917" s="2"/>
      <c r="L917" s="2"/>
      <c r="M917" s="2"/>
      <c r="N917" s="2"/>
      <c r="O917" s="2"/>
      <c r="P917" s="53"/>
      <c r="Q917" s="53"/>
      <c r="R917" s="2"/>
      <c r="S917" s="2"/>
      <c r="T917" s="2"/>
    </row>
    <row r="918" spans="1:20">
      <c r="A918" s="3"/>
      <c r="B918" s="3"/>
      <c r="C918" s="2"/>
      <c r="D918" s="2"/>
      <c r="E918" s="51"/>
      <c r="F918" s="51"/>
      <c r="G918" s="51"/>
      <c r="H918" s="51"/>
      <c r="I918" s="2"/>
      <c r="J918" s="2"/>
      <c r="K918" s="2"/>
      <c r="L918" s="2"/>
      <c r="M918" s="2"/>
      <c r="N918" s="2"/>
      <c r="O918" s="2"/>
      <c r="P918" s="53"/>
      <c r="Q918" s="53"/>
      <c r="R918" s="2"/>
      <c r="S918" s="2"/>
      <c r="T918" s="2"/>
    </row>
    <row r="919" spans="1:20">
      <c r="A919" s="3"/>
      <c r="B919" s="3"/>
      <c r="C919" s="2"/>
      <c r="D919" s="2"/>
      <c r="E919" s="51"/>
      <c r="F919" s="51"/>
      <c r="G919" s="51"/>
      <c r="H919" s="51"/>
      <c r="I919" s="2"/>
      <c r="J919" s="2"/>
      <c r="K919" s="2"/>
      <c r="L919" s="2"/>
      <c r="M919" s="2"/>
      <c r="N919" s="2"/>
      <c r="O919" s="2"/>
      <c r="P919" s="53"/>
      <c r="Q919" s="53"/>
      <c r="R919" s="2"/>
      <c r="S919" s="2"/>
      <c r="T919" s="2"/>
    </row>
    <row r="920" spans="1:20">
      <c r="A920" s="3"/>
      <c r="B920" s="3"/>
      <c r="C920" s="2"/>
      <c r="D920" s="2"/>
      <c r="E920" s="51"/>
      <c r="F920" s="51"/>
      <c r="G920" s="51"/>
      <c r="H920" s="51"/>
      <c r="I920" s="2"/>
      <c r="J920" s="2"/>
      <c r="K920" s="2"/>
      <c r="L920" s="2"/>
      <c r="M920" s="2"/>
      <c r="N920" s="2"/>
      <c r="O920" s="2"/>
      <c r="P920" s="53"/>
      <c r="Q920" s="53"/>
      <c r="R920" s="2"/>
      <c r="S920" s="2"/>
      <c r="T920" s="2"/>
    </row>
    <row r="921" spans="1:20">
      <c r="A921" s="3"/>
      <c r="B921" s="3"/>
      <c r="C921" s="2"/>
      <c r="D921" s="2"/>
      <c r="E921" s="51"/>
      <c r="F921" s="51"/>
      <c r="G921" s="51"/>
      <c r="H921" s="51"/>
      <c r="I921" s="2"/>
      <c r="J921" s="2"/>
      <c r="K921" s="2"/>
      <c r="L921" s="2"/>
      <c r="M921" s="2"/>
      <c r="N921" s="2"/>
      <c r="O921" s="2"/>
      <c r="P921" s="53"/>
      <c r="Q921" s="53"/>
      <c r="R921" s="2"/>
      <c r="S921" s="2"/>
      <c r="T921" s="2"/>
    </row>
    <row r="922" spans="1:20">
      <c r="A922" s="3"/>
      <c r="B922" s="3"/>
      <c r="C922" s="2"/>
      <c r="D922" s="2"/>
      <c r="E922" s="51"/>
      <c r="F922" s="51"/>
      <c r="G922" s="51"/>
      <c r="H922" s="51"/>
      <c r="I922" s="2"/>
      <c r="J922" s="2"/>
      <c r="K922" s="2"/>
      <c r="L922" s="2"/>
      <c r="M922" s="2"/>
      <c r="N922" s="2"/>
      <c r="O922" s="2"/>
      <c r="P922" s="53"/>
      <c r="Q922" s="53"/>
      <c r="R922" s="2"/>
      <c r="S922" s="2"/>
      <c r="T922" s="2"/>
    </row>
    <row r="923" spans="1:20">
      <c r="A923" s="3"/>
      <c r="B923" s="3"/>
      <c r="C923" s="2"/>
      <c r="D923" s="2"/>
      <c r="E923" s="51"/>
      <c r="F923" s="51"/>
      <c r="G923" s="51"/>
      <c r="H923" s="51"/>
      <c r="I923" s="2"/>
      <c r="J923" s="2"/>
      <c r="K923" s="2"/>
      <c r="L923" s="2"/>
      <c r="M923" s="2"/>
      <c r="N923" s="2"/>
      <c r="O923" s="2"/>
      <c r="P923" s="53"/>
      <c r="Q923" s="53"/>
      <c r="R923" s="2"/>
      <c r="S923" s="2"/>
      <c r="T923" s="2"/>
    </row>
    <row r="924" spans="1:20">
      <c r="A924" s="3"/>
      <c r="B924" s="3"/>
      <c r="C924" s="2"/>
      <c r="D924" s="2"/>
      <c r="E924" s="51"/>
      <c r="F924" s="51"/>
      <c r="G924" s="51"/>
      <c r="H924" s="51"/>
      <c r="I924" s="2"/>
      <c r="J924" s="2"/>
      <c r="K924" s="2"/>
      <c r="L924" s="2"/>
      <c r="M924" s="2"/>
      <c r="N924" s="2"/>
      <c r="O924" s="2"/>
      <c r="P924" s="53"/>
      <c r="Q924" s="53"/>
      <c r="R924" s="2"/>
      <c r="S924" s="2"/>
      <c r="T924" s="2"/>
    </row>
    <row r="925" spans="1:20">
      <c r="A925" s="3"/>
      <c r="B925" s="3"/>
      <c r="C925" s="2"/>
      <c r="D925" s="2"/>
      <c r="E925" s="51"/>
      <c r="F925" s="51"/>
      <c r="G925" s="51"/>
      <c r="H925" s="51"/>
      <c r="I925" s="2"/>
      <c r="J925" s="2"/>
      <c r="K925" s="2"/>
      <c r="L925" s="2"/>
      <c r="M925" s="2"/>
      <c r="N925" s="2"/>
      <c r="O925" s="2"/>
      <c r="P925" s="53"/>
      <c r="Q925" s="53"/>
      <c r="R925" s="2"/>
      <c r="S925" s="2"/>
      <c r="T925" s="2"/>
    </row>
    <row r="926" spans="1:20">
      <c r="A926" s="3"/>
      <c r="B926" s="3"/>
      <c r="C926" s="2"/>
      <c r="D926" s="2"/>
      <c r="E926" s="51"/>
      <c r="F926" s="51"/>
      <c r="G926" s="51"/>
      <c r="H926" s="51"/>
      <c r="I926" s="2"/>
      <c r="J926" s="2"/>
      <c r="K926" s="2"/>
      <c r="L926" s="2"/>
      <c r="M926" s="2"/>
      <c r="N926" s="2"/>
      <c r="O926" s="2"/>
      <c r="P926" s="53"/>
      <c r="Q926" s="53"/>
      <c r="R926" s="2"/>
      <c r="S926" s="2"/>
      <c r="T926" s="2"/>
    </row>
    <row r="927" spans="1:20">
      <c r="A927" s="3"/>
      <c r="B927" s="3"/>
      <c r="C927" s="2"/>
      <c r="D927" s="2"/>
      <c r="E927" s="51"/>
      <c r="F927" s="51"/>
      <c r="G927" s="51"/>
      <c r="H927" s="51"/>
      <c r="I927" s="2"/>
      <c r="J927" s="2"/>
      <c r="K927" s="2"/>
      <c r="L927" s="2"/>
      <c r="M927" s="2"/>
      <c r="N927" s="2"/>
      <c r="O927" s="2"/>
      <c r="P927" s="53"/>
      <c r="Q927" s="53"/>
      <c r="R927" s="2"/>
      <c r="S927" s="2"/>
      <c r="T927" s="2"/>
    </row>
    <row r="928" spans="1:20">
      <c r="A928" s="3"/>
      <c r="B928" s="3"/>
      <c r="C928" s="2"/>
      <c r="D928" s="2"/>
      <c r="E928" s="51"/>
      <c r="F928" s="51"/>
      <c r="G928" s="51"/>
      <c r="H928" s="51"/>
      <c r="I928" s="2"/>
      <c r="J928" s="2"/>
      <c r="K928" s="2"/>
      <c r="L928" s="2"/>
      <c r="M928" s="2"/>
      <c r="N928" s="2"/>
      <c r="O928" s="2"/>
      <c r="P928" s="53"/>
      <c r="Q928" s="53"/>
      <c r="R928" s="2"/>
      <c r="S928" s="2"/>
      <c r="T928" s="2"/>
    </row>
    <row r="929" spans="1:20">
      <c r="A929" s="3"/>
      <c r="B929" s="3"/>
      <c r="C929" s="2"/>
      <c r="D929" s="2"/>
      <c r="E929" s="51"/>
      <c r="F929" s="51"/>
      <c r="G929" s="51"/>
      <c r="H929" s="51"/>
      <c r="I929" s="2"/>
      <c r="J929" s="2"/>
      <c r="K929" s="2"/>
      <c r="L929" s="2"/>
      <c r="M929" s="2"/>
      <c r="N929" s="2"/>
      <c r="O929" s="2"/>
      <c r="P929" s="53"/>
      <c r="Q929" s="53"/>
      <c r="R929" s="2"/>
      <c r="S929" s="2"/>
      <c r="T929" s="2"/>
    </row>
    <row r="930" spans="1:20">
      <c r="A930" s="3"/>
      <c r="B930" s="3"/>
      <c r="C930" s="2"/>
      <c r="D930" s="2"/>
      <c r="E930" s="51"/>
      <c r="F930" s="51"/>
      <c r="G930" s="51"/>
      <c r="H930" s="51"/>
      <c r="I930" s="2"/>
      <c r="J930" s="2"/>
      <c r="K930" s="2"/>
      <c r="L930" s="2"/>
      <c r="M930" s="2"/>
      <c r="N930" s="2"/>
      <c r="O930" s="2"/>
      <c r="P930" s="53"/>
      <c r="Q930" s="53"/>
      <c r="R930" s="2"/>
      <c r="S930" s="2"/>
      <c r="T930" s="2"/>
    </row>
    <row r="931" spans="1:20">
      <c r="A931" s="3"/>
      <c r="B931" s="3"/>
      <c r="C931" s="2"/>
      <c r="D931" s="2"/>
      <c r="E931" s="51"/>
      <c r="F931" s="51"/>
      <c r="G931" s="51"/>
      <c r="H931" s="51"/>
      <c r="I931" s="2"/>
      <c r="J931" s="2"/>
      <c r="K931" s="2"/>
      <c r="L931" s="2"/>
      <c r="M931" s="2"/>
      <c r="N931" s="2"/>
      <c r="O931" s="2"/>
      <c r="P931" s="53"/>
      <c r="Q931" s="53"/>
      <c r="R931" s="2"/>
      <c r="S931" s="2"/>
      <c r="T931" s="2"/>
    </row>
    <row r="932" spans="1:20">
      <c r="A932" s="3"/>
      <c r="B932" s="3"/>
      <c r="C932" s="2"/>
      <c r="D932" s="2"/>
      <c r="E932" s="51"/>
      <c r="F932" s="51"/>
      <c r="G932" s="51"/>
      <c r="H932" s="51"/>
      <c r="I932" s="2"/>
      <c r="J932" s="2"/>
      <c r="K932" s="2"/>
      <c r="L932" s="2"/>
      <c r="M932" s="2"/>
      <c r="N932" s="2"/>
      <c r="O932" s="2"/>
      <c r="P932" s="53"/>
      <c r="Q932" s="53"/>
      <c r="R932" s="2"/>
      <c r="S932" s="2"/>
      <c r="T932" s="2"/>
    </row>
    <row r="933" spans="1:20">
      <c r="A933" s="3"/>
      <c r="B933" s="3"/>
      <c r="C933" s="2"/>
      <c r="D933" s="2"/>
      <c r="E933" s="51"/>
      <c r="F933" s="51"/>
      <c r="G933" s="51"/>
      <c r="H933" s="51"/>
      <c r="I933" s="2"/>
      <c r="J933" s="2"/>
      <c r="K933" s="2"/>
      <c r="L933" s="2"/>
      <c r="M933" s="2"/>
      <c r="N933" s="2"/>
      <c r="O933" s="2"/>
      <c r="P933" s="53"/>
      <c r="Q933" s="53"/>
      <c r="R933" s="2"/>
      <c r="S933" s="2"/>
      <c r="T933" s="2"/>
    </row>
    <row r="934" spans="1:20">
      <c r="A934" s="3"/>
      <c r="B934" s="3"/>
      <c r="C934" s="2"/>
      <c r="D934" s="2"/>
      <c r="E934" s="51"/>
      <c r="F934" s="51"/>
      <c r="G934" s="51"/>
      <c r="H934" s="51"/>
      <c r="I934" s="2"/>
      <c r="J934" s="2"/>
      <c r="K934" s="2"/>
      <c r="L934" s="2"/>
      <c r="M934" s="2"/>
      <c r="N934" s="2"/>
      <c r="O934" s="2"/>
      <c r="P934" s="53"/>
      <c r="Q934" s="53"/>
      <c r="R934" s="2"/>
      <c r="S934" s="2"/>
      <c r="T934" s="2"/>
    </row>
    <row r="935" spans="1:20">
      <c r="A935" s="3"/>
      <c r="B935" s="3"/>
      <c r="C935" s="2"/>
      <c r="D935" s="2"/>
      <c r="E935" s="51"/>
      <c r="F935" s="51"/>
      <c r="G935" s="51"/>
      <c r="H935" s="51"/>
      <c r="I935" s="2"/>
      <c r="J935" s="2"/>
      <c r="K935" s="2"/>
      <c r="L935" s="2"/>
      <c r="M935" s="2"/>
      <c r="N935" s="2"/>
      <c r="O935" s="2"/>
      <c r="P935" s="53"/>
      <c r="Q935" s="53"/>
      <c r="R935" s="2"/>
      <c r="S935" s="2"/>
      <c r="T935" s="2"/>
    </row>
    <row r="936" spans="1:20">
      <c r="A936" s="3"/>
      <c r="B936" s="3"/>
      <c r="C936" s="2"/>
      <c r="D936" s="2"/>
      <c r="E936" s="51"/>
      <c r="F936" s="51"/>
      <c r="G936" s="51"/>
      <c r="H936" s="51"/>
      <c r="I936" s="2"/>
      <c r="J936" s="2"/>
      <c r="K936" s="2"/>
      <c r="L936" s="2"/>
      <c r="M936" s="2"/>
      <c r="N936" s="2"/>
      <c r="O936" s="2"/>
      <c r="P936" s="53"/>
      <c r="Q936" s="53"/>
      <c r="R936" s="2"/>
      <c r="S936" s="2"/>
      <c r="T936" s="2"/>
    </row>
    <row r="937" spans="1:20">
      <c r="A937" s="3"/>
      <c r="B937" s="3"/>
      <c r="C937" s="2"/>
      <c r="D937" s="2"/>
      <c r="E937" s="51"/>
      <c r="F937" s="51"/>
      <c r="G937" s="51"/>
      <c r="H937" s="51"/>
      <c r="I937" s="2"/>
      <c r="J937" s="2"/>
      <c r="K937" s="2"/>
      <c r="L937" s="2"/>
      <c r="M937" s="2"/>
      <c r="N937" s="2"/>
      <c r="O937" s="2"/>
      <c r="P937" s="53"/>
      <c r="Q937" s="53"/>
      <c r="R937" s="2"/>
      <c r="S937" s="2"/>
      <c r="T937" s="2"/>
    </row>
    <row r="938" spans="1:20">
      <c r="A938" s="3"/>
      <c r="B938" s="3"/>
      <c r="C938" s="2"/>
      <c r="D938" s="2"/>
      <c r="E938" s="51"/>
      <c r="F938" s="51"/>
      <c r="G938" s="51"/>
      <c r="H938" s="51"/>
      <c r="I938" s="2"/>
      <c r="J938" s="2"/>
      <c r="K938" s="2"/>
      <c r="L938" s="2"/>
      <c r="M938" s="2"/>
      <c r="N938" s="2"/>
      <c r="O938" s="2"/>
      <c r="P938" s="53"/>
      <c r="Q938" s="53"/>
      <c r="R938" s="2"/>
      <c r="S938" s="2"/>
      <c r="T938" s="2"/>
    </row>
    <row r="939" spans="1:20">
      <c r="A939" s="3"/>
      <c r="B939" s="3"/>
      <c r="C939" s="2"/>
      <c r="D939" s="2"/>
      <c r="E939" s="51"/>
      <c r="F939" s="51"/>
      <c r="G939" s="51"/>
      <c r="H939" s="51"/>
      <c r="I939" s="2"/>
      <c r="J939" s="2"/>
      <c r="K939" s="2"/>
      <c r="L939" s="2"/>
      <c r="M939" s="2"/>
      <c r="N939" s="2"/>
      <c r="O939" s="2"/>
      <c r="P939" s="53"/>
      <c r="Q939" s="53"/>
      <c r="R939" s="2"/>
      <c r="S939" s="2"/>
      <c r="T939" s="2"/>
    </row>
    <row r="940" spans="1:20">
      <c r="A940" s="3"/>
      <c r="B940" s="3"/>
      <c r="C940" s="2"/>
      <c r="D940" s="2"/>
      <c r="E940" s="51"/>
      <c r="F940" s="51"/>
      <c r="G940" s="51"/>
      <c r="H940" s="51"/>
      <c r="I940" s="2"/>
      <c r="J940" s="2"/>
      <c r="K940" s="2"/>
      <c r="L940" s="2"/>
      <c r="M940" s="2"/>
      <c r="N940" s="2"/>
      <c r="O940" s="2"/>
      <c r="P940" s="53"/>
      <c r="Q940" s="53"/>
      <c r="R940" s="2"/>
      <c r="S940" s="2"/>
      <c r="T940" s="2"/>
    </row>
    <row r="941" spans="1:20">
      <c r="A941" s="3"/>
      <c r="B941" s="3"/>
      <c r="C941" s="2"/>
      <c r="D941" s="2"/>
      <c r="E941" s="51"/>
      <c r="F941" s="51"/>
      <c r="G941" s="51"/>
      <c r="H941" s="51"/>
      <c r="I941" s="2"/>
      <c r="J941" s="2"/>
      <c r="K941" s="2"/>
      <c r="L941" s="2"/>
      <c r="M941" s="2"/>
      <c r="N941" s="2"/>
      <c r="O941" s="2"/>
      <c r="P941" s="53"/>
      <c r="Q941" s="53"/>
      <c r="R941" s="2"/>
      <c r="S941" s="2"/>
      <c r="T941" s="2"/>
    </row>
    <row r="942" spans="1:20">
      <c r="A942" s="3"/>
      <c r="B942" s="3"/>
      <c r="C942" s="2"/>
      <c r="D942" s="2"/>
      <c r="E942" s="51"/>
      <c r="F942" s="51"/>
      <c r="G942" s="51"/>
      <c r="H942" s="51"/>
      <c r="I942" s="2"/>
      <c r="J942" s="2"/>
      <c r="K942" s="2"/>
      <c r="L942" s="2"/>
      <c r="M942" s="2"/>
      <c r="N942" s="2"/>
      <c r="O942" s="2"/>
      <c r="P942" s="53"/>
      <c r="Q942" s="53"/>
      <c r="R942" s="2"/>
      <c r="S942" s="2"/>
      <c r="T942" s="2"/>
    </row>
    <row r="943" spans="1:20">
      <c r="A943" s="3"/>
      <c r="B943" s="3"/>
      <c r="C943" s="2"/>
      <c r="D943" s="2"/>
      <c r="E943" s="51"/>
      <c r="F943" s="51"/>
      <c r="G943" s="51"/>
      <c r="H943" s="51"/>
      <c r="I943" s="2"/>
      <c r="J943" s="2"/>
      <c r="K943" s="2"/>
      <c r="L943" s="2"/>
      <c r="M943" s="2"/>
      <c r="N943" s="2"/>
      <c r="O943" s="2"/>
      <c r="P943" s="53"/>
      <c r="Q943" s="53"/>
      <c r="R943" s="2"/>
      <c r="S943" s="2"/>
      <c r="T943" s="2"/>
    </row>
    <row r="944" spans="1:20">
      <c r="A944" s="3"/>
      <c r="B944" s="3"/>
      <c r="C944" s="2"/>
      <c r="D944" s="2"/>
      <c r="E944" s="51"/>
      <c r="F944" s="51"/>
      <c r="G944" s="51"/>
      <c r="H944" s="51"/>
      <c r="I944" s="2"/>
      <c r="J944" s="2"/>
      <c r="K944" s="2"/>
      <c r="L944" s="2"/>
      <c r="M944" s="2"/>
      <c r="N944" s="2"/>
      <c r="O944" s="2"/>
      <c r="P944" s="53"/>
      <c r="Q944" s="53"/>
      <c r="R944" s="2"/>
      <c r="S944" s="2"/>
      <c r="T944" s="2"/>
    </row>
    <row r="945" spans="1:20">
      <c r="A945" s="3"/>
      <c r="B945" s="3"/>
      <c r="C945" s="2"/>
      <c r="D945" s="2"/>
      <c r="E945" s="51"/>
      <c r="F945" s="51"/>
      <c r="G945" s="51"/>
      <c r="H945" s="51"/>
      <c r="I945" s="2"/>
      <c r="J945" s="2"/>
      <c r="K945" s="2"/>
      <c r="L945" s="2"/>
      <c r="M945" s="2"/>
      <c r="N945" s="2"/>
      <c r="O945" s="2"/>
      <c r="P945" s="53"/>
      <c r="Q945" s="53"/>
      <c r="R945" s="2"/>
      <c r="S945" s="2"/>
      <c r="T945" s="2"/>
    </row>
    <row r="946" spans="1:20">
      <c r="A946" s="3"/>
      <c r="B946" s="3"/>
      <c r="C946" s="2"/>
      <c r="D946" s="2"/>
      <c r="E946" s="51"/>
      <c r="F946" s="51"/>
      <c r="G946" s="51"/>
      <c r="H946" s="51"/>
      <c r="I946" s="2"/>
      <c r="J946" s="2"/>
      <c r="K946" s="2"/>
      <c r="L946" s="2"/>
      <c r="M946" s="2"/>
      <c r="N946" s="2"/>
      <c r="O946" s="2"/>
      <c r="P946" s="53"/>
      <c r="Q946" s="53"/>
      <c r="R946" s="2"/>
      <c r="S946" s="2"/>
      <c r="T946" s="2"/>
    </row>
    <row r="947" spans="1:20">
      <c r="A947" s="3"/>
      <c r="B947" s="3"/>
      <c r="C947" s="2"/>
      <c r="D947" s="2"/>
      <c r="E947" s="51"/>
      <c r="F947" s="51"/>
      <c r="G947" s="51"/>
      <c r="H947" s="51"/>
      <c r="I947" s="2"/>
      <c r="J947" s="2"/>
      <c r="K947" s="2"/>
      <c r="L947" s="2"/>
      <c r="M947" s="2"/>
      <c r="N947" s="2"/>
      <c r="O947" s="2"/>
      <c r="P947" s="53"/>
      <c r="Q947" s="53"/>
      <c r="R947" s="2"/>
      <c r="S947" s="2"/>
      <c r="T947" s="2"/>
    </row>
    <row r="948" spans="1:20">
      <c r="A948" s="3"/>
      <c r="B948" s="3"/>
      <c r="C948" s="2"/>
      <c r="D948" s="2"/>
      <c r="E948" s="51"/>
      <c r="F948" s="51"/>
      <c r="G948" s="51"/>
      <c r="H948" s="51"/>
      <c r="I948" s="2"/>
      <c r="J948" s="2"/>
      <c r="K948" s="2"/>
      <c r="L948" s="2"/>
      <c r="M948" s="2"/>
      <c r="N948" s="2"/>
      <c r="O948" s="2"/>
      <c r="P948" s="53"/>
      <c r="Q948" s="53"/>
      <c r="R948" s="2"/>
      <c r="S948" s="2"/>
      <c r="T948" s="2"/>
    </row>
    <row r="949" spans="1:20">
      <c r="A949" s="3"/>
      <c r="B949" s="3"/>
      <c r="C949" s="2"/>
      <c r="D949" s="2"/>
      <c r="E949" s="51"/>
      <c r="F949" s="51"/>
      <c r="G949" s="51"/>
      <c r="H949" s="51"/>
      <c r="I949" s="2"/>
      <c r="J949" s="2"/>
      <c r="K949" s="2"/>
      <c r="L949" s="2"/>
      <c r="M949" s="2"/>
      <c r="N949" s="2"/>
      <c r="O949" s="2"/>
      <c r="P949" s="53"/>
      <c r="Q949" s="53"/>
      <c r="R949" s="2"/>
      <c r="S949" s="2"/>
      <c r="T949" s="2"/>
    </row>
    <row r="950" spans="1:20">
      <c r="A950" s="3"/>
      <c r="B950" s="3"/>
      <c r="C950" s="2"/>
      <c r="D950" s="2"/>
      <c r="E950" s="51"/>
      <c r="F950" s="51"/>
      <c r="G950" s="51"/>
      <c r="H950" s="51"/>
      <c r="I950" s="2"/>
      <c r="J950" s="2"/>
      <c r="K950" s="2"/>
      <c r="L950" s="2"/>
      <c r="M950" s="2"/>
      <c r="N950" s="2"/>
      <c r="O950" s="2"/>
      <c r="P950" s="53"/>
      <c r="Q950" s="53"/>
      <c r="R950" s="2"/>
      <c r="S950" s="2"/>
      <c r="T950" s="2"/>
    </row>
    <row r="951" spans="1:20">
      <c r="A951" s="3"/>
      <c r="B951" s="3"/>
      <c r="C951" s="2"/>
      <c r="D951" s="2"/>
      <c r="E951" s="51"/>
      <c r="F951" s="51"/>
      <c r="G951" s="51"/>
      <c r="H951" s="51"/>
      <c r="I951" s="2"/>
      <c r="J951" s="2"/>
      <c r="K951" s="2"/>
      <c r="L951" s="2"/>
      <c r="M951" s="2"/>
      <c r="N951" s="2"/>
      <c r="O951" s="2"/>
      <c r="P951" s="53"/>
      <c r="Q951" s="53"/>
      <c r="R951" s="2"/>
      <c r="S951" s="2"/>
      <c r="T951" s="2"/>
    </row>
    <row r="952" spans="1:20">
      <c r="A952" s="3"/>
      <c r="B952" s="3"/>
      <c r="C952" s="2"/>
      <c r="D952" s="2"/>
      <c r="E952" s="51"/>
      <c r="F952" s="51"/>
      <c r="G952" s="51"/>
      <c r="H952" s="51"/>
      <c r="I952" s="2"/>
      <c r="J952" s="2"/>
      <c r="K952" s="2"/>
      <c r="L952" s="2"/>
      <c r="M952" s="2"/>
      <c r="N952" s="2"/>
      <c r="O952" s="2"/>
      <c r="P952" s="53"/>
      <c r="Q952" s="53"/>
      <c r="R952" s="2"/>
      <c r="S952" s="2"/>
      <c r="T952" s="2"/>
    </row>
    <row r="953" spans="1:20">
      <c r="A953" s="3"/>
      <c r="B953" s="3"/>
      <c r="C953" s="2"/>
      <c r="D953" s="2"/>
      <c r="E953" s="51"/>
      <c r="F953" s="51"/>
      <c r="G953" s="51"/>
      <c r="H953" s="51"/>
      <c r="I953" s="2"/>
      <c r="J953" s="2"/>
      <c r="K953" s="2"/>
      <c r="L953" s="2"/>
      <c r="M953" s="2"/>
      <c r="N953" s="2"/>
      <c r="O953" s="2"/>
      <c r="P953" s="53"/>
      <c r="Q953" s="53"/>
      <c r="R953" s="2"/>
      <c r="S953" s="2"/>
      <c r="T953" s="2"/>
    </row>
    <row r="954" spans="1:20">
      <c r="A954" s="3"/>
      <c r="B954" s="3"/>
      <c r="C954" s="2"/>
      <c r="D954" s="2"/>
      <c r="E954" s="51"/>
      <c r="F954" s="51"/>
      <c r="G954" s="51"/>
      <c r="H954" s="51"/>
      <c r="I954" s="2"/>
      <c r="J954" s="2"/>
      <c r="K954" s="2"/>
      <c r="L954" s="2"/>
      <c r="M954" s="2"/>
      <c r="N954" s="2"/>
      <c r="O954" s="2"/>
      <c r="P954" s="53"/>
      <c r="Q954" s="53"/>
      <c r="R954" s="2"/>
      <c r="S954" s="2"/>
      <c r="T954" s="2"/>
    </row>
    <row r="955" spans="1:20">
      <c r="A955" s="3"/>
      <c r="B955" s="3"/>
      <c r="C955" s="2"/>
      <c r="D955" s="2"/>
      <c r="E955" s="51"/>
      <c r="F955" s="51"/>
      <c r="G955" s="51"/>
      <c r="H955" s="51"/>
      <c r="I955" s="2"/>
      <c r="J955" s="2"/>
      <c r="K955" s="2"/>
      <c r="L955" s="2"/>
      <c r="M955" s="2"/>
      <c r="N955" s="2"/>
      <c r="O955" s="2"/>
      <c r="P955" s="53"/>
      <c r="Q955" s="53"/>
      <c r="R955" s="2"/>
      <c r="S955" s="2"/>
      <c r="T955" s="2"/>
    </row>
    <row r="956" spans="1:20">
      <c r="A956" s="3"/>
      <c r="B956" s="3"/>
      <c r="C956" s="2"/>
      <c r="D956" s="2"/>
      <c r="E956" s="51"/>
      <c r="F956" s="51"/>
      <c r="G956" s="51"/>
      <c r="H956" s="51"/>
      <c r="I956" s="2"/>
      <c r="J956" s="2"/>
      <c r="K956" s="2"/>
      <c r="L956" s="2"/>
      <c r="M956" s="2"/>
      <c r="N956" s="2"/>
      <c r="O956" s="2"/>
      <c r="P956" s="53"/>
      <c r="Q956" s="53"/>
      <c r="R956" s="2"/>
      <c r="S956" s="2"/>
      <c r="T956" s="2"/>
    </row>
    <row r="957" spans="1:20">
      <c r="A957" s="3"/>
      <c r="B957" s="3"/>
      <c r="C957" s="2"/>
      <c r="D957" s="2"/>
      <c r="E957" s="51"/>
      <c r="F957" s="51"/>
      <c r="G957" s="51"/>
      <c r="H957" s="51"/>
      <c r="I957" s="2"/>
      <c r="J957" s="2"/>
      <c r="K957" s="2"/>
      <c r="L957" s="2"/>
      <c r="M957" s="2"/>
      <c r="N957" s="2"/>
      <c r="O957" s="2"/>
      <c r="P957" s="53"/>
      <c r="Q957" s="53"/>
      <c r="R957" s="2"/>
      <c r="S957" s="2"/>
      <c r="T957" s="2"/>
    </row>
    <row r="958" spans="1:20">
      <c r="A958" s="3"/>
      <c r="B958" s="3"/>
      <c r="C958" s="2"/>
      <c r="D958" s="2"/>
      <c r="E958" s="51"/>
      <c r="F958" s="51"/>
      <c r="G958" s="51"/>
      <c r="H958" s="51"/>
      <c r="I958" s="2"/>
      <c r="J958" s="2"/>
      <c r="K958" s="2"/>
      <c r="L958" s="2"/>
      <c r="M958" s="2"/>
      <c r="N958" s="2"/>
      <c r="O958" s="2"/>
      <c r="P958" s="53"/>
      <c r="Q958" s="53"/>
      <c r="R958" s="2"/>
      <c r="S958" s="2"/>
      <c r="T958" s="2"/>
    </row>
    <row r="959" spans="1:20">
      <c r="A959" s="3"/>
      <c r="B959" s="3"/>
      <c r="C959" s="2"/>
      <c r="D959" s="2"/>
      <c r="E959" s="51"/>
      <c r="F959" s="51"/>
      <c r="G959" s="51"/>
      <c r="H959" s="51"/>
      <c r="I959" s="2"/>
      <c r="J959" s="2"/>
      <c r="K959" s="2"/>
      <c r="L959" s="2"/>
      <c r="M959" s="2"/>
      <c r="N959" s="2"/>
      <c r="O959" s="2"/>
      <c r="P959" s="53"/>
      <c r="Q959" s="53"/>
      <c r="R959" s="2"/>
      <c r="S959" s="2"/>
      <c r="T959" s="2"/>
    </row>
    <row r="960" spans="1:20">
      <c r="A960" s="3"/>
      <c r="B960" s="3"/>
      <c r="C960" s="2"/>
      <c r="D960" s="2"/>
      <c r="E960" s="51"/>
      <c r="F960" s="51"/>
      <c r="G960" s="51"/>
      <c r="H960" s="51"/>
      <c r="I960" s="2"/>
      <c r="J960" s="2"/>
      <c r="K960" s="2"/>
      <c r="L960" s="2"/>
      <c r="M960" s="2"/>
      <c r="N960" s="2"/>
      <c r="O960" s="2"/>
      <c r="P960" s="53"/>
      <c r="Q960" s="53"/>
      <c r="R960" s="2"/>
      <c r="S960" s="2"/>
      <c r="T960" s="2"/>
    </row>
    <row r="961" spans="1:20">
      <c r="A961" s="3"/>
      <c r="B961" s="3"/>
      <c r="C961" s="2"/>
      <c r="D961" s="2"/>
      <c r="E961" s="51"/>
      <c r="F961" s="51"/>
      <c r="G961" s="51"/>
      <c r="H961" s="51"/>
      <c r="I961" s="2"/>
      <c r="J961" s="2"/>
      <c r="K961" s="2"/>
      <c r="L961" s="2"/>
      <c r="M961" s="2"/>
      <c r="N961" s="2"/>
      <c r="O961" s="2"/>
      <c r="P961" s="53"/>
      <c r="Q961" s="53"/>
      <c r="R961" s="2"/>
      <c r="S961" s="2"/>
      <c r="T961" s="2"/>
    </row>
    <row r="962" spans="1:20">
      <c r="A962" s="3"/>
      <c r="B962" s="3"/>
      <c r="C962" s="2"/>
      <c r="D962" s="2"/>
      <c r="E962" s="51"/>
      <c r="F962" s="51"/>
      <c r="G962" s="51"/>
      <c r="H962" s="51"/>
      <c r="I962" s="2"/>
      <c r="J962" s="2"/>
      <c r="K962" s="2"/>
      <c r="L962" s="2"/>
      <c r="M962" s="2"/>
      <c r="N962" s="2"/>
      <c r="O962" s="2"/>
      <c r="P962" s="53"/>
      <c r="Q962" s="53"/>
      <c r="R962" s="2"/>
      <c r="S962" s="2"/>
      <c r="T962" s="2"/>
    </row>
    <row r="963" spans="1:20">
      <c r="A963" s="3"/>
      <c r="B963" s="3"/>
      <c r="C963" s="2"/>
      <c r="D963" s="2"/>
      <c r="E963" s="51"/>
      <c r="F963" s="51"/>
      <c r="G963" s="51"/>
      <c r="H963" s="51"/>
      <c r="I963" s="2"/>
      <c r="J963" s="2"/>
      <c r="K963" s="2"/>
      <c r="L963" s="2"/>
      <c r="M963" s="2"/>
      <c r="N963" s="2"/>
      <c r="O963" s="2"/>
      <c r="P963" s="53"/>
      <c r="Q963" s="53"/>
      <c r="R963" s="2"/>
      <c r="S963" s="2"/>
      <c r="T963" s="2"/>
    </row>
    <row r="964" spans="1:20">
      <c r="A964" s="3"/>
      <c r="B964" s="3"/>
      <c r="C964" s="2"/>
      <c r="D964" s="2"/>
      <c r="E964" s="51"/>
      <c r="F964" s="51"/>
      <c r="G964" s="51"/>
      <c r="H964" s="51"/>
      <c r="I964" s="2"/>
      <c r="J964" s="2"/>
      <c r="K964" s="2"/>
      <c r="L964" s="2"/>
      <c r="M964" s="2"/>
      <c r="N964" s="2"/>
      <c r="O964" s="2"/>
      <c r="P964" s="53"/>
      <c r="Q964" s="53"/>
      <c r="R964" s="2"/>
      <c r="S964" s="2"/>
      <c r="T964" s="2"/>
    </row>
    <row r="965" spans="1:20">
      <c r="A965" s="3"/>
      <c r="B965" s="3"/>
      <c r="C965" s="2"/>
      <c r="D965" s="2"/>
      <c r="E965" s="51"/>
      <c r="F965" s="51"/>
      <c r="G965" s="51"/>
      <c r="H965" s="51"/>
      <c r="I965" s="2"/>
      <c r="J965" s="2"/>
      <c r="K965" s="2"/>
      <c r="L965" s="2"/>
      <c r="M965" s="2"/>
      <c r="N965" s="2"/>
      <c r="O965" s="2"/>
      <c r="P965" s="53"/>
      <c r="Q965" s="53"/>
      <c r="R965" s="2"/>
      <c r="S965" s="2"/>
      <c r="T965" s="2"/>
    </row>
    <row r="966" spans="1:20">
      <c r="A966" s="3"/>
      <c r="B966" s="3"/>
      <c r="C966" s="2"/>
      <c r="D966" s="2"/>
      <c r="E966" s="51"/>
      <c r="F966" s="51"/>
      <c r="G966" s="51"/>
      <c r="H966" s="51"/>
      <c r="I966" s="2"/>
      <c r="J966" s="2"/>
      <c r="K966" s="2"/>
      <c r="L966" s="2"/>
      <c r="M966" s="2"/>
      <c r="N966" s="2"/>
      <c r="O966" s="2"/>
      <c r="P966" s="53"/>
      <c r="Q966" s="53"/>
      <c r="R966" s="2"/>
      <c r="S966" s="2"/>
      <c r="T966" s="2"/>
    </row>
    <row r="967" spans="1:20">
      <c r="A967" s="3"/>
      <c r="B967" s="3"/>
      <c r="C967" s="2"/>
      <c r="D967" s="2"/>
      <c r="E967" s="51"/>
      <c r="F967" s="51"/>
      <c r="G967" s="51"/>
      <c r="H967" s="51"/>
      <c r="I967" s="2"/>
      <c r="J967" s="2"/>
      <c r="K967" s="2"/>
      <c r="L967" s="2"/>
      <c r="M967" s="2"/>
      <c r="N967" s="2"/>
      <c r="O967" s="2"/>
      <c r="P967" s="53"/>
      <c r="Q967" s="53"/>
      <c r="R967" s="2"/>
      <c r="S967" s="2"/>
      <c r="T967" s="2"/>
    </row>
    <row r="968" spans="1:20">
      <c r="A968" s="3"/>
      <c r="B968" s="3"/>
      <c r="C968" s="2"/>
      <c r="D968" s="2"/>
      <c r="E968" s="51"/>
      <c r="F968" s="51"/>
      <c r="G968" s="51"/>
      <c r="H968" s="51"/>
      <c r="I968" s="2"/>
      <c r="J968" s="2"/>
      <c r="K968" s="2"/>
      <c r="L968" s="2"/>
      <c r="M968" s="2"/>
      <c r="N968" s="2"/>
      <c r="O968" s="2"/>
      <c r="P968" s="53"/>
      <c r="Q968" s="53"/>
      <c r="R968" s="2"/>
      <c r="S968" s="2"/>
      <c r="T968" s="2"/>
    </row>
    <row r="969" spans="1:20">
      <c r="A969" s="3"/>
      <c r="B969" s="3"/>
      <c r="C969" s="2"/>
      <c r="D969" s="2"/>
      <c r="E969" s="51"/>
      <c r="F969" s="51"/>
      <c r="G969" s="51"/>
      <c r="H969" s="51"/>
      <c r="I969" s="2"/>
      <c r="J969" s="2"/>
      <c r="K969" s="2"/>
      <c r="L969" s="2"/>
      <c r="M969" s="2"/>
      <c r="N969" s="2"/>
      <c r="O969" s="2"/>
      <c r="P969" s="53"/>
      <c r="Q969" s="53"/>
      <c r="R969" s="2"/>
      <c r="S969" s="2"/>
      <c r="T969" s="2"/>
    </row>
    <row r="970" spans="1:20">
      <c r="A970" s="3"/>
      <c r="B970" s="3"/>
      <c r="C970" s="2"/>
      <c r="D970" s="2"/>
      <c r="E970" s="51"/>
      <c r="F970" s="51"/>
      <c r="G970" s="51"/>
      <c r="H970" s="51"/>
      <c r="I970" s="2"/>
      <c r="J970" s="2"/>
      <c r="K970" s="2"/>
      <c r="L970" s="2"/>
      <c r="M970" s="2"/>
      <c r="N970" s="2"/>
      <c r="O970" s="2"/>
      <c r="P970" s="53"/>
      <c r="Q970" s="53"/>
      <c r="R970" s="2"/>
      <c r="S970" s="2"/>
      <c r="T970" s="2"/>
    </row>
    <row r="971" spans="1:20">
      <c r="A971" s="3"/>
      <c r="B971" s="3"/>
      <c r="C971" s="2"/>
      <c r="D971" s="2"/>
      <c r="E971" s="51"/>
      <c r="F971" s="51"/>
      <c r="G971" s="51"/>
      <c r="H971" s="51"/>
      <c r="I971" s="2"/>
      <c r="J971" s="2"/>
      <c r="K971" s="2"/>
      <c r="L971" s="2"/>
      <c r="M971" s="2"/>
      <c r="N971" s="2"/>
      <c r="O971" s="2"/>
      <c r="P971" s="53"/>
      <c r="Q971" s="53"/>
      <c r="R971" s="2"/>
      <c r="S971" s="2"/>
      <c r="T971" s="2"/>
    </row>
    <row r="972" spans="1:20">
      <c r="A972" s="3"/>
      <c r="B972" s="3"/>
      <c r="C972" s="2"/>
      <c r="D972" s="2"/>
      <c r="E972" s="51"/>
      <c r="F972" s="51"/>
      <c r="G972" s="51"/>
      <c r="H972" s="51"/>
      <c r="I972" s="2"/>
      <c r="J972" s="2"/>
      <c r="K972" s="2"/>
      <c r="L972" s="2"/>
      <c r="M972" s="2"/>
      <c r="N972" s="2"/>
      <c r="O972" s="2"/>
      <c r="P972" s="53"/>
      <c r="Q972" s="53"/>
      <c r="R972" s="2"/>
      <c r="S972" s="2"/>
      <c r="T972" s="2"/>
    </row>
    <row r="973" spans="1:20">
      <c r="A973" s="3"/>
      <c r="B973" s="3"/>
      <c r="C973" s="2"/>
      <c r="D973" s="2"/>
      <c r="E973" s="51"/>
      <c r="F973" s="51"/>
      <c r="G973" s="51"/>
      <c r="H973" s="51"/>
      <c r="I973" s="2"/>
      <c r="J973" s="2"/>
      <c r="K973" s="2"/>
      <c r="L973" s="2"/>
      <c r="M973" s="2"/>
      <c r="N973" s="2"/>
      <c r="O973" s="2"/>
      <c r="P973" s="53"/>
      <c r="Q973" s="53"/>
      <c r="R973" s="2"/>
      <c r="S973" s="2"/>
      <c r="T973" s="2"/>
    </row>
    <row r="974" spans="1:20">
      <c r="A974" s="3"/>
      <c r="B974" s="3"/>
      <c r="C974" s="2"/>
      <c r="D974" s="2"/>
      <c r="E974" s="51"/>
      <c r="F974" s="51"/>
      <c r="G974" s="51"/>
      <c r="H974" s="51"/>
      <c r="I974" s="2"/>
      <c r="J974" s="2"/>
      <c r="K974" s="2"/>
      <c r="L974" s="2"/>
      <c r="M974" s="2"/>
      <c r="N974" s="2"/>
      <c r="O974" s="2"/>
      <c r="P974" s="53"/>
      <c r="Q974" s="53"/>
      <c r="R974" s="2"/>
      <c r="S974" s="2"/>
      <c r="T974" s="2"/>
    </row>
    <row r="975" spans="1:20">
      <c r="A975" s="3"/>
      <c r="B975" s="3"/>
      <c r="C975" s="2"/>
      <c r="D975" s="2"/>
      <c r="E975" s="51"/>
      <c r="F975" s="51"/>
      <c r="G975" s="51"/>
      <c r="H975" s="51"/>
      <c r="I975" s="2"/>
      <c r="J975" s="2"/>
      <c r="K975" s="2"/>
      <c r="L975" s="2"/>
      <c r="M975" s="2"/>
      <c r="N975" s="2"/>
      <c r="O975" s="2"/>
      <c r="P975" s="53"/>
      <c r="Q975" s="53"/>
      <c r="R975" s="2"/>
      <c r="S975" s="2"/>
      <c r="T975" s="2"/>
    </row>
    <row r="976" spans="1:20">
      <c r="A976" s="3"/>
      <c r="B976" s="3"/>
      <c r="C976" s="2"/>
      <c r="D976" s="2"/>
      <c r="E976" s="51"/>
      <c r="F976" s="51"/>
      <c r="G976" s="51"/>
      <c r="H976" s="51"/>
      <c r="I976" s="2"/>
      <c r="J976" s="2"/>
      <c r="K976" s="2"/>
      <c r="L976" s="2"/>
      <c r="M976" s="2"/>
      <c r="N976" s="2"/>
      <c r="O976" s="2"/>
      <c r="P976" s="53"/>
      <c r="Q976" s="53"/>
      <c r="R976" s="2"/>
      <c r="S976" s="2"/>
      <c r="T976" s="2"/>
    </row>
    <row r="977" spans="1:20">
      <c r="A977" s="3"/>
      <c r="B977" s="3"/>
      <c r="C977" s="2"/>
      <c r="D977" s="2"/>
      <c r="E977" s="51"/>
      <c r="F977" s="51"/>
      <c r="G977" s="51"/>
      <c r="H977" s="51"/>
      <c r="I977" s="2"/>
      <c r="J977" s="2"/>
      <c r="K977" s="2"/>
      <c r="L977" s="2"/>
      <c r="M977" s="2"/>
      <c r="N977" s="2"/>
      <c r="O977" s="2"/>
      <c r="P977" s="53"/>
      <c r="Q977" s="53"/>
      <c r="R977" s="2"/>
      <c r="S977" s="2"/>
      <c r="T977" s="2"/>
    </row>
    <row r="978" spans="1:20">
      <c r="A978" s="3"/>
      <c r="B978" s="3"/>
      <c r="C978" s="2"/>
      <c r="D978" s="2"/>
      <c r="E978" s="51"/>
      <c r="F978" s="51"/>
      <c r="G978" s="51"/>
      <c r="H978" s="51"/>
      <c r="I978" s="2"/>
      <c r="J978" s="2"/>
      <c r="K978" s="2"/>
      <c r="L978" s="2"/>
      <c r="M978" s="2"/>
      <c r="N978" s="2"/>
      <c r="O978" s="2"/>
      <c r="P978" s="53"/>
      <c r="Q978" s="53"/>
      <c r="R978" s="2"/>
      <c r="S978" s="2"/>
      <c r="T978" s="2"/>
    </row>
    <row r="979" spans="1:20">
      <c r="A979" s="3"/>
      <c r="B979" s="3"/>
      <c r="C979" s="2"/>
      <c r="D979" s="2"/>
      <c r="E979" s="51"/>
      <c r="F979" s="51"/>
      <c r="G979" s="51"/>
      <c r="H979" s="51"/>
      <c r="I979" s="2"/>
      <c r="J979" s="2"/>
      <c r="K979" s="2"/>
      <c r="L979" s="2"/>
      <c r="M979" s="2"/>
      <c r="N979" s="2"/>
      <c r="O979" s="2"/>
      <c r="P979" s="53"/>
      <c r="Q979" s="53"/>
      <c r="R979" s="2"/>
      <c r="S979" s="2"/>
      <c r="T979" s="2"/>
    </row>
    <row r="980" spans="1:20">
      <c r="A980" s="3"/>
      <c r="B980" s="3"/>
      <c r="C980" s="2"/>
      <c r="D980" s="2"/>
      <c r="E980" s="51"/>
      <c r="F980" s="51"/>
      <c r="G980" s="51"/>
      <c r="H980" s="51"/>
      <c r="I980" s="2"/>
      <c r="J980" s="2"/>
      <c r="K980" s="2"/>
      <c r="L980" s="2"/>
      <c r="M980" s="2"/>
      <c r="N980" s="2"/>
      <c r="O980" s="2"/>
      <c r="P980" s="53"/>
      <c r="Q980" s="53"/>
      <c r="R980" s="2"/>
      <c r="S980" s="2"/>
      <c r="T980" s="2"/>
    </row>
    <row r="981" spans="1:20">
      <c r="A981" s="3"/>
      <c r="B981" s="3"/>
      <c r="C981" s="2"/>
      <c r="D981" s="2"/>
      <c r="E981" s="51"/>
      <c r="F981" s="51"/>
      <c r="G981" s="51"/>
      <c r="H981" s="51"/>
      <c r="I981" s="2"/>
      <c r="J981" s="2"/>
      <c r="K981" s="2"/>
      <c r="L981" s="2"/>
      <c r="M981" s="2"/>
      <c r="N981" s="2"/>
      <c r="O981" s="2"/>
      <c r="P981" s="53"/>
      <c r="Q981" s="53"/>
      <c r="R981" s="2"/>
      <c r="S981" s="2"/>
      <c r="T981" s="2"/>
    </row>
    <row r="982" spans="1:20">
      <c r="A982" s="3"/>
      <c r="B982" s="3"/>
      <c r="C982" s="2"/>
      <c r="D982" s="2"/>
      <c r="E982" s="51"/>
      <c r="F982" s="51"/>
      <c r="G982" s="51"/>
      <c r="H982" s="51"/>
      <c r="I982" s="2"/>
      <c r="J982" s="2"/>
      <c r="K982" s="2"/>
      <c r="L982" s="2"/>
      <c r="M982" s="2"/>
      <c r="N982" s="2"/>
      <c r="O982" s="2"/>
      <c r="P982" s="53"/>
      <c r="Q982" s="53"/>
      <c r="R982" s="2"/>
      <c r="S982" s="2"/>
      <c r="T982" s="2"/>
    </row>
    <row r="983" spans="1:20">
      <c r="A983" s="3"/>
      <c r="B983" s="3"/>
      <c r="C983" s="2"/>
      <c r="D983" s="2"/>
      <c r="E983" s="51"/>
      <c r="F983" s="51"/>
      <c r="G983" s="51"/>
      <c r="H983" s="51"/>
      <c r="I983" s="2"/>
      <c r="J983" s="2"/>
      <c r="K983" s="2"/>
      <c r="L983" s="2"/>
      <c r="M983" s="2"/>
      <c r="N983" s="2"/>
      <c r="O983" s="2"/>
      <c r="P983" s="53"/>
      <c r="Q983" s="53"/>
      <c r="R983" s="2"/>
      <c r="S983" s="2"/>
      <c r="T983" s="2"/>
    </row>
    <row r="984" spans="1:20">
      <c r="A984" s="3"/>
      <c r="B984" s="3"/>
      <c r="C984" s="2"/>
      <c r="D984" s="2"/>
      <c r="E984" s="51"/>
      <c r="F984" s="51"/>
      <c r="G984" s="51"/>
      <c r="H984" s="51"/>
      <c r="I984" s="2"/>
      <c r="J984" s="2"/>
      <c r="K984" s="2"/>
      <c r="L984" s="2"/>
      <c r="M984" s="2"/>
      <c r="N984" s="2"/>
      <c r="O984" s="2"/>
      <c r="P984" s="53"/>
      <c r="Q984" s="53"/>
      <c r="R984" s="2"/>
      <c r="S984" s="2"/>
      <c r="T984" s="2"/>
    </row>
    <row r="985" spans="1:20">
      <c r="A985" s="3"/>
      <c r="B985" s="3"/>
      <c r="C985" s="2"/>
      <c r="D985" s="2"/>
      <c r="E985" s="51"/>
      <c r="F985" s="51"/>
      <c r="G985" s="51"/>
      <c r="H985" s="51"/>
      <c r="I985" s="2"/>
      <c r="J985" s="2"/>
      <c r="K985" s="2"/>
      <c r="L985" s="2"/>
      <c r="M985" s="2"/>
      <c r="N985" s="2"/>
      <c r="O985" s="2"/>
      <c r="P985" s="53"/>
      <c r="Q985" s="53"/>
      <c r="R985" s="2"/>
      <c r="S985" s="2"/>
      <c r="T985" s="2"/>
    </row>
    <row r="986" spans="1:20">
      <c r="A986" s="3"/>
      <c r="B986" s="3"/>
      <c r="C986" s="2"/>
      <c r="D986" s="2"/>
      <c r="E986" s="51"/>
      <c r="F986" s="51"/>
      <c r="G986" s="51"/>
      <c r="H986" s="51"/>
      <c r="I986" s="2"/>
      <c r="J986" s="2"/>
      <c r="K986" s="2"/>
      <c r="L986" s="2"/>
      <c r="M986" s="2"/>
      <c r="N986" s="2"/>
      <c r="O986" s="2"/>
      <c r="P986" s="53"/>
      <c r="Q986" s="53"/>
      <c r="R986" s="2"/>
      <c r="S986" s="2"/>
      <c r="T986" s="2"/>
    </row>
    <row r="987" spans="1:20">
      <c r="A987" s="3"/>
      <c r="B987" s="3"/>
      <c r="C987" s="2"/>
      <c r="D987" s="2"/>
      <c r="E987" s="51"/>
      <c r="F987" s="51"/>
      <c r="G987" s="51"/>
      <c r="H987" s="51"/>
      <c r="I987" s="2"/>
      <c r="J987" s="2"/>
      <c r="K987" s="2"/>
      <c r="L987" s="2"/>
      <c r="M987" s="2"/>
      <c r="N987" s="2"/>
      <c r="O987" s="2"/>
      <c r="P987" s="53"/>
      <c r="Q987" s="53"/>
      <c r="R987" s="2"/>
      <c r="S987" s="2"/>
      <c r="T987" s="2"/>
    </row>
    <row r="988" spans="1:20">
      <c r="A988" s="3"/>
      <c r="B988" s="3"/>
      <c r="C988" s="2"/>
      <c r="D988" s="2"/>
      <c r="E988" s="51"/>
      <c r="F988" s="51"/>
      <c r="G988" s="51"/>
      <c r="H988" s="51"/>
      <c r="I988" s="2"/>
      <c r="J988" s="2"/>
      <c r="K988" s="2"/>
      <c r="L988" s="2"/>
      <c r="M988" s="2"/>
      <c r="N988" s="2"/>
      <c r="O988" s="2"/>
      <c r="P988" s="53"/>
      <c r="Q988" s="53"/>
      <c r="R988" s="2"/>
      <c r="S988" s="2"/>
      <c r="T988" s="2"/>
    </row>
    <row r="989" spans="1:20">
      <c r="A989" s="3"/>
      <c r="B989" s="3"/>
      <c r="C989" s="2"/>
      <c r="D989" s="2"/>
      <c r="E989" s="51"/>
      <c r="F989" s="51"/>
      <c r="G989" s="51"/>
      <c r="H989" s="51"/>
      <c r="I989" s="2"/>
      <c r="J989" s="2"/>
      <c r="K989" s="2"/>
      <c r="L989" s="2"/>
      <c r="M989" s="2"/>
      <c r="N989" s="2"/>
      <c r="O989" s="2"/>
      <c r="P989" s="53"/>
      <c r="Q989" s="53"/>
      <c r="R989" s="2"/>
      <c r="S989" s="2"/>
      <c r="T989" s="2"/>
    </row>
    <row r="990" spans="1:20">
      <c r="A990" s="3"/>
      <c r="B990" s="3"/>
      <c r="C990" s="2"/>
      <c r="D990" s="2"/>
      <c r="E990" s="51"/>
      <c r="F990" s="51"/>
      <c r="G990" s="51"/>
      <c r="H990" s="51"/>
      <c r="I990" s="2"/>
      <c r="J990" s="2"/>
      <c r="K990" s="2"/>
      <c r="L990" s="2"/>
      <c r="M990" s="2"/>
      <c r="N990" s="2"/>
      <c r="O990" s="2"/>
      <c r="P990" s="53"/>
      <c r="Q990" s="53"/>
      <c r="R990" s="2"/>
      <c r="S990" s="2"/>
      <c r="T990" s="2"/>
    </row>
    <row r="991" spans="1:20">
      <c r="A991" s="3"/>
      <c r="B991" s="3"/>
      <c r="C991" s="2"/>
      <c r="D991" s="2"/>
      <c r="E991" s="51"/>
      <c r="F991" s="51"/>
      <c r="G991" s="51"/>
      <c r="H991" s="51"/>
      <c r="I991" s="2"/>
      <c r="J991" s="2"/>
      <c r="K991" s="2"/>
      <c r="L991" s="2"/>
      <c r="M991" s="2"/>
      <c r="N991" s="2"/>
      <c r="O991" s="2"/>
      <c r="P991" s="53"/>
      <c r="Q991" s="53"/>
      <c r="R991" s="2"/>
      <c r="S991" s="2"/>
      <c r="T991" s="2"/>
    </row>
    <row r="992" spans="1:20">
      <c r="A992" s="3"/>
      <c r="B992" s="3"/>
      <c r="C992" s="2"/>
      <c r="D992" s="2"/>
      <c r="E992" s="51"/>
      <c r="F992" s="51"/>
      <c r="G992" s="51"/>
      <c r="H992" s="51"/>
      <c r="I992" s="2"/>
      <c r="J992" s="2"/>
      <c r="K992" s="2"/>
      <c r="L992" s="2"/>
      <c r="M992" s="2"/>
      <c r="N992" s="2"/>
      <c r="O992" s="2"/>
      <c r="P992" s="53"/>
      <c r="Q992" s="53"/>
      <c r="R992" s="2"/>
      <c r="S992" s="2"/>
      <c r="T992" s="2"/>
    </row>
    <row r="993" spans="1:20">
      <c r="A993" s="3"/>
      <c r="B993" s="3"/>
      <c r="C993" s="2"/>
      <c r="D993" s="2"/>
      <c r="E993" s="51"/>
      <c r="F993" s="51"/>
      <c r="G993" s="51"/>
      <c r="H993" s="51"/>
      <c r="I993" s="2"/>
      <c r="J993" s="2"/>
      <c r="K993" s="2"/>
      <c r="L993" s="2"/>
      <c r="M993" s="2"/>
      <c r="N993" s="2"/>
      <c r="O993" s="2"/>
      <c r="P993" s="53"/>
      <c r="Q993" s="53"/>
      <c r="R993" s="2"/>
      <c r="S993" s="2"/>
      <c r="T993" s="2"/>
    </row>
    <row r="994" spans="1:20">
      <c r="A994" s="3"/>
      <c r="B994" s="3"/>
      <c r="C994" s="2"/>
      <c r="D994" s="2"/>
      <c r="E994" s="51"/>
      <c r="F994" s="51"/>
      <c r="G994" s="51"/>
      <c r="H994" s="51"/>
      <c r="I994" s="2"/>
      <c r="J994" s="2"/>
      <c r="K994" s="2"/>
      <c r="L994" s="2"/>
      <c r="M994" s="2"/>
      <c r="N994" s="2"/>
      <c r="O994" s="2"/>
      <c r="P994" s="53"/>
      <c r="Q994" s="53"/>
      <c r="R994" s="2"/>
      <c r="S994" s="2"/>
      <c r="T994" s="2"/>
    </row>
    <row r="995" spans="1:20">
      <c r="A995" s="3"/>
      <c r="B995" s="3"/>
      <c r="C995" s="2"/>
      <c r="D995" s="2"/>
      <c r="E995" s="51"/>
      <c r="F995" s="51"/>
      <c r="G995" s="51"/>
      <c r="H995" s="51"/>
      <c r="I995" s="2"/>
      <c r="J995" s="2"/>
      <c r="K995" s="2"/>
      <c r="L995" s="2"/>
      <c r="M995" s="2"/>
      <c r="N995" s="2"/>
      <c r="O995" s="2"/>
      <c r="P995" s="53"/>
      <c r="Q995" s="53"/>
      <c r="R995" s="2"/>
      <c r="S995" s="2"/>
      <c r="T995" s="2"/>
    </row>
    <row r="996" spans="1:20">
      <c r="A996" s="3"/>
      <c r="B996" s="3"/>
      <c r="C996" s="2"/>
      <c r="D996" s="2"/>
      <c r="E996" s="51"/>
      <c r="F996" s="51"/>
      <c r="G996" s="51"/>
      <c r="H996" s="51"/>
      <c r="I996" s="2"/>
      <c r="J996" s="2"/>
      <c r="K996" s="2"/>
      <c r="L996" s="2"/>
      <c r="M996" s="2"/>
      <c r="N996" s="2"/>
      <c r="O996" s="2"/>
      <c r="P996" s="53"/>
      <c r="Q996" s="53"/>
      <c r="R996" s="2"/>
      <c r="S996" s="2"/>
      <c r="T996" s="2"/>
    </row>
    <row r="997" spans="1:20">
      <c r="A997" s="3"/>
      <c r="B997" s="3"/>
      <c r="C997" s="2"/>
      <c r="D997" s="2"/>
      <c r="E997" s="51"/>
      <c r="F997" s="51"/>
      <c r="G997" s="51"/>
      <c r="H997" s="51"/>
      <c r="I997" s="2"/>
      <c r="J997" s="2"/>
      <c r="K997" s="2"/>
      <c r="L997" s="2"/>
      <c r="M997" s="2"/>
      <c r="N997" s="2"/>
      <c r="O997" s="2"/>
      <c r="P997" s="53"/>
      <c r="Q997" s="53"/>
      <c r="R997" s="2"/>
      <c r="S997" s="2"/>
      <c r="T997" s="2"/>
    </row>
    <row r="998" spans="1:20">
      <c r="A998" s="3"/>
      <c r="B998" s="3"/>
      <c r="C998" s="2"/>
      <c r="D998" s="2"/>
      <c r="E998" s="51"/>
      <c r="F998" s="51"/>
      <c r="G998" s="51"/>
      <c r="H998" s="51"/>
      <c r="I998" s="2"/>
      <c r="J998" s="2"/>
      <c r="K998" s="2"/>
      <c r="L998" s="2"/>
      <c r="M998" s="2"/>
      <c r="N998" s="2"/>
      <c r="O998" s="2"/>
      <c r="P998" s="53"/>
      <c r="Q998" s="53"/>
      <c r="R998" s="2"/>
      <c r="S998" s="2"/>
      <c r="T998" s="2"/>
    </row>
    <row r="999" spans="1:20">
      <c r="A999" s="3"/>
      <c r="B999" s="3"/>
      <c r="C999" s="2"/>
      <c r="D999" s="2"/>
      <c r="E999" s="51"/>
      <c r="F999" s="51"/>
      <c r="G999" s="51"/>
      <c r="H999" s="51"/>
      <c r="I999" s="2"/>
      <c r="J999" s="2"/>
      <c r="K999" s="2"/>
      <c r="L999" s="2"/>
      <c r="M999" s="2"/>
      <c r="N999" s="2"/>
      <c r="O999" s="2"/>
      <c r="P999" s="53"/>
      <c r="Q999" s="53"/>
      <c r="R999" s="2"/>
      <c r="S999" s="2"/>
      <c r="T999" s="2"/>
    </row>
    <row r="1000" spans="1:20">
      <c r="A1000" s="3"/>
      <c r="B1000" s="3"/>
      <c r="C1000" s="2"/>
      <c r="D1000" s="2"/>
      <c r="E1000" s="51"/>
      <c r="F1000" s="51"/>
      <c r="G1000" s="51"/>
      <c r="H1000" s="51"/>
      <c r="I1000" s="2"/>
      <c r="J1000" s="2"/>
      <c r="K1000" s="2"/>
      <c r="L1000" s="2"/>
      <c r="M1000" s="2"/>
      <c r="N1000" s="2"/>
      <c r="O1000" s="2"/>
      <c r="P1000" s="53"/>
      <c r="Q1000" s="53"/>
      <c r="R1000" s="2"/>
      <c r="S1000" s="2"/>
      <c r="T1000" s="2"/>
    </row>
    <row r="1001" spans="1:20">
      <c r="A1001" s="3"/>
      <c r="B1001" s="3"/>
      <c r="C1001" s="2"/>
      <c r="D1001" s="2"/>
      <c r="E1001" s="51"/>
      <c r="F1001" s="51"/>
      <c r="G1001" s="51"/>
      <c r="H1001" s="51"/>
      <c r="I1001" s="2"/>
      <c r="J1001" s="2"/>
      <c r="K1001" s="2"/>
      <c r="L1001" s="2"/>
      <c r="M1001" s="2"/>
      <c r="N1001" s="2"/>
      <c r="O1001" s="2"/>
      <c r="P1001" s="53"/>
      <c r="Q1001" s="53"/>
      <c r="R1001" s="2"/>
      <c r="S1001" s="2"/>
      <c r="T1001" s="2"/>
    </row>
    <row r="1002" spans="1:20">
      <c r="A1002" s="3"/>
      <c r="B1002" s="3"/>
      <c r="C1002" s="2"/>
      <c r="D1002" s="2"/>
      <c r="E1002" s="51"/>
      <c r="F1002" s="51"/>
      <c r="G1002" s="51"/>
      <c r="H1002" s="51"/>
      <c r="I1002" s="2"/>
      <c r="J1002" s="2"/>
      <c r="K1002" s="2"/>
      <c r="L1002" s="2"/>
      <c r="M1002" s="2"/>
      <c r="N1002" s="2"/>
      <c r="O1002" s="2"/>
      <c r="P1002" s="53"/>
      <c r="Q1002" s="53"/>
      <c r="R1002" s="2"/>
      <c r="S1002" s="2"/>
      <c r="T1002" s="2"/>
    </row>
    <row r="1003" spans="1:20">
      <c r="A1003" s="3"/>
      <c r="B1003" s="3"/>
      <c r="C1003" s="2"/>
      <c r="D1003" s="2"/>
      <c r="E1003" s="51"/>
      <c r="F1003" s="51"/>
      <c r="G1003" s="51"/>
      <c r="H1003" s="51"/>
      <c r="I1003" s="2"/>
      <c r="J1003" s="2"/>
      <c r="K1003" s="2"/>
      <c r="L1003" s="2"/>
      <c r="M1003" s="2"/>
      <c r="N1003" s="2"/>
      <c r="O1003" s="2"/>
      <c r="P1003" s="53"/>
      <c r="Q1003" s="53"/>
      <c r="R1003" s="2"/>
      <c r="S1003" s="2"/>
      <c r="T1003" s="2"/>
    </row>
    <row r="1004" spans="1:20">
      <c r="A1004" s="3"/>
      <c r="B1004" s="3"/>
      <c r="C1004" s="2"/>
      <c r="D1004" s="2"/>
      <c r="E1004" s="51"/>
      <c r="F1004" s="51"/>
      <c r="G1004" s="51"/>
      <c r="H1004" s="51"/>
      <c r="I1004" s="2"/>
      <c r="J1004" s="2"/>
      <c r="K1004" s="2"/>
      <c r="L1004" s="2"/>
      <c r="M1004" s="2"/>
      <c r="N1004" s="2"/>
      <c r="O1004" s="2"/>
      <c r="P1004" s="53"/>
      <c r="Q1004" s="53"/>
      <c r="R1004" s="2"/>
      <c r="S1004" s="2"/>
      <c r="T1004" s="2"/>
    </row>
    <row r="1005" spans="1:20">
      <c r="A1005" s="3"/>
      <c r="B1005" s="3"/>
      <c r="C1005" s="2"/>
      <c r="D1005" s="2"/>
      <c r="E1005" s="51"/>
      <c r="F1005" s="51"/>
      <c r="G1005" s="51"/>
      <c r="H1005" s="51"/>
      <c r="I1005" s="2"/>
      <c r="J1005" s="2"/>
      <c r="K1005" s="2"/>
      <c r="L1005" s="2"/>
      <c r="M1005" s="2"/>
      <c r="N1005" s="2"/>
      <c r="O1005" s="2"/>
      <c r="P1005" s="53"/>
      <c r="Q1005" s="53"/>
      <c r="R1005" s="2"/>
      <c r="S1005" s="2"/>
      <c r="T1005" s="2"/>
    </row>
    <row r="1006" spans="1:20">
      <c r="A1006" s="3"/>
      <c r="B1006" s="3"/>
      <c r="C1006" s="2"/>
      <c r="D1006" s="2"/>
      <c r="E1006" s="51"/>
      <c r="F1006" s="51"/>
      <c r="G1006" s="51"/>
      <c r="H1006" s="51"/>
      <c r="I1006" s="2"/>
      <c r="J1006" s="2"/>
      <c r="K1006" s="2"/>
      <c r="L1006" s="2"/>
      <c r="M1006" s="2"/>
      <c r="N1006" s="2"/>
      <c r="O1006" s="2"/>
      <c r="P1006" s="53"/>
      <c r="Q1006" s="53"/>
      <c r="R1006" s="2"/>
      <c r="S1006" s="2"/>
      <c r="T1006" s="2"/>
    </row>
    <row r="1007" spans="1:20">
      <c r="A1007" s="3"/>
      <c r="B1007" s="3"/>
      <c r="C1007" s="2"/>
      <c r="D1007" s="2"/>
      <c r="E1007" s="51"/>
      <c r="F1007" s="51"/>
      <c r="G1007" s="51"/>
      <c r="H1007" s="51"/>
      <c r="I1007" s="2"/>
      <c r="J1007" s="2"/>
      <c r="K1007" s="2"/>
      <c r="L1007" s="2"/>
      <c r="M1007" s="2"/>
      <c r="N1007" s="2"/>
      <c r="O1007" s="2"/>
      <c r="P1007" s="53"/>
      <c r="Q1007" s="53"/>
      <c r="R1007" s="2"/>
      <c r="S1007" s="2"/>
      <c r="T1007" s="2"/>
    </row>
    <row r="1008" spans="1:20">
      <c r="A1008" s="3"/>
      <c r="B1008" s="3"/>
      <c r="C1008" s="2"/>
      <c r="D1008" s="2"/>
      <c r="E1008" s="51"/>
      <c r="F1008" s="51"/>
      <c r="G1008" s="51"/>
      <c r="H1008" s="51"/>
      <c r="I1008" s="2"/>
      <c r="J1008" s="2"/>
      <c r="K1008" s="2"/>
      <c r="L1008" s="2"/>
      <c r="M1008" s="2"/>
      <c r="N1008" s="2"/>
      <c r="O1008" s="2"/>
      <c r="P1008" s="53"/>
      <c r="Q1008" s="53"/>
      <c r="R1008" s="2"/>
      <c r="S1008" s="2"/>
      <c r="T1008" s="2"/>
    </row>
    <row r="1009" spans="1:20">
      <c r="A1009" s="3"/>
      <c r="B1009" s="3"/>
      <c r="C1009" s="2"/>
      <c r="D1009" s="2"/>
      <c r="E1009" s="51"/>
      <c r="F1009" s="51"/>
      <c r="G1009" s="51"/>
      <c r="H1009" s="51"/>
      <c r="I1009" s="2"/>
      <c r="J1009" s="2"/>
      <c r="K1009" s="2"/>
      <c r="L1009" s="2"/>
      <c r="M1009" s="2"/>
      <c r="N1009" s="2"/>
      <c r="O1009" s="2"/>
      <c r="P1009" s="53"/>
      <c r="Q1009" s="53"/>
      <c r="R1009" s="2"/>
      <c r="S1009" s="2"/>
      <c r="T1009" s="2"/>
    </row>
    <row r="1010" spans="1:20">
      <c r="A1010" s="3"/>
      <c r="B1010" s="3"/>
      <c r="C1010" s="2"/>
      <c r="D1010" s="2"/>
      <c r="E1010" s="51"/>
      <c r="F1010" s="51"/>
      <c r="G1010" s="51"/>
      <c r="H1010" s="51"/>
      <c r="I1010" s="2"/>
      <c r="J1010" s="2"/>
      <c r="K1010" s="2"/>
      <c r="L1010" s="2"/>
      <c r="M1010" s="2"/>
      <c r="N1010" s="2"/>
      <c r="O1010" s="2"/>
      <c r="P1010" s="53"/>
      <c r="Q1010" s="53"/>
      <c r="R1010" s="2"/>
      <c r="S1010" s="2"/>
      <c r="T1010" s="2"/>
    </row>
    <row r="1011" spans="1:20">
      <c r="A1011" s="3"/>
      <c r="B1011" s="3"/>
      <c r="C1011" s="2"/>
      <c r="D1011" s="2"/>
      <c r="E1011" s="51"/>
      <c r="F1011" s="51"/>
      <c r="G1011" s="51"/>
      <c r="H1011" s="51"/>
      <c r="I1011" s="2"/>
      <c r="J1011" s="2"/>
      <c r="K1011" s="2"/>
      <c r="L1011" s="2"/>
      <c r="M1011" s="2"/>
      <c r="N1011" s="2"/>
      <c r="O1011" s="2"/>
      <c r="P1011" s="53"/>
      <c r="Q1011" s="53"/>
      <c r="R1011" s="2"/>
      <c r="S1011" s="2"/>
      <c r="T1011" s="2"/>
    </row>
    <row r="1012" spans="1:20">
      <c r="A1012" s="3"/>
      <c r="B1012" s="3"/>
      <c r="C1012" s="2"/>
      <c r="D1012" s="2"/>
      <c r="E1012" s="51"/>
      <c r="F1012" s="51"/>
      <c r="G1012" s="51"/>
      <c r="H1012" s="51"/>
      <c r="I1012" s="2"/>
      <c r="J1012" s="2"/>
      <c r="K1012" s="2"/>
      <c r="L1012" s="2"/>
      <c r="M1012" s="2"/>
      <c r="N1012" s="2"/>
      <c r="O1012" s="2"/>
      <c r="P1012" s="53"/>
      <c r="Q1012" s="53"/>
      <c r="R1012" s="2"/>
      <c r="S1012" s="2"/>
      <c r="T1012" s="2"/>
    </row>
    <row r="1013" spans="1:20">
      <c r="A1013" s="3"/>
      <c r="B1013" s="3"/>
      <c r="C1013" s="2"/>
      <c r="D1013" s="2"/>
      <c r="E1013" s="51"/>
      <c r="F1013" s="51"/>
      <c r="G1013" s="51"/>
      <c r="H1013" s="51"/>
      <c r="I1013" s="2"/>
      <c r="J1013" s="2"/>
      <c r="K1013" s="2"/>
      <c r="L1013" s="2"/>
      <c r="M1013" s="2"/>
      <c r="N1013" s="2"/>
      <c r="O1013" s="2"/>
      <c r="P1013" s="53"/>
      <c r="Q1013" s="53"/>
      <c r="R1013" s="2"/>
      <c r="S1013" s="2"/>
      <c r="T1013" s="2"/>
    </row>
    <row r="1014" spans="1:20">
      <c r="A1014" s="3"/>
      <c r="B1014" s="3"/>
      <c r="C1014" s="2"/>
      <c r="D1014" s="2"/>
      <c r="E1014" s="51"/>
      <c r="F1014" s="51"/>
      <c r="G1014" s="51"/>
      <c r="H1014" s="51"/>
      <c r="I1014" s="2"/>
      <c r="J1014" s="2"/>
      <c r="K1014" s="2"/>
      <c r="L1014" s="2"/>
      <c r="M1014" s="2"/>
      <c r="N1014" s="2"/>
      <c r="O1014" s="2"/>
      <c r="P1014" s="53"/>
      <c r="Q1014" s="53"/>
      <c r="R1014" s="2"/>
      <c r="S1014" s="2"/>
      <c r="T1014" s="2"/>
    </row>
    <row r="1015" spans="1:20">
      <c r="A1015" s="3"/>
      <c r="B1015" s="3"/>
      <c r="C1015" s="2"/>
      <c r="D1015" s="2"/>
      <c r="E1015" s="51"/>
      <c r="F1015" s="51"/>
      <c r="G1015" s="51"/>
      <c r="H1015" s="51"/>
      <c r="I1015" s="2"/>
      <c r="J1015" s="2"/>
      <c r="K1015" s="2"/>
      <c r="L1015" s="2"/>
      <c r="M1015" s="2"/>
      <c r="N1015" s="2"/>
      <c r="O1015" s="2"/>
      <c r="P1015" s="53"/>
      <c r="Q1015" s="53"/>
      <c r="R1015" s="2"/>
      <c r="S1015" s="2"/>
      <c r="T1015" s="2"/>
    </row>
    <row r="1016" spans="1:20">
      <c r="A1016" s="3"/>
      <c r="B1016" s="3"/>
      <c r="C1016" s="2"/>
      <c r="D1016" s="2"/>
      <c r="E1016" s="51"/>
      <c r="F1016" s="51"/>
      <c r="G1016" s="51"/>
      <c r="H1016" s="51"/>
      <c r="I1016" s="2"/>
      <c r="J1016" s="2"/>
      <c r="K1016" s="2"/>
      <c r="L1016" s="2"/>
      <c r="M1016" s="2"/>
      <c r="N1016" s="2"/>
      <c r="O1016" s="2"/>
      <c r="P1016" s="53"/>
      <c r="Q1016" s="53"/>
      <c r="R1016" s="2"/>
      <c r="S1016" s="2"/>
      <c r="T1016" s="2"/>
    </row>
    <row r="1017" spans="1:20">
      <c r="A1017" s="3"/>
      <c r="B1017" s="3"/>
      <c r="C1017" s="2"/>
      <c r="D1017" s="2"/>
      <c r="E1017" s="51"/>
      <c r="F1017" s="51"/>
      <c r="G1017" s="51"/>
      <c r="H1017" s="51"/>
      <c r="I1017" s="2"/>
      <c r="J1017" s="2"/>
      <c r="K1017" s="2"/>
      <c r="L1017" s="2"/>
      <c r="M1017" s="2"/>
      <c r="N1017" s="2"/>
      <c r="O1017" s="2"/>
      <c r="P1017" s="53"/>
      <c r="Q1017" s="53"/>
      <c r="R1017" s="2"/>
      <c r="S1017" s="2"/>
      <c r="T1017" s="2"/>
    </row>
    <row r="1018" spans="1:20">
      <c r="A1018" s="3"/>
      <c r="B1018" s="3"/>
      <c r="C1018" s="2"/>
      <c r="D1018" s="2"/>
      <c r="E1018" s="51"/>
      <c r="F1018" s="51"/>
      <c r="G1018" s="51"/>
      <c r="H1018" s="51"/>
      <c r="I1018" s="2"/>
      <c r="J1018" s="2"/>
      <c r="K1018" s="2"/>
      <c r="L1018" s="2"/>
      <c r="M1018" s="2"/>
      <c r="N1018" s="2"/>
      <c r="O1018" s="2"/>
      <c r="P1018" s="53"/>
      <c r="Q1018" s="53"/>
      <c r="R1018" s="2"/>
      <c r="S1018" s="2"/>
      <c r="T1018" s="2"/>
    </row>
    <row r="1019" spans="1:20">
      <c r="A1019" s="3"/>
      <c r="B1019" s="3"/>
      <c r="C1019" s="2"/>
      <c r="D1019" s="2"/>
      <c r="E1019" s="51"/>
      <c r="F1019" s="51"/>
      <c r="G1019" s="51"/>
      <c r="H1019" s="51"/>
      <c r="I1019" s="2"/>
      <c r="J1019" s="2"/>
      <c r="K1019" s="2"/>
      <c r="L1019" s="2"/>
      <c r="M1019" s="2"/>
      <c r="N1019" s="2"/>
      <c r="O1019" s="2"/>
      <c r="P1019" s="53"/>
      <c r="Q1019" s="53"/>
      <c r="R1019" s="2"/>
      <c r="S1019" s="2"/>
      <c r="T1019" s="2"/>
    </row>
    <row r="1020" spans="1:20">
      <c r="A1020" s="3"/>
      <c r="B1020" s="3"/>
      <c r="C1020" s="2"/>
      <c r="D1020" s="2"/>
      <c r="E1020" s="51"/>
      <c r="F1020" s="51"/>
      <c r="G1020" s="51"/>
      <c r="H1020" s="51"/>
      <c r="I1020" s="2"/>
      <c r="J1020" s="2"/>
      <c r="K1020" s="2"/>
      <c r="L1020" s="2"/>
      <c r="M1020" s="2"/>
      <c r="N1020" s="2"/>
      <c r="O1020" s="2"/>
      <c r="P1020" s="53"/>
      <c r="Q1020" s="53"/>
      <c r="R1020" s="2"/>
      <c r="S1020" s="2"/>
      <c r="T1020" s="2"/>
    </row>
    <row r="1021" spans="1:20">
      <c r="A1021" s="3"/>
      <c r="B1021" s="3"/>
      <c r="C1021" s="2"/>
      <c r="D1021" s="2"/>
      <c r="E1021" s="51"/>
      <c r="F1021" s="51"/>
      <c r="G1021" s="51"/>
      <c r="H1021" s="51"/>
      <c r="I1021" s="2"/>
      <c r="J1021" s="2"/>
      <c r="K1021" s="2"/>
      <c r="L1021" s="2"/>
      <c r="M1021" s="2"/>
      <c r="N1021" s="2"/>
      <c r="O1021" s="2"/>
      <c r="P1021" s="53"/>
      <c r="Q1021" s="53"/>
      <c r="R1021" s="2"/>
      <c r="S1021" s="2"/>
      <c r="T1021" s="2"/>
    </row>
    <row r="1022" spans="1:20">
      <c r="A1022" s="3"/>
      <c r="B1022" s="3"/>
      <c r="C1022" s="2"/>
      <c r="D1022" s="2"/>
      <c r="E1022" s="51"/>
      <c r="F1022" s="51"/>
      <c r="G1022" s="51"/>
      <c r="H1022" s="51"/>
      <c r="I1022" s="2"/>
      <c r="J1022" s="2"/>
      <c r="K1022" s="2"/>
      <c r="L1022" s="2"/>
      <c r="M1022" s="2"/>
      <c r="N1022" s="2"/>
      <c r="O1022" s="2"/>
      <c r="P1022" s="53"/>
      <c r="Q1022" s="53"/>
      <c r="R1022" s="2"/>
      <c r="S1022" s="2"/>
      <c r="T1022" s="2"/>
    </row>
    <row r="1023" spans="1:20">
      <c r="A1023" s="3"/>
      <c r="B1023" s="3"/>
      <c r="C1023" s="2"/>
      <c r="D1023" s="2"/>
      <c r="E1023" s="51"/>
      <c r="F1023" s="51"/>
      <c r="G1023" s="51"/>
      <c r="H1023" s="51"/>
      <c r="I1023" s="2"/>
      <c r="J1023" s="2"/>
      <c r="K1023" s="2"/>
      <c r="L1023" s="2"/>
      <c r="M1023" s="2"/>
      <c r="N1023" s="2"/>
      <c r="O1023" s="2"/>
      <c r="P1023" s="53"/>
      <c r="Q1023" s="53"/>
      <c r="R1023" s="2"/>
      <c r="S1023" s="2"/>
      <c r="T1023" s="2"/>
    </row>
    <row r="1024" spans="1:20">
      <c r="A1024" s="3"/>
      <c r="B1024" s="3"/>
      <c r="C1024" s="2"/>
      <c r="D1024" s="2"/>
      <c r="E1024" s="51"/>
      <c r="F1024" s="51"/>
      <c r="G1024" s="51"/>
      <c r="H1024" s="51"/>
      <c r="I1024" s="2"/>
      <c r="J1024" s="2"/>
      <c r="K1024" s="2"/>
      <c r="L1024" s="2"/>
      <c r="M1024" s="2"/>
      <c r="N1024" s="2"/>
      <c r="O1024" s="2"/>
      <c r="P1024" s="53"/>
      <c r="Q1024" s="53"/>
      <c r="R1024" s="2"/>
      <c r="S1024" s="2"/>
      <c r="T1024" s="2"/>
    </row>
    <row r="1025" spans="1:20">
      <c r="A1025" s="3"/>
      <c r="B1025" s="3"/>
      <c r="C1025" s="2"/>
      <c r="D1025" s="2"/>
      <c r="E1025" s="51"/>
      <c r="F1025" s="51"/>
      <c r="G1025" s="51"/>
      <c r="H1025" s="51"/>
      <c r="I1025" s="2"/>
      <c r="J1025" s="2"/>
      <c r="K1025" s="2"/>
      <c r="L1025" s="2"/>
      <c r="M1025" s="2"/>
      <c r="N1025" s="2"/>
      <c r="O1025" s="2"/>
      <c r="P1025" s="53"/>
      <c r="Q1025" s="53"/>
      <c r="R1025" s="2"/>
      <c r="S1025" s="2"/>
      <c r="T1025" s="2"/>
    </row>
    <row r="1026" spans="1:20">
      <c r="A1026" s="3"/>
      <c r="B1026" s="3"/>
      <c r="C1026" s="2"/>
      <c r="D1026" s="2"/>
      <c r="E1026" s="51"/>
      <c r="F1026" s="51"/>
      <c r="G1026" s="51"/>
      <c r="H1026" s="51"/>
      <c r="I1026" s="2"/>
      <c r="J1026" s="2"/>
      <c r="K1026" s="2"/>
      <c r="L1026" s="2"/>
      <c r="M1026" s="2"/>
      <c r="N1026" s="2"/>
      <c r="O1026" s="2"/>
      <c r="P1026" s="53"/>
      <c r="Q1026" s="53"/>
      <c r="R1026" s="2"/>
      <c r="S1026" s="2"/>
      <c r="T1026" s="2"/>
    </row>
    <row r="1027" spans="1:20">
      <c r="A1027" s="3"/>
      <c r="B1027" s="3"/>
      <c r="C1027" s="2"/>
      <c r="D1027" s="2"/>
      <c r="E1027" s="51"/>
      <c r="F1027" s="51"/>
      <c r="G1027" s="51"/>
      <c r="H1027" s="51"/>
      <c r="I1027" s="2"/>
      <c r="J1027" s="2"/>
      <c r="K1027" s="2"/>
      <c r="L1027" s="2"/>
      <c r="M1027" s="2"/>
      <c r="N1027" s="2"/>
      <c r="O1027" s="2"/>
      <c r="P1027" s="53"/>
      <c r="Q1027" s="53"/>
      <c r="R1027" s="2"/>
      <c r="S1027" s="2"/>
      <c r="T1027" s="2"/>
    </row>
    <row r="1028" spans="1:20">
      <c r="A1028" s="3"/>
      <c r="B1028" s="3"/>
      <c r="C1028" s="2"/>
      <c r="D1028" s="2"/>
      <c r="E1028" s="51"/>
      <c r="F1028" s="51"/>
      <c r="G1028" s="51"/>
      <c r="H1028" s="51"/>
      <c r="I1028" s="2"/>
      <c r="J1028" s="2"/>
      <c r="K1028" s="2"/>
      <c r="L1028" s="2"/>
      <c r="M1028" s="2"/>
      <c r="N1028" s="2"/>
      <c r="O1028" s="2"/>
      <c r="P1028" s="53"/>
      <c r="Q1028" s="53"/>
      <c r="R1028" s="2"/>
      <c r="S1028" s="2"/>
      <c r="T1028" s="2"/>
    </row>
    <row r="1029" spans="1:20">
      <c r="A1029" s="3"/>
      <c r="B1029" s="3"/>
      <c r="C1029" s="2"/>
      <c r="D1029" s="2"/>
      <c r="E1029" s="51"/>
      <c r="F1029" s="51"/>
      <c r="G1029" s="51"/>
      <c r="H1029" s="51"/>
      <c r="I1029" s="2"/>
      <c r="J1029" s="2"/>
      <c r="K1029" s="2"/>
      <c r="L1029" s="2"/>
      <c r="M1029" s="2"/>
      <c r="N1029" s="2"/>
      <c r="O1029" s="2"/>
      <c r="P1029" s="53"/>
      <c r="Q1029" s="53"/>
      <c r="R1029" s="2"/>
      <c r="S1029" s="2"/>
      <c r="T1029" s="2"/>
    </row>
    <row r="1030" spans="1:20">
      <c r="A1030" s="3"/>
      <c r="B1030" s="3"/>
      <c r="C1030" s="2"/>
      <c r="D1030" s="2"/>
      <c r="E1030" s="51"/>
      <c r="F1030" s="51"/>
      <c r="G1030" s="51"/>
      <c r="H1030" s="51"/>
      <c r="I1030" s="2"/>
      <c r="J1030" s="2"/>
      <c r="K1030" s="2"/>
      <c r="L1030" s="2"/>
      <c r="M1030" s="2"/>
      <c r="N1030" s="2"/>
      <c r="O1030" s="2"/>
      <c r="P1030" s="53"/>
      <c r="Q1030" s="53"/>
      <c r="R1030" s="2"/>
      <c r="S1030" s="2"/>
      <c r="T1030" s="2"/>
    </row>
    <row r="1031" spans="1:20">
      <c r="A1031" s="3"/>
      <c r="B1031" s="3"/>
      <c r="C1031" s="2"/>
      <c r="D1031" s="2"/>
      <c r="E1031" s="51"/>
      <c r="F1031" s="51"/>
      <c r="G1031" s="51"/>
      <c r="H1031" s="51"/>
      <c r="I1031" s="2"/>
      <c r="J1031" s="2"/>
      <c r="K1031" s="2"/>
      <c r="L1031" s="2"/>
      <c r="M1031" s="2"/>
      <c r="N1031" s="2"/>
      <c r="O1031" s="2"/>
      <c r="P1031" s="53"/>
      <c r="Q1031" s="53"/>
      <c r="R1031" s="2"/>
      <c r="S1031" s="2"/>
      <c r="T1031" s="2"/>
    </row>
    <row r="1032" spans="1:20">
      <c r="A1032" s="3"/>
      <c r="B1032" s="3"/>
      <c r="C1032" s="2"/>
      <c r="D1032" s="2"/>
      <c r="E1032" s="51"/>
      <c r="F1032" s="51"/>
      <c r="G1032" s="51"/>
      <c r="H1032" s="51"/>
      <c r="I1032" s="2"/>
      <c r="J1032" s="2"/>
      <c r="K1032" s="2"/>
      <c r="L1032" s="2"/>
      <c r="M1032" s="2"/>
      <c r="N1032" s="2"/>
      <c r="O1032" s="2"/>
      <c r="P1032" s="53"/>
      <c r="Q1032" s="53"/>
      <c r="R1032" s="2"/>
      <c r="S1032" s="2"/>
      <c r="T1032" s="2"/>
    </row>
    <row r="1033" spans="1:20">
      <c r="A1033" s="3"/>
      <c r="B1033" s="3"/>
      <c r="C1033" s="2"/>
      <c r="D1033" s="2"/>
      <c r="E1033" s="51"/>
      <c r="F1033" s="51"/>
      <c r="G1033" s="51"/>
      <c r="H1033" s="51"/>
      <c r="I1033" s="2"/>
      <c r="J1033" s="2"/>
      <c r="K1033" s="2"/>
      <c r="L1033" s="2"/>
      <c r="M1033" s="2"/>
      <c r="N1033" s="2"/>
      <c r="O1033" s="2"/>
      <c r="P1033" s="53"/>
      <c r="Q1033" s="53"/>
      <c r="R1033" s="2"/>
      <c r="S1033" s="2"/>
      <c r="T1033" s="2"/>
    </row>
    <row r="1034" spans="1:20">
      <c r="A1034" s="3"/>
      <c r="B1034" s="3"/>
      <c r="C1034" s="2"/>
      <c r="D1034" s="2"/>
      <c r="E1034" s="51"/>
      <c r="F1034" s="51"/>
      <c r="G1034" s="51"/>
      <c r="H1034" s="51"/>
      <c r="I1034" s="2"/>
      <c r="J1034" s="2"/>
      <c r="K1034" s="2"/>
      <c r="L1034" s="2"/>
      <c r="M1034" s="2"/>
      <c r="N1034" s="2"/>
      <c r="O1034" s="2"/>
      <c r="P1034" s="53"/>
      <c r="Q1034" s="53"/>
      <c r="R1034" s="2"/>
      <c r="S1034" s="2"/>
      <c r="T1034" s="2"/>
    </row>
    <row r="1035" spans="1:20">
      <c r="A1035" s="3"/>
      <c r="B1035" s="3"/>
      <c r="C1035" s="2"/>
      <c r="D1035" s="2"/>
      <c r="E1035" s="51"/>
      <c r="F1035" s="51"/>
      <c r="G1035" s="51"/>
      <c r="H1035" s="51"/>
      <c r="I1035" s="2"/>
      <c r="J1035" s="2"/>
      <c r="K1035" s="2"/>
      <c r="L1035" s="2"/>
      <c r="M1035" s="2"/>
      <c r="N1035" s="2"/>
      <c r="O1035" s="2"/>
      <c r="P1035" s="53"/>
      <c r="Q1035" s="53"/>
      <c r="R1035" s="2"/>
      <c r="S1035" s="2"/>
      <c r="T1035" s="2"/>
    </row>
    <row r="1036" spans="1:20">
      <c r="A1036" s="3"/>
      <c r="B1036" s="3"/>
      <c r="C1036" s="2"/>
      <c r="D1036" s="2"/>
      <c r="E1036" s="51"/>
      <c r="F1036" s="51"/>
      <c r="G1036" s="51"/>
      <c r="H1036" s="51"/>
      <c r="I1036" s="2"/>
      <c r="J1036" s="2"/>
      <c r="K1036" s="2"/>
      <c r="L1036" s="2"/>
      <c r="M1036" s="2"/>
      <c r="N1036" s="2"/>
      <c r="O1036" s="2"/>
      <c r="P1036" s="53"/>
      <c r="Q1036" s="53"/>
      <c r="R1036" s="2"/>
      <c r="S1036" s="2"/>
      <c r="T1036" s="2"/>
    </row>
    <row r="1037" spans="1:20">
      <c r="A1037" s="3"/>
      <c r="B1037" s="3"/>
      <c r="C1037" s="2"/>
      <c r="D1037" s="2"/>
      <c r="E1037" s="51"/>
      <c r="F1037" s="51"/>
      <c r="G1037" s="51"/>
      <c r="H1037" s="51"/>
      <c r="I1037" s="2"/>
      <c r="J1037" s="2"/>
      <c r="K1037" s="2"/>
      <c r="L1037" s="2"/>
      <c r="M1037" s="2"/>
      <c r="N1037" s="2"/>
      <c r="O1037" s="2"/>
      <c r="P1037" s="53"/>
      <c r="Q1037" s="53"/>
      <c r="R1037" s="2"/>
      <c r="S1037" s="2"/>
      <c r="T1037" s="2"/>
    </row>
    <row r="1038" spans="1:20">
      <c r="A1038" s="3"/>
      <c r="B1038" s="3"/>
      <c r="C1038" s="2"/>
      <c r="D1038" s="2"/>
      <c r="E1038" s="51"/>
      <c r="F1038" s="51"/>
      <c r="G1038" s="51"/>
      <c r="H1038" s="51"/>
      <c r="I1038" s="2"/>
      <c r="J1038" s="2"/>
      <c r="K1038" s="2"/>
      <c r="L1038" s="2"/>
      <c r="M1038" s="2"/>
      <c r="N1038" s="2"/>
      <c r="O1038" s="2"/>
      <c r="P1038" s="53"/>
      <c r="Q1038" s="53"/>
      <c r="R1038" s="2"/>
      <c r="S1038" s="2"/>
      <c r="T1038" s="2"/>
    </row>
    <row r="1039" spans="1:20">
      <c r="A1039" s="3"/>
      <c r="B1039" s="3"/>
      <c r="C1039" s="2"/>
      <c r="D1039" s="2"/>
      <c r="E1039" s="51"/>
      <c r="F1039" s="51"/>
      <c r="G1039" s="51"/>
      <c r="H1039" s="51"/>
      <c r="I1039" s="2"/>
      <c r="J1039" s="2"/>
      <c r="K1039" s="2"/>
      <c r="L1039" s="2"/>
      <c r="M1039" s="2"/>
      <c r="N1039" s="2"/>
      <c r="O1039" s="2"/>
      <c r="P1039" s="53"/>
      <c r="Q1039" s="53"/>
      <c r="R1039" s="2"/>
      <c r="S1039" s="2"/>
      <c r="T1039" s="2"/>
    </row>
    <row r="1040" spans="1:20">
      <c r="A1040" s="3"/>
      <c r="B1040" s="3"/>
      <c r="C1040" s="2"/>
      <c r="D1040" s="2"/>
      <c r="E1040" s="51"/>
      <c r="F1040" s="51"/>
      <c r="G1040" s="51"/>
      <c r="H1040" s="51"/>
      <c r="I1040" s="2"/>
      <c r="J1040" s="2"/>
      <c r="K1040" s="2"/>
      <c r="L1040" s="2"/>
      <c r="M1040" s="2"/>
      <c r="N1040" s="2"/>
      <c r="O1040" s="2"/>
      <c r="P1040" s="53"/>
      <c r="Q1040" s="53"/>
      <c r="R1040" s="2"/>
      <c r="S1040" s="2"/>
      <c r="T1040" s="2"/>
    </row>
    <row r="1041" spans="1:20">
      <c r="A1041" s="3"/>
      <c r="B1041" s="3"/>
      <c r="C1041" s="2"/>
      <c r="D1041" s="2"/>
      <c r="E1041" s="51"/>
      <c r="F1041" s="51"/>
      <c r="G1041" s="51"/>
      <c r="H1041" s="51"/>
      <c r="I1041" s="2"/>
      <c r="J1041" s="2"/>
      <c r="K1041" s="2"/>
      <c r="L1041" s="2"/>
      <c r="M1041" s="2"/>
      <c r="N1041" s="2"/>
      <c r="O1041" s="2"/>
      <c r="P1041" s="53"/>
      <c r="Q1041" s="53"/>
      <c r="R1041" s="2"/>
      <c r="S1041" s="2"/>
      <c r="T1041" s="2"/>
    </row>
    <row r="1042" spans="1:20">
      <c r="A1042" s="3"/>
      <c r="B1042" s="3"/>
      <c r="C1042" s="2"/>
      <c r="D1042" s="2"/>
      <c r="E1042" s="51"/>
      <c r="F1042" s="51"/>
      <c r="G1042" s="51"/>
      <c r="H1042" s="51"/>
      <c r="I1042" s="2"/>
      <c r="J1042" s="2"/>
      <c r="K1042" s="2"/>
      <c r="L1042" s="2"/>
      <c r="M1042" s="2"/>
      <c r="N1042" s="2"/>
      <c r="O1042" s="2"/>
      <c r="P1042" s="53"/>
      <c r="Q1042" s="53"/>
      <c r="R1042" s="2"/>
      <c r="S1042" s="2"/>
      <c r="T1042" s="2"/>
    </row>
    <row r="1043" spans="1:20">
      <c r="A1043" s="3"/>
      <c r="B1043" s="3"/>
      <c r="C1043" s="2"/>
      <c r="D1043" s="2"/>
      <c r="E1043" s="51"/>
      <c r="F1043" s="51"/>
      <c r="G1043" s="51"/>
      <c r="H1043" s="51"/>
      <c r="I1043" s="2"/>
      <c r="J1043" s="2"/>
      <c r="K1043" s="2"/>
      <c r="L1043" s="2"/>
      <c r="M1043" s="2"/>
      <c r="N1043" s="2"/>
      <c r="O1043" s="2"/>
      <c r="P1043" s="53"/>
      <c r="Q1043" s="53"/>
      <c r="R1043" s="2"/>
      <c r="S1043" s="2"/>
      <c r="T1043" s="2"/>
    </row>
    <row r="1044" spans="1:20">
      <c r="A1044" s="3"/>
      <c r="B1044" s="3"/>
      <c r="C1044" s="2"/>
      <c r="D1044" s="2"/>
      <c r="E1044" s="51"/>
      <c r="F1044" s="51"/>
      <c r="G1044" s="51"/>
      <c r="H1044" s="51"/>
      <c r="I1044" s="2"/>
      <c r="J1044" s="2"/>
      <c r="K1044" s="2"/>
      <c r="L1044" s="2"/>
      <c r="M1044" s="2"/>
      <c r="N1044" s="2"/>
      <c r="O1044" s="2"/>
      <c r="P1044" s="53"/>
      <c r="Q1044" s="53"/>
      <c r="R1044" s="2"/>
      <c r="S1044" s="2"/>
      <c r="T1044" s="2"/>
    </row>
    <row r="1045" spans="1:20">
      <c r="A1045" s="3"/>
      <c r="B1045" s="3"/>
      <c r="C1045" s="2"/>
      <c r="D1045" s="2"/>
      <c r="E1045" s="51"/>
      <c r="F1045" s="51"/>
      <c r="G1045" s="51"/>
      <c r="H1045" s="51"/>
      <c r="I1045" s="2"/>
      <c r="J1045" s="2"/>
      <c r="K1045" s="2"/>
      <c r="L1045" s="2"/>
      <c r="M1045" s="2"/>
      <c r="N1045" s="2"/>
      <c r="O1045" s="2"/>
      <c r="P1045" s="53"/>
      <c r="Q1045" s="53"/>
      <c r="R1045" s="2"/>
      <c r="S1045" s="2"/>
      <c r="T1045" s="2"/>
    </row>
    <row r="1046" spans="1:20">
      <c r="A1046" s="3"/>
      <c r="B1046" s="3"/>
      <c r="C1046" s="2"/>
      <c r="D1046" s="2"/>
      <c r="E1046" s="51"/>
      <c r="F1046" s="51"/>
      <c r="G1046" s="51"/>
      <c r="H1046" s="51"/>
      <c r="I1046" s="2"/>
      <c r="J1046" s="2"/>
      <c r="K1046" s="2"/>
      <c r="L1046" s="2"/>
      <c r="M1046" s="2"/>
      <c r="N1046" s="2"/>
      <c r="O1046" s="2"/>
      <c r="P1046" s="53"/>
      <c r="Q1046" s="53"/>
      <c r="R1046" s="2"/>
      <c r="S1046" s="2"/>
      <c r="T1046" s="2"/>
    </row>
    <row r="1047" spans="1:20">
      <c r="A1047" s="3"/>
      <c r="B1047" s="3"/>
      <c r="C1047" s="2"/>
      <c r="D1047" s="2"/>
      <c r="E1047" s="51"/>
      <c r="F1047" s="51"/>
      <c r="G1047" s="51"/>
      <c r="H1047" s="51"/>
      <c r="I1047" s="2"/>
      <c r="J1047" s="2"/>
      <c r="K1047" s="2"/>
      <c r="L1047" s="2"/>
      <c r="M1047" s="2"/>
      <c r="N1047" s="2"/>
      <c r="O1047" s="2"/>
      <c r="P1047" s="53"/>
      <c r="Q1047" s="53"/>
      <c r="R1047" s="2"/>
      <c r="S1047" s="2"/>
      <c r="T1047" s="2"/>
    </row>
    <row r="1048" spans="1:20">
      <c r="A1048" s="3"/>
      <c r="B1048" s="3"/>
      <c r="C1048" s="2"/>
      <c r="D1048" s="2"/>
      <c r="E1048" s="51"/>
      <c r="F1048" s="51"/>
      <c r="G1048" s="51"/>
      <c r="H1048" s="51"/>
      <c r="I1048" s="2"/>
      <c r="J1048" s="2"/>
      <c r="K1048" s="2"/>
      <c r="L1048" s="2"/>
      <c r="M1048" s="2"/>
      <c r="N1048" s="2"/>
      <c r="O1048" s="2"/>
      <c r="P1048" s="53"/>
      <c r="Q1048" s="53"/>
      <c r="R1048" s="2"/>
      <c r="S1048" s="2"/>
      <c r="T1048" s="2"/>
    </row>
    <row r="1049" spans="1:20">
      <c r="A1049" s="3"/>
      <c r="B1049" s="3"/>
      <c r="C1049" s="2"/>
      <c r="D1049" s="2"/>
      <c r="E1049" s="51"/>
      <c r="F1049" s="51"/>
      <c r="G1049" s="51"/>
      <c r="H1049" s="51"/>
      <c r="I1049" s="2"/>
      <c r="J1049" s="2"/>
      <c r="K1049" s="2"/>
      <c r="L1049" s="2"/>
      <c r="M1049" s="2"/>
      <c r="N1049" s="2"/>
      <c r="O1049" s="2"/>
      <c r="P1049" s="53"/>
      <c r="Q1049" s="53"/>
      <c r="R1049" s="2"/>
      <c r="S1049" s="2"/>
      <c r="T1049" s="2"/>
    </row>
    <row r="1050" spans="1:20">
      <c r="A1050" s="3"/>
      <c r="B1050" s="3"/>
      <c r="C1050" s="2"/>
      <c r="D1050" s="2"/>
      <c r="E1050" s="51"/>
      <c r="F1050" s="51"/>
      <c r="G1050" s="51"/>
      <c r="H1050" s="51"/>
      <c r="I1050" s="2"/>
      <c r="J1050" s="2"/>
      <c r="K1050" s="2"/>
      <c r="L1050" s="2"/>
      <c r="M1050" s="2"/>
      <c r="N1050" s="2"/>
      <c r="O1050" s="2"/>
      <c r="P1050" s="53"/>
      <c r="Q1050" s="53"/>
      <c r="R1050" s="2"/>
      <c r="S1050" s="2"/>
      <c r="T1050" s="2"/>
    </row>
    <row r="1051" spans="1:20">
      <c r="A1051" s="3"/>
      <c r="B1051" s="3"/>
      <c r="C1051" s="2"/>
      <c r="D1051" s="2"/>
      <c r="E1051" s="51"/>
      <c r="F1051" s="51"/>
      <c r="G1051" s="51"/>
      <c r="H1051" s="51"/>
      <c r="I1051" s="2"/>
      <c r="J1051" s="2"/>
      <c r="K1051" s="2"/>
      <c r="L1051" s="2"/>
      <c r="M1051" s="2"/>
      <c r="N1051" s="2"/>
      <c r="O1051" s="2"/>
      <c r="P1051" s="53"/>
      <c r="Q1051" s="53"/>
      <c r="R1051" s="2"/>
      <c r="S1051" s="2"/>
      <c r="T1051" s="2"/>
    </row>
    <row r="1052" spans="1:20">
      <c r="A1052" s="3"/>
      <c r="B1052" s="3"/>
      <c r="C1052" s="2"/>
      <c r="D1052" s="2"/>
      <c r="E1052" s="51"/>
      <c r="F1052" s="51"/>
      <c r="G1052" s="51"/>
      <c r="H1052" s="51"/>
      <c r="I1052" s="2"/>
      <c r="J1052" s="2"/>
      <c r="K1052" s="2"/>
      <c r="L1052" s="2"/>
      <c r="M1052" s="2"/>
      <c r="N1052" s="2"/>
      <c r="O1052" s="2"/>
      <c r="P1052" s="53"/>
      <c r="Q1052" s="53"/>
      <c r="R1052" s="2"/>
      <c r="S1052" s="2"/>
      <c r="T1052" s="2"/>
    </row>
    <row r="1053" spans="1:20">
      <c r="A1053" s="3"/>
      <c r="B1053" s="3"/>
      <c r="C1053" s="2"/>
      <c r="D1053" s="2"/>
      <c r="E1053" s="51"/>
      <c r="F1053" s="51"/>
      <c r="G1053" s="51"/>
      <c r="H1053" s="51"/>
      <c r="I1053" s="2"/>
      <c r="J1053" s="2"/>
      <c r="K1053" s="2"/>
      <c r="L1053" s="2"/>
      <c r="M1053" s="2"/>
      <c r="N1053" s="2"/>
      <c r="O1053" s="2"/>
      <c r="P1053" s="53"/>
      <c r="Q1053" s="53"/>
      <c r="R1053" s="2"/>
      <c r="S1053" s="2"/>
      <c r="T1053" s="2"/>
    </row>
    <row r="1054" spans="1:20">
      <c r="A1054" s="3"/>
      <c r="B1054" s="3"/>
      <c r="C1054" s="2"/>
      <c r="D1054" s="2"/>
      <c r="E1054" s="51"/>
      <c r="F1054" s="51"/>
      <c r="G1054" s="51"/>
      <c r="H1054" s="51"/>
      <c r="I1054" s="2"/>
      <c r="J1054" s="2"/>
      <c r="K1054" s="2"/>
      <c r="L1054" s="2"/>
      <c r="M1054" s="2"/>
      <c r="N1054" s="2"/>
      <c r="O1054" s="2"/>
      <c r="P1054" s="53"/>
      <c r="Q1054" s="53"/>
      <c r="R1054" s="2"/>
      <c r="S1054" s="2"/>
      <c r="T1054" s="2"/>
    </row>
    <row r="1055" spans="1:20">
      <c r="A1055" s="3"/>
      <c r="B1055" s="3"/>
      <c r="C1055" s="2"/>
      <c r="D1055" s="2"/>
      <c r="E1055" s="51"/>
      <c r="F1055" s="51"/>
      <c r="G1055" s="51"/>
      <c r="H1055" s="51"/>
      <c r="I1055" s="2"/>
      <c r="J1055" s="2"/>
      <c r="K1055" s="2"/>
      <c r="L1055" s="2"/>
      <c r="M1055" s="2"/>
      <c r="N1055" s="2"/>
      <c r="O1055" s="2"/>
      <c r="P1055" s="53"/>
      <c r="Q1055" s="53"/>
      <c r="R1055" s="2"/>
      <c r="S1055" s="2"/>
      <c r="T1055" s="2"/>
    </row>
    <row r="1056" spans="1:20">
      <c r="A1056" s="3"/>
      <c r="B1056" s="3"/>
      <c r="C1056" s="2"/>
      <c r="D1056" s="2"/>
      <c r="E1056" s="51"/>
      <c r="F1056" s="51"/>
      <c r="G1056" s="51"/>
      <c r="H1056" s="51"/>
      <c r="I1056" s="2"/>
      <c r="J1056" s="2"/>
      <c r="K1056" s="2"/>
      <c r="L1056" s="2"/>
      <c r="M1056" s="2"/>
      <c r="N1056" s="2"/>
      <c r="O1056" s="2"/>
      <c r="P1056" s="53"/>
      <c r="Q1056" s="53"/>
      <c r="R1056" s="2"/>
      <c r="S1056" s="2"/>
      <c r="T1056" s="2"/>
    </row>
    <row r="1057" spans="1:20">
      <c r="A1057" s="3"/>
      <c r="B1057" s="3"/>
      <c r="C1057" s="2"/>
      <c r="D1057" s="2"/>
      <c r="E1057" s="51"/>
      <c r="F1057" s="51"/>
      <c r="G1057" s="51"/>
      <c r="H1057" s="51"/>
      <c r="I1057" s="2"/>
      <c r="J1057" s="2"/>
      <c r="K1057" s="2"/>
      <c r="L1057" s="2"/>
      <c r="M1057" s="2"/>
      <c r="N1057" s="2"/>
      <c r="O1057" s="2"/>
      <c r="P1057" s="53"/>
      <c r="Q1057" s="53"/>
      <c r="R1057" s="2"/>
      <c r="S1057" s="2"/>
      <c r="T1057" s="2"/>
    </row>
    <row r="1058" spans="1:20">
      <c r="A1058" s="3"/>
      <c r="B1058" s="3"/>
      <c r="C1058" s="2"/>
      <c r="D1058" s="2"/>
      <c r="E1058" s="51"/>
      <c r="F1058" s="51"/>
      <c r="G1058" s="51"/>
      <c r="H1058" s="51"/>
      <c r="I1058" s="2"/>
      <c r="J1058" s="2"/>
      <c r="K1058" s="2"/>
      <c r="L1058" s="2"/>
      <c r="M1058" s="2"/>
      <c r="N1058" s="2"/>
      <c r="O1058" s="2"/>
      <c r="P1058" s="53"/>
      <c r="Q1058" s="53"/>
      <c r="R1058" s="2"/>
      <c r="S1058" s="2"/>
      <c r="T1058" s="2"/>
    </row>
    <row r="1059" spans="1:20">
      <c r="A1059" s="3"/>
      <c r="B1059" s="3"/>
      <c r="C1059" s="2"/>
      <c r="D1059" s="2"/>
      <c r="E1059" s="51"/>
      <c r="F1059" s="51"/>
      <c r="G1059" s="51"/>
      <c r="H1059" s="51"/>
      <c r="I1059" s="2"/>
      <c r="J1059" s="2"/>
      <c r="K1059" s="2"/>
      <c r="L1059" s="2"/>
      <c r="M1059" s="2"/>
      <c r="N1059" s="2"/>
      <c r="O1059" s="2"/>
      <c r="P1059" s="53"/>
      <c r="Q1059" s="53"/>
      <c r="R1059" s="2"/>
      <c r="S1059" s="2"/>
      <c r="T1059" s="2"/>
    </row>
    <row r="1060" spans="1:20">
      <c r="A1060" s="3"/>
      <c r="B1060" s="3"/>
      <c r="C1060" s="2"/>
      <c r="D1060" s="2"/>
      <c r="E1060" s="51"/>
      <c r="F1060" s="51"/>
      <c r="G1060" s="51"/>
      <c r="H1060" s="51"/>
      <c r="I1060" s="2"/>
      <c r="J1060" s="2"/>
      <c r="K1060" s="2"/>
      <c r="L1060" s="2"/>
      <c r="M1060" s="2"/>
      <c r="N1060" s="2"/>
      <c r="O1060" s="2"/>
      <c r="P1060" s="53"/>
      <c r="Q1060" s="53"/>
      <c r="R1060" s="2"/>
      <c r="S1060" s="2"/>
      <c r="T1060" s="2"/>
    </row>
    <row r="1061" spans="1:20">
      <c r="A1061" s="3"/>
      <c r="B1061" s="3"/>
      <c r="C1061" s="2"/>
      <c r="D1061" s="2"/>
      <c r="E1061" s="51"/>
      <c r="F1061" s="51"/>
      <c r="G1061" s="51"/>
      <c r="H1061" s="51"/>
      <c r="I1061" s="2"/>
      <c r="J1061" s="2"/>
      <c r="K1061" s="2"/>
      <c r="L1061" s="2"/>
      <c r="M1061" s="2"/>
      <c r="N1061" s="2"/>
      <c r="O1061" s="2"/>
      <c r="P1061" s="53"/>
      <c r="Q1061" s="53"/>
      <c r="R1061" s="2"/>
      <c r="S1061" s="2"/>
      <c r="T1061" s="2"/>
    </row>
    <row r="1062" spans="1:20">
      <c r="A1062" s="3"/>
      <c r="B1062" s="3"/>
      <c r="C1062" s="2"/>
      <c r="D1062" s="2"/>
      <c r="E1062" s="51"/>
      <c r="F1062" s="51"/>
      <c r="G1062" s="51"/>
      <c r="H1062" s="51"/>
      <c r="I1062" s="2"/>
      <c r="J1062" s="2"/>
      <c r="K1062" s="2"/>
      <c r="L1062" s="2"/>
      <c r="M1062" s="2"/>
      <c r="N1062" s="2"/>
      <c r="O1062" s="2"/>
      <c r="P1062" s="53"/>
      <c r="Q1062" s="53"/>
      <c r="R1062" s="2"/>
      <c r="S1062" s="2"/>
      <c r="T1062" s="2"/>
    </row>
    <row r="1063" spans="1:20">
      <c r="A1063" s="3"/>
      <c r="B1063" s="3"/>
      <c r="C1063" s="2"/>
      <c r="D1063" s="2"/>
      <c r="E1063" s="51"/>
      <c r="F1063" s="51"/>
      <c r="G1063" s="51"/>
      <c r="H1063" s="51"/>
      <c r="I1063" s="2"/>
      <c r="J1063" s="2"/>
      <c r="K1063" s="2"/>
      <c r="L1063" s="2"/>
      <c r="M1063" s="2"/>
      <c r="N1063" s="2"/>
      <c r="O1063" s="2"/>
      <c r="P1063" s="53"/>
      <c r="Q1063" s="53"/>
      <c r="R1063" s="2"/>
      <c r="S1063" s="2"/>
      <c r="T1063" s="2"/>
    </row>
    <row r="1064" spans="1:20">
      <c r="A1064" s="3"/>
      <c r="B1064" s="3"/>
      <c r="C1064" s="2"/>
      <c r="D1064" s="2"/>
      <c r="E1064" s="51"/>
      <c r="F1064" s="51"/>
      <c r="G1064" s="51"/>
      <c r="H1064" s="51"/>
      <c r="I1064" s="2"/>
      <c r="J1064" s="2"/>
      <c r="K1064" s="2"/>
      <c r="L1064" s="2"/>
      <c r="M1064" s="2"/>
      <c r="N1064" s="2"/>
      <c r="O1064" s="2"/>
      <c r="P1064" s="53"/>
      <c r="Q1064" s="53"/>
      <c r="R1064" s="2"/>
      <c r="S1064" s="2"/>
      <c r="T1064" s="2"/>
    </row>
    <row r="1065" spans="1:20">
      <c r="A1065" s="3"/>
      <c r="B1065" s="3"/>
      <c r="C1065" s="2"/>
      <c r="D1065" s="2"/>
      <c r="E1065" s="51"/>
      <c r="F1065" s="51"/>
      <c r="G1065" s="51"/>
      <c r="H1065" s="51"/>
      <c r="I1065" s="2"/>
      <c r="J1065" s="2"/>
      <c r="K1065" s="2"/>
      <c r="L1065" s="2"/>
      <c r="M1065" s="2"/>
      <c r="N1065" s="2"/>
      <c r="O1065" s="2"/>
      <c r="P1065" s="53"/>
      <c r="Q1065" s="53"/>
      <c r="R1065" s="2"/>
      <c r="S1065" s="2"/>
      <c r="T1065" s="2"/>
    </row>
    <row r="1066" spans="1:20">
      <c r="A1066" s="3"/>
      <c r="B1066" s="3"/>
      <c r="C1066" s="2"/>
      <c r="D1066" s="2"/>
      <c r="E1066" s="51"/>
      <c r="F1066" s="51"/>
      <c r="G1066" s="51"/>
      <c r="H1066" s="51"/>
      <c r="I1066" s="2"/>
      <c r="J1066" s="2"/>
      <c r="K1066" s="2"/>
      <c r="L1066" s="2"/>
      <c r="M1066" s="2"/>
      <c r="N1066" s="2"/>
      <c r="O1066" s="2"/>
      <c r="P1066" s="53"/>
      <c r="Q1066" s="53"/>
      <c r="R1066" s="2"/>
      <c r="S1066" s="2"/>
      <c r="T1066" s="2"/>
    </row>
    <row r="1067" spans="1:20">
      <c r="A1067" s="3"/>
      <c r="B1067" s="3"/>
      <c r="C1067" s="2"/>
      <c r="D1067" s="2"/>
      <c r="E1067" s="51"/>
      <c r="F1067" s="51"/>
      <c r="G1067" s="51"/>
      <c r="H1067" s="51"/>
      <c r="I1067" s="2"/>
      <c r="J1067" s="2"/>
      <c r="K1067" s="2"/>
      <c r="L1067" s="2"/>
      <c r="M1067" s="2"/>
      <c r="N1067" s="2"/>
      <c r="O1067" s="2"/>
      <c r="P1067" s="53"/>
      <c r="Q1067" s="53"/>
      <c r="R1067" s="2"/>
      <c r="S1067" s="2"/>
      <c r="T1067" s="2"/>
    </row>
    <row r="1068" spans="1:20">
      <c r="A1068" s="3"/>
      <c r="B1068" s="3"/>
      <c r="C1068" s="2"/>
      <c r="D1068" s="2"/>
      <c r="E1068" s="51"/>
      <c r="F1068" s="51"/>
      <c r="G1068" s="51"/>
      <c r="H1068" s="51"/>
      <c r="I1068" s="2"/>
      <c r="J1068" s="2"/>
      <c r="K1068" s="2"/>
      <c r="L1068" s="2"/>
      <c r="M1068" s="2"/>
      <c r="N1068" s="2"/>
      <c r="O1068" s="2"/>
      <c r="P1068" s="53"/>
      <c r="Q1068" s="53"/>
      <c r="R1068" s="2"/>
      <c r="S1068" s="2"/>
      <c r="T1068" s="2"/>
    </row>
    <row r="1069" spans="1:20">
      <c r="A1069" s="3"/>
      <c r="B1069" s="3"/>
      <c r="C1069" s="2"/>
      <c r="D1069" s="2"/>
      <c r="E1069" s="51"/>
      <c r="F1069" s="51"/>
      <c r="G1069" s="51"/>
      <c r="H1069" s="51"/>
      <c r="I1069" s="2"/>
      <c r="J1069" s="2"/>
      <c r="K1069" s="2"/>
      <c r="L1069" s="2"/>
      <c r="M1069" s="2"/>
      <c r="N1069" s="2"/>
      <c r="O1069" s="2"/>
      <c r="P1069" s="53"/>
      <c r="Q1069" s="53"/>
      <c r="R1069" s="2"/>
      <c r="S1069" s="2"/>
      <c r="T1069" s="2"/>
    </row>
    <row r="1070" spans="1:20">
      <c r="A1070" s="3"/>
      <c r="B1070" s="3"/>
      <c r="C1070" s="2"/>
      <c r="D1070" s="2"/>
      <c r="E1070" s="51"/>
      <c r="F1070" s="51"/>
      <c r="G1070" s="51"/>
      <c r="H1070" s="51"/>
      <c r="I1070" s="2"/>
      <c r="J1070" s="2"/>
      <c r="K1070" s="2"/>
      <c r="L1070" s="2"/>
      <c r="M1070" s="2"/>
      <c r="N1070" s="2"/>
      <c r="O1070" s="2"/>
      <c r="P1070" s="53"/>
      <c r="Q1070" s="53"/>
      <c r="R1070" s="2"/>
      <c r="S1070" s="2"/>
      <c r="T1070" s="2"/>
    </row>
    <row r="1071" spans="1:20">
      <c r="A1071" s="3"/>
      <c r="B1071" s="3"/>
      <c r="C1071" s="2"/>
      <c r="D1071" s="2"/>
      <c r="E1071" s="51"/>
      <c r="F1071" s="51"/>
      <c r="G1071" s="51"/>
      <c r="H1071" s="51"/>
      <c r="I1071" s="2"/>
      <c r="J1071" s="2"/>
      <c r="K1071" s="2"/>
      <c r="L1071" s="2"/>
      <c r="M1071" s="2"/>
      <c r="N1071" s="2"/>
      <c r="O1071" s="2"/>
      <c r="P1071" s="53"/>
      <c r="Q1071" s="53"/>
      <c r="R1071" s="2"/>
      <c r="S1071" s="2"/>
      <c r="T1071" s="2"/>
    </row>
    <row r="1072" spans="1:20">
      <c r="A1072" s="3"/>
      <c r="B1072" s="3"/>
      <c r="C1072" s="2"/>
      <c r="D1072" s="2"/>
      <c r="E1072" s="51"/>
      <c r="F1072" s="51"/>
      <c r="G1072" s="51"/>
      <c r="H1072" s="51"/>
      <c r="I1072" s="2"/>
      <c r="J1072" s="2"/>
      <c r="K1072" s="2"/>
      <c r="L1072" s="2"/>
      <c r="M1072" s="2"/>
      <c r="N1072" s="2"/>
      <c r="O1072" s="2"/>
      <c r="P1072" s="53"/>
      <c r="Q1072" s="53"/>
      <c r="R1072" s="2"/>
      <c r="S1072" s="2"/>
      <c r="T1072" s="2"/>
    </row>
    <row r="1073" spans="1:20">
      <c r="A1073" s="3"/>
      <c r="B1073" s="3"/>
      <c r="C1073" s="2"/>
      <c r="D1073" s="2"/>
      <c r="E1073" s="51"/>
      <c r="F1073" s="51"/>
      <c r="G1073" s="51"/>
      <c r="H1073" s="51"/>
      <c r="I1073" s="2"/>
      <c r="J1073" s="2"/>
      <c r="K1073" s="2"/>
      <c r="L1073" s="2"/>
      <c r="M1073" s="2"/>
      <c r="N1073" s="2"/>
      <c r="O1073" s="2"/>
      <c r="P1073" s="53"/>
      <c r="Q1073" s="53"/>
      <c r="R1073" s="2"/>
      <c r="S1073" s="2"/>
      <c r="T1073" s="2"/>
    </row>
    <row r="1074" spans="1:20">
      <c r="A1074" s="3"/>
      <c r="B1074" s="3"/>
      <c r="C1074" s="2"/>
      <c r="D1074" s="2"/>
      <c r="E1074" s="51"/>
      <c r="F1074" s="51"/>
      <c r="G1074" s="51"/>
      <c r="H1074" s="51"/>
      <c r="I1074" s="2"/>
      <c r="J1074" s="2"/>
      <c r="K1074" s="2"/>
      <c r="L1074" s="2"/>
      <c r="M1074" s="2"/>
      <c r="N1074" s="2"/>
      <c r="O1074" s="2"/>
      <c r="P1074" s="53"/>
      <c r="Q1074" s="53"/>
      <c r="R1074" s="2"/>
      <c r="S1074" s="2"/>
      <c r="T1074" s="2"/>
    </row>
    <row r="1075" spans="1:20">
      <c r="A1075" s="3"/>
      <c r="B1075" s="3"/>
      <c r="C1075" s="2"/>
      <c r="D1075" s="2"/>
      <c r="E1075" s="51"/>
      <c r="F1075" s="51"/>
      <c r="G1075" s="51"/>
      <c r="H1075" s="51"/>
      <c r="I1075" s="2"/>
      <c r="J1075" s="2"/>
      <c r="K1075" s="2"/>
      <c r="L1075" s="2"/>
      <c r="M1075" s="2"/>
      <c r="N1075" s="2"/>
      <c r="O1075" s="2"/>
      <c r="P1075" s="53"/>
      <c r="Q1075" s="53"/>
      <c r="R1075" s="2"/>
      <c r="S1075" s="2"/>
      <c r="T1075" s="2"/>
    </row>
    <row r="1076" spans="1:20">
      <c r="A1076" s="3"/>
      <c r="B1076" s="3"/>
      <c r="C1076" s="2"/>
      <c r="D1076" s="2"/>
      <c r="E1076" s="51"/>
      <c r="F1076" s="51"/>
      <c r="G1076" s="51"/>
      <c r="H1076" s="51"/>
      <c r="I1076" s="2"/>
      <c r="J1076" s="2"/>
      <c r="K1076" s="2"/>
      <c r="L1076" s="2"/>
      <c r="M1076" s="2"/>
      <c r="N1076" s="2"/>
      <c r="O1076" s="2"/>
      <c r="P1076" s="53"/>
      <c r="Q1076" s="53"/>
      <c r="R1076" s="2"/>
      <c r="S1076" s="2"/>
      <c r="T1076" s="2"/>
    </row>
    <row r="1077" spans="1:20">
      <c r="A1077" s="3"/>
      <c r="B1077" s="3"/>
      <c r="C1077" s="2"/>
      <c r="D1077" s="2"/>
      <c r="E1077" s="51"/>
      <c r="F1077" s="51"/>
      <c r="G1077" s="51"/>
      <c r="H1077" s="51"/>
      <c r="I1077" s="2"/>
      <c r="J1077" s="2"/>
      <c r="K1077" s="2"/>
      <c r="L1077" s="2"/>
      <c r="M1077" s="2"/>
      <c r="N1077" s="2"/>
      <c r="O1077" s="2"/>
      <c r="P1077" s="53"/>
      <c r="Q1077" s="53"/>
      <c r="R1077" s="2"/>
      <c r="S1077" s="2"/>
      <c r="T1077" s="2"/>
    </row>
    <row r="1078" spans="1:20">
      <c r="A1078" s="3"/>
      <c r="B1078" s="3"/>
      <c r="C1078" s="2"/>
      <c r="D1078" s="2"/>
      <c r="E1078" s="51"/>
      <c r="F1078" s="51"/>
      <c r="G1078" s="51"/>
      <c r="H1078" s="51"/>
      <c r="I1078" s="2"/>
      <c r="J1078" s="2"/>
      <c r="K1078" s="2"/>
      <c r="L1078" s="2"/>
      <c r="M1078" s="2"/>
      <c r="N1078" s="2"/>
      <c r="O1078" s="2"/>
      <c r="P1078" s="53"/>
      <c r="Q1078" s="53"/>
      <c r="R1078" s="2"/>
      <c r="S1078" s="2"/>
      <c r="T1078" s="2"/>
    </row>
    <row r="1079" spans="1:20">
      <c r="A1079" s="3"/>
      <c r="B1079" s="3"/>
      <c r="C1079" s="2"/>
      <c r="D1079" s="2"/>
      <c r="E1079" s="51"/>
      <c r="F1079" s="51"/>
      <c r="G1079" s="51"/>
      <c r="H1079" s="51"/>
      <c r="I1079" s="2"/>
      <c r="J1079" s="2"/>
      <c r="K1079" s="2"/>
      <c r="L1079" s="2"/>
      <c r="M1079" s="2"/>
      <c r="N1079" s="2"/>
      <c r="O1079" s="2"/>
      <c r="P1079" s="53"/>
      <c r="Q1079" s="53"/>
      <c r="R1079" s="2"/>
      <c r="S1079" s="2"/>
      <c r="T1079" s="2"/>
    </row>
    <row r="1080" spans="1:20">
      <c r="A1080" s="3"/>
      <c r="B1080" s="3"/>
      <c r="C1080" s="2"/>
      <c r="D1080" s="2"/>
      <c r="E1080" s="51"/>
      <c r="F1080" s="51"/>
      <c r="G1080" s="51"/>
      <c r="H1080" s="51"/>
      <c r="I1080" s="2"/>
      <c r="J1080" s="2"/>
      <c r="K1080" s="2"/>
      <c r="L1080" s="2"/>
      <c r="M1080" s="2"/>
      <c r="N1080" s="2"/>
      <c r="O1080" s="2"/>
      <c r="P1080" s="53"/>
      <c r="Q1080" s="53"/>
      <c r="R1080" s="2"/>
      <c r="S1080" s="2"/>
      <c r="T1080" s="2"/>
    </row>
    <row r="1081" spans="1:20">
      <c r="A1081" s="3"/>
      <c r="B1081" s="3"/>
      <c r="C1081" s="2"/>
      <c r="D1081" s="2"/>
      <c r="E1081" s="51"/>
      <c r="F1081" s="51"/>
      <c r="G1081" s="51"/>
      <c r="H1081" s="51"/>
      <c r="I1081" s="2"/>
      <c r="J1081" s="2"/>
      <c r="K1081" s="2"/>
      <c r="L1081" s="2"/>
      <c r="M1081" s="2"/>
      <c r="N1081" s="2"/>
      <c r="O1081" s="2"/>
      <c r="P1081" s="53"/>
      <c r="Q1081" s="53"/>
      <c r="R1081" s="2"/>
      <c r="S1081" s="2"/>
      <c r="T1081" s="2"/>
    </row>
    <row r="1082" spans="1:20">
      <c r="A1082" s="3"/>
      <c r="B1082" s="3"/>
      <c r="C1082" s="2"/>
      <c r="D1082" s="2"/>
      <c r="E1082" s="51"/>
      <c r="F1082" s="51"/>
      <c r="G1082" s="51"/>
      <c r="H1082" s="51"/>
      <c r="I1082" s="2"/>
      <c r="J1082" s="2"/>
      <c r="K1082" s="2"/>
      <c r="L1082" s="2"/>
      <c r="M1082" s="2"/>
      <c r="N1082" s="2"/>
      <c r="O1082" s="2"/>
      <c r="P1082" s="53"/>
      <c r="Q1082" s="53"/>
      <c r="R1082" s="2"/>
      <c r="S1082" s="2"/>
      <c r="T1082" s="2"/>
    </row>
    <row r="1083" spans="1:20">
      <c r="A1083" s="3"/>
      <c r="B1083" s="3"/>
      <c r="C1083" s="2"/>
      <c r="D1083" s="2"/>
      <c r="E1083" s="51"/>
      <c r="F1083" s="51"/>
      <c r="G1083" s="51"/>
      <c r="H1083" s="51"/>
      <c r="I1083" s="2"/>
      <c r="J1083" s="2"/>
      <c r="K1083" s="2"/>
      <c r="L1083" s="2"/>
      <c r="M1083" s="2"/>
      <c r="N1083" s="2"/>
      <c r="O1083" s="2"/>
      <c r="P1083" s="53"/>
      <c r="Q1083" s="53"/>
      <c r="R1083" s="2"/>
      <c r="S1083" s="2"/>
      <c r="T1083" s="2"/>
    </row>
    <row r="1084" spans="1:20">
      <c r="A1084" s="3"/>
      <c r="B1084" s="3"/>
      <c r="C1084" s="2"/>
      <c r="D1084" s="2"/>
      <c r="E1084" s="51"/>
      <c r="F1084" s="51"/>
      <c r="G1084" s="51"/>
      <c r="H1084" s="51"/>
      <c r="I1084" s="2"/>
      <c r="J1084" s="2"/>
      <c r="K1084" s="2"/>
      <c r="L1084" s="2"/>
      <c r="M1084" s="2"/>
      <c r="N1084" s="2"/>
      <c r="O1084" s="2"/>
      <c r="P1084" s="53"/>
      <c r="Q1084" s="53"/>
      <c r="R1084" s="2"/>
      <c r="S1084" s="2"/>
      <c r="T1084" s="2"/>
    </row>
    <row r="1085" spans="1:20">
      <c r="A1085" s="3"/>
      <c r="B1085" s="3"/>
      <c r="C1085" s="2"/>
      <c r="D1085" s="2"/>
      <c r="E1085" s="51"/>
      <c r="F1085" s="51"/>
      <c r="G1085" s="51"/>
      <c r="H1085" s="51"/>
      <c r="I1085" s="2"/>
      <c r="J1085" s="2"/>
      <c r="K1085" s="2"/>
      <c r="L1085" s="2"/>
      <c r="M1085" s="2"/>
      <c r="N1085" s="2"/>
      <c r="O1085" s="2"/>
      <c r="P1085" s="53"/>
      <c r="Q1085" s="53"/>
      <c r="R1085" s="2"/>
      <c r="S1085" s="2"/>
      <c r="T1085" s="2"/>
    </row>
    <row r="1086" spans="1:20">
      <c r="A1086" s="3"/>
      <c r="B1086" s="3"/>
      <c r="C1086" s="2"/>
      <c r="D1086" s="2"/>
      <c r="E1086" s="51"/>
      <c r="F1086" s="51"/>
      <c r="G1086" s="51"/>
      <c r="H1086" s="51"/>
      <c r="I1086" s="2"/>
      <c r="J1086" s="2"/>
      <c r="K1086" s="2"/>
      <c r="L1086" s="2"/>
      <c r="M1086" s="2"/>
      <c r="N1086" s="2"/>
      <c r="O1086" s="2"/>
      <c r="P1086" s="53"/>
      <c r="Q1086" s="53"/>
      <c r="R1086" s="2"/>
      <c r="S1086" s="2"/>
      <c r="T1086" s="2"/>
    </row>
    <row r="1087" spans="1:20">
      <c r="A1087" s="3"/>
      <c r="B1087" s="3"/>
      <c r="C1087" s="2"/>
      <c r="D1087" s="2"/>
      <c r="E1087" s="51"/>
      <c r="F1087" s="51"/>
      <c r="G1087" s="51"/>
      <c r="H1087" s="51"/>
      <c r="I1087" s="2"/>
      <c r="J1087" s="2"/>
      <c r="K1087" s="2"/>
      <c r="L1087" s="2"/>
      <c r="M1087" s="2"/>
      <c r="N1087" s="2"/>
      <c r="O1087" s="2"/>
      <c r="P1087" s="53"/>
      <c r="Q1087" s="53"/>
      <c r="R1087" s="2"/>
      <c r="S1087" s="2"/>
      <c r="T1087" s="2"/>
    </row>
    <row r="1088" spans="1:20">
      <c r="A1088" s="3"/>
      <c r="B1088" s="3"/>
      <c r="C1088" s="2"/>
      <c r="D1088" s="2"/>
      <c r="E1088" s="51"/>
      <c r="F1088" s="51"/>
      <c r="G1088" s="51"/>
      <c r="H1088" s="51"/>
      <c r="I1088" s="2"/>
      <c r="J1088" s="2"/>
      <c r="K1088" s="2"/>
      <c r="L1088" s="2"/>
      <c r="M1088" s="2"/>
      <c r="N1088" s="2"/>
      <c r="O1088" s="2"/>
      <c r="P1088" s="53"/>
      <c r="Q1088" s="53"/>
      <c r="R1088" s="2"/>
      <c r="S1088" s="2"/>
      <c r="T1088" s="2"/>
    </row>
    <row r="1089" spans="1:20">
      <c r="A1089" s="3"/>
      <c r="B1089" s="3"/>
      <c r="C1089" s="2"/>
      <c r="D1089" s="2"/>
      <c r="E1089" s="51"/>
      <c r="F1089" s="51"/>
      <c r="G1089" s="51"/>
      <c r="H1089" s="51"/>
      <c r="I1089" s="2"/>
      <c r="J1089" s="2"/>
      <c r="K1089" s="2"/>
      <c r="L1089" s="2"/>
      <c r="M1089" s="2"/>
      <c r="N1089" s="2"/>
      <c r="O1089" s="2"/>
      <c r="P1089" s="53"/>
      <c r="Q1089" s="53"/>
      <c r="R1089" s="2"/>
      <c r="S1089" s="2"/>
      <c r="T1089" s="2"/>
    </row>
    <row r="1090" spans="1:20">
      <c r="A1090" s="3"/>
      <c r="B1090" s="3"/>
      <c r="C1090" s="2"/>
      <c r="D1090" s="2"/>
      <c r="E1090" s="51"/>
      <c r="F1090" s="51"/>
      <c r="G1090" s="51"/>
      <c r="H1090" s="51"/>
      <c r="I1090" s="2"/>
      <c r="J1090" s="2"/>
      <c r="K1090" s="2"/>
      <c r="L1090" s="2"/>
      <c r="M1090" s="2"/>
      <c r="N1090" s="2"/>
      <c r="O1090" s="2"/>
      <c r="P1090" s="53"/>
      <c r="Q1090" s="53"/>
      <c r="R1090" s="2"/>
      <c r="S1090" s="2"/>
      <c r="T1090" s="2"/>
    </row>
    <row r="1091" spans="1:20">
      <c r="A1091" s="3"/>
      <c r="B1091" s="3"/>
      <c r="C1091" s="2"/>
      <c r="D1091" s="2"/>
      <c r="E1091" s="51"/>
      <c r="F1091" s="51"/>
      <c r="G1091" s="51"/>
      <c r="H1091" s="51"/>
      <c r="I1091" s="2"/>
      <c r="J1091" s="2"/>
      <c r="K1091" s="2"/>
      <c r="L1091" s="2"/>
      <c r="M1091" s="2"/>
      <c r="N1091" s="2"/>
      <c r="O1091" s="2"/>
      <c r="P1091" s="53"/>
      <c r="Q1091" s="53"/>
      <c r="R1091" s="2"/>
      <c r="S1091" s="2"/>
      <c r="T1091" s="2"/>
    </row>
    <row r="1092" spans="1:20">
      <c r="A1092" s="3"/>
      <c r="B1092" s="3"/>
      <c r="C1092" s="2"/>
      <c r="D1092" s="2"/>
      <c r="E1092" s="51"/>
      <c r="F1092" s="51"/>
      <c r="G1092" s="51"/>
      <c r="H1092" s="51"/>
      <c r="I1092" s="2"/>
      <c r="J1092" s="2"/>
      <c r="K1092" s="2"/>
      <c r="L1092" s="2"/>
      <c r="M1092" s="2"/>
      <c r="N1092" s="2"/>
      <c r="O1092" s="2"/>
      <c r="P1092" s="53"/>
      <c r="Q1092" s="53"/>
      <c r="R1092" s="2"/>
      <c r="S1092" s="2"/>
      <c r="T1092" s="2"/>
    </row>
    <row r="1093" spans="1:20">
      <c r="A1093" s="3"/>
      <c r="B1093" s="3"/>
      <c r="C1093" s="2"/>
      <c r="D1093" s="2"/>
      <c r="E1093" s="51"/>
      <c r="F1093" s="51"/>
      <c r="G1093" s="51"/>
      <c r="H1093" s="51"/>
      <c r="I1093" s="2"/>
      <c r="J1093" s="2"/>
      <c r="K1093" s="2"/>
      <c r="L1093" s="2"/>
      <c r="M1093" s="2"/>
      <c r="N1093" s="2"/>
      <c r="O1093" s="2"/>
      <c r="P1093" s="53"/>
      <c r="Q1093" s="53"/>
      <c r="R1093" s="2"/>
      <c r="S1093" s="2"/>
      <c r="T1093" s="2"/>
    </row>
    <row r="1094" spans="1:20">
      <c r="A1094" s="3"/>
      <c r="B1094" s="3"/>
      <c r="C1094" s="2"/>
      <c r="D1094" s="2"/>
      <c r="E1094" s="51"/>
      <c r="F1094" s="51"/>
      <c r="G1094" s="51"/>
      <c r="H1094" s="51"/>
      <c r="I1094" s="2"/>
      <c r="J1094" s="2"/>
      <c r="K1094" s="2"/>
      <c r="L1094" s="2"/>
      <c r="M1094" s="2"/>
      <c r="N1094" s="2"/>
      <c r="O1094" s="2"/>
      <c r="P1094" s="53"/>
      <c r="Q1094" s="53"/>
      <c r="R1094" s="2"/>
      <c r="S1094" s="2"/>
      <c r="T1094" s="2"/>
    </row>
    <row r="1095" spans="1:20">
      <c r="A1095" s="3"/>
      <c r="B1095" s="3"/>
      <c r="C1095" s="2"/>
      <c r="D1095" s="2"/>
      <c r="E1095" s="51"/>
      <c r="F1095" s="51"/>
      <c r="G1095" s="51"/>
      <c r="H1095" s="51"/>
      <c r="I1095" s="2"/>
      <c r="J1095" s="2"/>
      <c r="K1095" s="2"/>
      <c r="L1095" s="2"/>
      <c r="M1095" s="2"/>
      <c r="N1095" s="2"/>
      <c r="O1095" s="2"/>
      <c r="P1095" s="53"/>
      <c r="Q1095" s="53"/>
      <c r="R1095" s="2"/>
      <c r="S1095" s="2"/>
      <c r="T1095" s="2"/>
    </row>
    <row r="1096" spans="1:20">
      <c r="A1096" s="3"/>
      <c r="B1096" s="3"/>
      <c r="C1096" s="2"/>
      <c r="D1096" s="2"/>
      <c r="E1096" s="51"/>
      <c r="F1096" s="51"/>
      <c r="G1096" s="51"/>
      <c r="H1096" s="51"/>
      <c r="I1096" s="2"/>
      <c r="J1096" s="2"/>
      <c r="K1096" s="2"/>
      <c r="L1096" s="2"/>
      <c r="M1096" s="2"/>
      <c r="N1096" s="2"/>
      <c r="O1096" s="2"/>
      <c r="P1096" s="53"/>
      <c r="Q1096" s="53"/>
      <c r="R1096" s="2"/>
      <c r="S1096" s="2"/>
      <c r="T1096" s="2"/>
    </row>
    <row r="1097" spans="1:20">
      <c r="A1097" s="3"/>
      <c r="B1097" s="3"/>
      <c r="C1097" s="2"/>
      <c r="D1097" s="2"/>
      <c r="E1097" s="51"/>
      <c r="F1097" s="51"/>
      <c r="G1097" s="51"/>
      <c r="H1097" s="51"/>
      <c r="I1097" s="2"/>
      <c r="J1097" s="2"/>
      <c r="K1097" s="2"/>
      <c r="L1097" s="2"/>
      <c r="M1097" s="2"/>
      <c r="N1097" s="2"/>
      <c r="O1097" s="2"/>
      <c r="P1097" s="53"/>
      <c r="Q1097" s="53"/>
      <c r="R1097" s="2"/>
      <c r="S1097" s="2"/>
      <c r="T1097" s="2"/>
    </row>
    <row r="1098" spans="1:20">
      <c r="A1098" s="3"/>
      <c r="B1098" s="3"/>
      <c r="C1098" s="2"/>
      <c r="D1098" s="2"/>
      <c r="E1098" s="51"/>
      <c r="F1098" s="51"/>
      <c r="G1098" s="51"/>
      <c r="H1098" s="51"/>
      <c r="I1098" s="2"/>
      <c r="J1098" s="2"/>
      <c r="K1098" s="2"/>
      <c r="L1098" s="2"/>
      <c r="M1098" s="2"/>
      <c r="N1098" s="2"/>
      <c r="O1098" s="2"/>
      <c r="P1098" s="53"/>
      <c r="Q1098" s="53"/>
      <c r="R1098" s="2"/>
      <c r="S1098" s="2"/>
      <c r="T1098" s="2"/>
    </row>
    <row r="1099" spans="1:20">
      <c r="A1099" s="3"/>
      <c r="B1099" s="3"/>
      <c r="C1099" s="2"/>
      <c r="D1099" s="2"/>
      <c r="E1099" s="51"/>
      <c r="F1099" s="51"/>
      <c r="G1099" s="51"/>
      <c r="H1099" s="51"/>
      <c r="I1099" s="2"/>
      <c r="J1099" s="2"/>
      <c r="K1099" s="2"/>
      <c r="L1099" s="2"/>
      <c r="M1099" s="2"/>
      <c r="N1099" s="2"/>
      <c r="O1099" s="2"/>
      <c r="P1099" s="53"/>
      <c r="Q1099" s="53"/>
      <c r="R1099" s="2"/>
      <c r="S1099" s="2"/>
      <c r="T1099" s="2"/>
    </row>
    <row r="1100" spans="1:20">
      <c r="A1100" s="3"/>
      <c r="B1100" s="3"/>
      <c r="C1100" s="2"/>
      <c r="D1100" s="2"/>
      <c r="E1100" s="51"/>
      <c r="F1100" s="51"/>
      <c r="G1100" s="51"/>
      <c r="H1100" s="51"/>
      <c r="I1100" s="2"/>
      <c r="J1100" s="2"/>
      <c r="K1100" s="2"/>
      <c r="L1100" s="2"/>
      <c r="M1100" s="2"/>
      <c r="N1100" s="2"/>
      <c r="O1100" s="2"/>
      <c r="P1100" s="53"/>
      <c r="Q1100" s="53"/>
      <c r="R1100" s="2"/>
      <c r="S1100" s="2"/>
      <c r="T1100" s="2"/>
    </row>
    <row r="1101" spans="1:20">
      <c r="A1101" s="3"/>
      <c r="B1101" s="3"/>
      <c r="C1101" s="2"/>
      <c r="D1101" s="2"/>
      <c r="E1101" s="51"/>
      <c r="F1101" s="51"/>
      <c r="G1101" s="51"/>
      <c r="H1101" s="51"/>
      <c r="I1101" s="2"/>
      <c r="J1101" s="2"/>
      <c r="K1101" s="2"/>
      <c r="L1101" s="2"/>
      <c r="M1101" s="2"/>
      <c r="N1101" s="2"/>
      <c r="O1101" s="2"/>
      <c r="P1101" s="53"/>
      <c r="Q1101" s="53"/>
      <c r="R1101" s="2"/>
      <c r="S1101" s="2"/>
      <c r="T1101" s="2"/>
    </row>
    <row r="1102" spans="1:20">
      <c r="A1102" s="3"/>
      <c r="B1102" s="3"/>
      <c r="C1102" s="2"/>
      <c r="D1102" s="2"/>
      <c r="E1102" s="51"/>
      <c r="F1102" s="51"/>
      <c r="G1102" s="51"/>
      <c r="H1102" s="51"/>
      <c r="I1102" s="2"/>
      <c r="J1102" s="2"/>
      <c r="K1102" s="2"/>
      <c r="L1102" s="2"/>
      <c r="M1102" s="2"/>
      <c r="N1102" s="2"/>
      <c r="O1102" s="2"/>
      <c r="P1102" s="53"/>
      <c r="Q1102" s="53"/>
      <c r="R1102" s="2"/>
      <c r="S1102" s="2"/>
      <c r="T1102" s="2"/>
    </row>
    <row r="1103" spans="1:20">
      <c r="A1103" s="3"/>
      <c r="B1103" s="3"/>
      <c r="C1103" s="2"/>
      <c r="D1103" s="2"/>
      <c r="E1103" s="51"/>
      <c r="F1103" s="51"/>
      <c r="G1103" s="51"/>
      <c r="H1103" s="51"/>
      <c r="I1103" s="2"/>
      <c r="J1103" s="2"/>
      <c r="K1103" s="2"/>
      <c r="L1103" s="2"/>
      <c r="M1103" s="2"/>
      <c r="N1103" s="2"/>
      <c r="O1103" s="2"/>
      <c r="P1103" s="53"/>
      <c r="Q1103" s="53"/>
      <c r="R1103" s="2"/>
      <c r="S1103" s="2"/>
      <c r="T1103" s="2"/>
    </row>
    <row r="1104" spans="1:20">
      <c r="A1104" s="3"/>
      <c r="B1104" s="3"/>
      <c r="C1104" s="2"/>
      <c r="D1104" s="2"/>
      <c r="E1104" s="51"/>
      <c r="F1104" s="51"/>
      <c r="G1104" s="51"/>
      <c r="H1104" s="51"/>
      <c r="I1104" s="2"/>
      <c r="J1104" s="2"/>
      <c r="K1104" s="2"/>
      <c r="L1104" s="2"/>
      <c r="M1104" s="2"/>
      <c r="N1104" s="2"/>
      <c r="O1104" s="2"/>
      <c r="P1104" s="53"/>
      <c r="Q1104" s="53"/>
      <c r="R1104" s="2"/>
      <c r="S1104" s="2"/>
      <c r="T1104" s="2"/>
    </row>
    <row r="1105" spans="1:20">
      <c r="A1105" s="3"/>
      <c r="B1105" s="3"/>
      <c r="C1105" s="2"/>
      <c r="D1105" s="2"/>
      <c r="E1105" s="51"/>
      <c r="F1105" s="51"/>
      <c r="G1105" s="51"/>
      <c r="H1105" s="51"/>
      <c r="I1105" s="2"/>
      <c r="J1105" s="2"/>
      <c r="K1105" s="2"/>
      <c r="L1105" s="2"/>
      <c r="M1105" s="2"/>
      <c r="N1105" s="2"/>
      <c r="O1105" s="2"/>
      <c r="P1105" s="53"/>
      <c r="Q1105" s="53"/>
      <c r="R1105" s="2"/>
      <c r="S1105" s="2"/>
      <c r="T1105" s="2"/>
    </row>
    <row r="1106" spans="1:20">
      <c r="A1106" s="3"/>
      <c r="B1106" s="3"/>
      <c r="C1106" s="2"/>
      <c r="D1106" s="2"/>
      <c r="E1106" s="51"/>
      <c r="F1106" s="51"/>
      <c r="G1106" s="51"/>
      <c r="H1106" s="51"/>
      <c r="I1106" s="2"/>
      <c r="J1106" s="2"/>
      <c r="K1106" s="2"/>
      <c r="L1106" s="2"/>
      <c r="M1106" s="2"/>
      <c r="N1106" s="2"/>
      <c r="O1106" s="2"/>
      <c r="P1106" s="53"/>
      <c r="Q1106" s="53"/>
      <c r="R1106" s="2"/>
      <c r="S1106" s="2"/>
      <c r="T1106" s="2"/>
    </row>
    <row r="1107" spans="1:20">
      <c r="A1107" s="3"/>
      <c r="B1107" s="3"/>
      <c r="C1107" s="2"/>
      <c r="D1107" s="2"/>
      <c r="E1107" s="51"/>
      <c r="F1107" s="51"/>
      <c r="G1107" s="51"/>
      <c r="H1107" s="51"/>
      <c r="I1107" s="2"/>
      <c r="J1107" s="2"/>
      <c r="K1107" s="2"/>
      <c r="L1107" s="2"/>
      <c r="M1107" s="2"/>
      <c r="N1107" s="2"/>
      <c r="O1107" s="2"/>
      <c r="P1107" s="53"/>
      <c r="Q1107" s="53"/>
      <c r="R1107" s="2"/>
      <c r="S1107" s="2"/>
      <c r="T1107" s="2"/>
    </row>
    <row r="1108" spans="1:20">
      <c r="A1108" s="3"/>
      <c r="B1108" s="3"/>
      <c r="C1108" s="2"/>
      <c r="D1108" s="2"/>
      <c r="E1108" s="51"/>
      <c r="F1108" s="51"/>
      <c r="G1108" s="51"/>
      <c r="H1108" s="51"/>
      <c r="I1108" s="2"/>
      <c r="J1108" s="2"/>
      <c r="K1108" s="2"/>
      <c r="L1108" s="2"/>
      <c r="M1108" s="2"/>
      <c r="N1108" s="2"/>
      <c r="O1108" s="2"/>
      <c r="P1108" s="53"/>
      <c r="Q1108" s="53"/>
      <c r="R1108" s="2"/>
      <c r="S1108" s="2"/>
      <c r="T1108" s="2"/>
    </row>
    <row r="1109" spans="1:20">
      <c r="A1109" s="3"/>
      <c r="B1109" s="3"/>
      <c r="C1109" s="2"/>
      <c r="D1109" s="2"/>
      <c r="E1109" s="51"/>
      <c r="F1109" s="51"/>
      <c r="G1109" s="51"/>
      <c r="H1109" s="51"/>
      <c r="I1109" s="2"/>
      <c r="J1109" s="2"/>
      <c r="K1109" s="2"/>
      <c r="L1109" s="2"/>
      <c r="M1109" s="2"/>
      <c r="N1109" s="2"/>
      <c r="O1109" s="2"/>
      <c r="P1109" s="53"/>
      <c r="Q1109" s="53"/>
      <c r="R1109" s="2"/>
      <c r="S1109" s="2"/>
      <c r="T1109" s="2"/>
    </row>
    <row r="1110" spans="1:20">
      <c r="A1110" s="3"/>
      <c r="B1110" s="3"/>
      <c r="C1110" s="2"/>
      <c r="D1110" s="2"/>
      <c r="E1110" s="51"/>
      <c r="F1110" s="51"/>
      <c r="G1110" s="51"/>
      <c r="H1110" s="51"/>
      <c r="I1110" s="2"/>
      <c r="J1110" s="2"/>
      <c r="K1110" s="2"/>
      <c r="L1110" s="2"/>
      <c r="M1110" s="2"/>
      <c r="N1110" s="2"/>
      <c r="O1110" s="2"/>
      <c r="P1110" s="53"/>
      <c r="Q1110" s="53"/>
      <c r="R1110" s="2"/>
      <c r="S1110" s="2"/>
      <c r="T1110" s="2"/>
    </row>
    <row r="1111" spans="1:20">
      <c r="A1111" s="3"/>
      <c r="B1111" s="3"/>
      <c r="C1111" s="2"/>
      <c r="D1111" s="2"/>
      <c r="E1111" s="51"/>
      <c r="F1111" s="51"/>
      <c r="G1111" s="51"/>
      <c r="H1111" s="51"/>
      <c r="I1111" s="2"/>
      <c r="J1111" s="2"/>
      <c r="K1111" s="2"/>
      <c r="L1111" s="2"/>
      <c r="M1111" s="2"/>
      <c r="N1111" s="2"/>
      <c r="O1111" s="2"/>
      <c r="P1111" s="53"/>
      <c r="Q1111" s="53"/>
      <c r="R1111" s="2"/>
      <c r="S1111" s="2"/>
      <c r="T1111" s="2"/>
    </row>
    <row r="1112" spans="1:20">
      <c r="A1112" s="3"/>
      <c r="B1112" s="3"/>
      <c r="C1112" s="2"/>
      <c r="D1112" s="2"/>
      <c r="E1112" s="51"/>
      <c r="F1112" s="51"/>
      <c r="G1112" s="51"/>
      <c r="H1112" s="51"/>
      <c r="I1112" s="2"/>
      <c r="J1112" s="2"/>
      <c r="K1112" s="2"/>
      <c r="L1112" s="2"/>
      <c r="M1112" s="2"/>
      <c r="N1112" s="2"/>
      <c r="O1112" s="2"/>
      <c r="P1112" s="53"/>
      <c r="Q1112" s="53"/>
      <c r="R1112" s="2"/>
      <c r="S1112" s="2"/>
      <c r="T1112" s="2"/>
    </row>
    <row r="1113" spans="1:20">
      <c r="A1113" s="3"/>
      <c r="B1113" s="3"/>
      <c r="C1113" s="2"/>
      <c r="D1113" s="2"/>
      <c r="E1113" s="51"/>
      <c r="F1113" s="51"/>
      <c r="G1113" s="51"/>
      <c r="H1113" s="51"/>
      <c r="I1113" s="2"/>
      <c r="J1113" s="2"/>
      <c r="K1113" s="2"/>
      <c r="L1113" s="2"/>
      <c r="M1113" s="2"/>
      <c r="N1113" s="2"/>
      <c r="O1113" s="2"/>
      <c r="P1113" s="53"/>
      <c r="Q1113" s="53"/>
      <c r="R1113" s="2"/>
      <c r="S1113" s="2"/>
      <c r="T1113" s="2"/>
    </row>
    <row r="1114" spans="1:20">
      <c r="A1114" s="3"/>
      <c r="B1114" s="3"/>
      <c r="C1114" s="2"/>
      <c r="D1114" s="2"/>
      <c r="E1114" s="51"/>
      <c r="F1114" s="51"/>
      <c r="G1114" s="51"/>
      <c r="H1114" s="51"/>
      <c r="I1114" s="2"/>
      <c r="J1114" s="2"/>
      <c r="K1114" s="2"/>
      <c r="L1114" s="2"/>
      <c r="M1114" s="2"/>
      <c r="N1114" s="2"/>
      <c r="O1114" s="2"/>
      <c r="P1114" s="53"/>
      <c r="Q1114" s="53"/>
      <c r="R1114" s="2"/>
      <c r="S1114" s="2"/>
      <c r="T1114" s="2"/>
    </row>
    <row r="1115" spans="1:20">
      <c r="A1115" s="3"/>
      <c r="B1115" s="3"/>
      <c r="C1115" s="2"/>
      <c r="D1115" s="2"/>
      <c r="E1115" s="51"/>
      <c r="F1115" s="51"/>
      <c r="G1115" s="51"/>
      <c r="H1115" s="51"/>
      <c r="I1115" s="2"/>
      <c r="J1115" s="2"/>
      <c r="K1115" s="2"/>
      <c r="L1115" s="2"/>
      <c r="M1115" s="2"/>
      <c r="N1115" s="2"/>
      <c r="O1115" s="2"/>
      <c r="P1115" s="53"/>
      <c r="Q1115" s="53"/>
      <c r="R1115" s="2"/>
      <c r="S1115" s="2"/>
      <c r="T1115" s="2"/>
    </row>
    <row r="1116" spans="1:20">
      <c r="A1116" s="3"/>
      <c r="B1116" s="3"/>
      <c r="C1116" s="2"/>
      <c r="D1116" s="2"/>
      <c r="E1116" s="51"/>
      <c r="F1116" s="51"/>
      <c r="G1116" s="51"/>
      <c r="H1116" s="51"/>
      <c r="I1116" s="2"/>
      <c r="J1116" s="2"/>
      <c r="K1116" s="2"/>
      <c r="L1116" s="2"/>
      <c r="M1116" s="2"/>
      <c r="N1116" s="2"/>
      <c r="O1116" s="2"/>
      <c r="P1116" s="53"/>
      <c r="Q1116" s="53"/>
      <c r="R1116" s="2"/>
      <c r="S1116" s="2"/>
      <c r="T1116" s="2"/>
    </row>
    <row r="1117" spans="1:20">
      <c r="A1117" s="3"/>
      <c r="B1117" s="3"/>
      <c r="C1117" s="2"/>
      <c r="D1117" s="2"/>
      <c r="E1117" s="51"/>
      <c r="F1117" s="51"/>
      <c r="G1117" s="51"/>
      <c r="H1117" s="51"/>
      <c r="I1117" s="2"/>
      <c r="J1117" s="2"/>
      <c r="K1117" s="2"/>
      <c r="L1117" s="2"/>
      <c r="M1117" s="2"/>
      <c r="N1117" s="2"/>
      <c r="O1117" s="2"/>
      <c r="P1117" s="53"/>
      <c r="Q1117" s="53"/>
      <c r="R1117" s="2"/>
      <c r="S1117" s="2"/>
      <c r="T1117" s="2"/>
    </row>
    <row r="1118" spans="1:20">
      <c r="A1118" s="3"/>
      <c r="B1118" s="3"/>
      <c r="C1118" s="2"/>
      <c r="D1118" s="2"/>
      <c r="E1118" s="51"/>
      <c r="F1118" s="51"/>
      <c r="G1118" s="51"/>
      <c r="H1118" s="51"/>
      <c r="I1118" s="2"/>
      <c r="J1118" s="2"/>
      <c r="K1118" s="2"/>
      <c r="L1118" s="2"/>
      <c r="M1118" s="2"/>
      <c r="N1118" s="2"/>
      <c r="O1118" s="2"/>
      <c r="P1118" s="53"/>
      <c r="Q1118" s="53"/>
      <c r="R1118" s="2"/>
      <c r="S1118" s="2"/>
      <c r="T1118" s="2"/>
    </row>
    <row r="1119" spans="1:20">
      <c r="A1119" s="3"/>
      <c r="B1119" s="3"/>
      <c r="C1119" s="2"/>
      <c r="D1119" s="2"/>
      <c r="E1119" s="51"/>
      <c r="F1119" s="51"/>
      <c r="G1119" s="51"/>
      <c r="H1119" s="51"/>
      <c r="I1119" s="2"/>
      <c r="J1119" s="2"/>
      <c r="K1119" s="2"/>
      <c r="L1119" s="2"/>
      <c r="M1119" s="2"/>
      <c r="N1119" s="2"/>
      <c r="O1119" s="2"/>
      <c r="P1119" s="53"/>
      <c r="Q1119" s="53"/>
      <c r="R1119" s="2"/>
      <c r="S1119" s="2"/>
      <c r="T1119" s="2"/>
    </row>
    <row r="1120" spans="1:20">
      <c r="A1120" s="3"/>
      <c r="B1120" s="3"/>
      <c r="C1120" s="2"/>
      <c r="D1120" s="2"/>
      <c r="E1120" s="51"/>
      <c r="F1120" s="51"/>
      <c r="G1120" s="51"/>
      <c r="H1120" s="51"/>
      <c r="I1120" s="2"/>
      <c r="J1120" s="2"/>
      <c r="K1120" s="2"/>
      <c r="L1120" s="2"/>
      <c r="M1120" s="2"/>
      <c r="N1120" s="2"/>
      <c r="O1120" s="2"/>
      <c r="P1120" s="53"/>
      <c r="Q1120" s="53"/>
      <c r="R1120" s="2"/>
      <c r="S1120" s="2"/>
      <c r="T1120" s="2"/>
    </row>
    <row r="1121" spans="1:20">
      <c r="A1121" s="3"/>
      <c r="B1121" s="3"/>
      <c r="C1121" s="2"/>
      <c r="D1121" s="2"/>
      <c r="E1121" s="51"/>
      <c r="F1121" s="51"/>
      <c r="G1121" s="51"/>
      <c r="H1121" s="51"/>
      <c r="I1121" s="2"/>
      <c r="J1121" s="2"/>
      <c r="K1121" s="2"/>
      <c r="L1121" s="2"/>
      <c r="M1121" s="2"/>
      <c r="N1121" s="2"/>
      <c r="O1121" s="2"/>
      <c r="P1121" s="53"/>
      <c r="Q1121" s="53"/>
      <c r="R1121" s="2"/>
      <c r="S1121" s="2"/>
      <c r="T1121" s="2"/>
    </row>
    <row r="1122" spans="1:20">
      <c r="A1122" s="3"/>
      <c r="B1122" s="3"/>
      <c r="C1122" s="2"/>
      <c r="D1122" s="2"/>
      <c r="E1122" s="51"/>
      <c r="F1122" s="51"/>
      <c r="G1122" s="51"/>
      <c r="H1122" s="51"/>
      <c r="I1122" s="2"/>
      <c r="J1122" s="2"/>
      <c r="K1122" s="2"/>
      <c r="L1122" s="2"/>
      <c r="M1122" s="2"/>
      <c r="N1122" s="2"/>
      <c r="O1122" s="2"/>
      <c r="P1122" s="53"/>
      <c r="Q1122" s="53"/>
      <c r="R1122" s="2"/>
      <c r="S1122" s="2"/>
      <c r="T1122" s="2"/>
    </row>
    <row r="1123" spans="1:20">
      <c r="A1123" s="3"/>
      <c r="B1123" s="3"/>
      <c r="C1123" s="2"/>
      <c r="D1123" s="2"/>
      <c r="E1123" s="51"/>
      <c r="F1123" s="51"/>
      <c r="G1123" s="51"/>
      <c r="H1123" s="51"/>
      <c r="I1123" s="2"/>
      <c r="J1123" s="2"/>
      <c r="K1123" s="2"/>
      <c r="L1123" s="2"/>
      <c r="M1123" s="2"/>
      <c r="N1123" s="2"/>
      <c r="O1123" s="2"/>
      <c r="P1123" s="53"/>
      <c r="Q1123" s="53"/>
      <c r="R1123" s="2"/>
      <c r="S1123" s="2"/>
      <c r="T1123" s="2"/>
    </row>
    <row r="1124" spans="1:20">
      <c r="A1124" s="3"/>
      <c r="B1124" s="3"/>
      <c r="C1124" s="2"/>
      <c r="D1124" s="2"/>
      <c r="E1124" s="51"/>
      <c r="F1124" s="51"/>
      <c r="G1124" s="51"/>
      <c r="H1124" s="51"/>
      <c r="I1124" s="2"/>
      <c r="J1124" s="2"/>
      <c r="K1124" s="2"/>
      <c r="L1124" s="2"/>
      <c r="M1124" s="2"/>
      <c r="N1124" s="2"/>
      <c r="O1124" s="2"/>
      <c r="P1124" s="53"/>
      <c r="Q1124" s="53"/>
      <c r="R1124" s="2"/>
      <c r="S1124" s="2"/>
      <c r="T1124" s="2"/>
    </row>
    <row r="1125" spans="1:20">
      <c r="A1125" s="3"/>
      <c r="B1125" s="3"/>
      <c r="C1125" s="2"/>
      <c r="D1125" s="2"/>
      <c r="E1125" s="51"/>
      <c r="F1125" s="51"/>
      <c r="G1125" s="51"/>
      <c r="H1125" s="51"/>
      <c r="I1125" s="2"/>
      <c r="J1125" s="2"/>
      <c r="K1125" s="2"/>
      <c r="L1125" s="2"/>
      <c r="M1125" s="2"/>
      <c r="N1125" s="2"/>
      <c r="O1125" s="2"/>
      <c r="P1125" s="53"/>
      <c r="Q1125" s="53"/>
      <c r="R1125" s="2"/>
      <c r="S1125" s="2"/>
      <c r="T1125" s="2"/>
    </row>
    <row r="1126" spans="1:20">
      <c r="A1126" s="3"/>
      <c r="B1126" s="3"/>
      <c r="C1126" s="2"/>
      <c r="D1126" s="2"/>
      <c r="E1126" s="51"/>
      <c r="F1126" s="51"/>
      <c r="G1126" s="51"/>
      <c r="H1126" s="51"/>
      <c r="I1126" s="2"/>
      <c r="J1126" s="2"/>
      <c r="K1126" s="2"/>
      <c r="L1126" s="2"/>
      <c r="M1126" s="2"/>
      <c r="N1126" s="2"/>
      <c r="O1126" s="2"/>
      <c r="P1126" s="53"/>
      <c r="Q1126" s="53"/>
      <c r="R1126" s="2"/>
      <c r="S1126" s="2"/>
      <c r="T1126" s="2"/>
    </row>
    <row r="1127" spans="1:20">
      <c r="A1127" s="3"/>
      <c r="B1127" s="3"/>
      <c r="C1127" s="2"/>
      <c r="D1127" s="2"/>
      <c r="E1127" s="51"/>
      <c r="F1127" s="51"/>
      <c r="G1127" s="51"/>
      <c r="H1127" s="51"/>
      <c r="I1127" s="2"/>
      <c r="J1127" s="2"/>
      <c r="K1127" s="2"/>
      <c r="L1127" s="2"/>
      <c r="M1127" s="2"/>
      <c r="N1127" s="2"/>
      <c r="O1127" s="2"/>
      <c r="P1127" s="53"/>
      <c r="Q1127" s="53"/>
      <c r="R1127" s="2"/>
      <c r="S1127" s="2"/>
      <c r="T1127" s="2"/>
    </row>
    <row r="1128" spans="1:20">
      <c r="A1128" s="3"/>
      <c r="B1128" s="3"/>
      <c r="C1128" s="2"/>
      <c r="D1128" s="2"/>
      <c r="E1128" s="51"/>
      <c r="F1128" s="51"/>
      <c r="G1128" s="51"/>
      <c r="H1128" s="51"/>
      <c r="I1128" s="2"/>
      <c r="J1128" s="2"/>
      <c r="K1128" s="2"/>
      <c r="L1128" s="2"/>
      <c r="M1128" s="2"/>
      <c r="N1128" s="2"/>
      <c r="O1128" s="2"/>
      <c r="P1128" s="53"/>
      <c r="Q1128" s="53"/>
      <c r="R1128" s="2"/>
      <c r="S1128" s="2"/>
      <c r="T1128" s="2"/>
    </row>
    <row r="1129" spans="1:20">
      <c r="A1129" s="3"/>
      <c r="B1129" s="3"/>
      <c r="C1129" s="2"/>
      <c r="D1129" s="2"/>
      <c r="E1129" s="51"/>
      <c r="F1129" s="51"/>
      <c r="G1129" s="51"/>
      <c r="H1129" s="51"/>
      <c r="I1129" s="2"/>
      <c r="J1129" s="2"/>
      <c r="K1129" s="2"/>
      <c r="L1129" s="2"/>
      <c r="M1129" s="2"/>
      <c r="N1129" s="2"/>
      <c r="O1129" s="2"/>
      <c r="P1129" s="53"/>
      <c r="Q1129" s="53"/>
      <c r="R1129" s="2"/>
      <c r="S1129" s="2"/>
      <c r="T1129" s="2"/>
    </row>
    <row r="1130" spans="1:20">
      <c r="A1130" s="3"/>
      <c r="B1130" s="3"/>
      <c r="C1130" s="2"/>
      <c r="D1130" s="2"/>
      <c r="E1130" s="51"/>
      <c r="F1130" s="51"/>
      <c r="G1130" s="51"/>
      <c r="H1130" s="51"/>
      <c r="I1130" s="2"/>
      <c r="J1130" s="2"/>
      <c r="K1130" s="2"/>
      <c r="L1130" s="2"/>
      <c r="M1130" s="2"/>
      <c r="N1130" s="2"/>
      <c r="O1130" s="2"/>
      <c r="P1130" s="53"/>
      <c r="Q1130" s="53"/>
      <c r="R1130" s="2"/>
      <c r="S1130" s="2"/>
      <c r="T1130" s="2"/>
    </row>
    <row r="1131" spans="1:20">
      <c r="A1131" s="3"/>
      <c r="B1131" s="3"/>
      <c r="C1131" s="2"/>
      <c r="D1131" s="2"/>
      <c r="E1131" s="51"/>
      <c r="F1131" s="51"/>
      <c r="G1131" s="51"/>
      <c r="H1131" s="51"/>
      <c r="I1131" s="2"/>
      <c r="J1131" s="2"/>
      <c r="K1131" s="2"/>
      <c r="L1131" s="2"/>
      <c r="M1131" s="2"/>
      <c r="N1131" s="2"/>
      <c r="O1131" s="2"/>
      <c r="P1131" s="53"/>
      <c r="Q1131" s="53"/>
      <c r="R1131" s="2"/>
      <c r="S1131" s="2"/>
      <c r="T1131" s="2"/>
    </row>
    <row r="1132" spans="1:20">
      <c r="A1132" s="3"/>
      <c r="B1132" s="3"/>
      <c r="C1132" s="2"/>
      <c r="D1132" s="2"/>
      <c r="E1132" s="51"/>
      <c r="F1132" s="51"/>
      <c r="G1132" s="51"/>
      <c r="H1132" s="51"/>
      <c r="I1132" s="2"/>
      <c r="J1132" s="2"/>
      <c r="K1132" s="2"/>
      <c r="L1132" s="2"/>
      <c r="M1132" s="2"/>
      <c r="N1132" s="2"/>
      <c r="O1132" s="2"/>
      <c r="P1132" s="53"/>
      <c r="Q1132" s="53"/>
      <c r="R1132" s="2"/>
      <c r="S1132" s="2"/>
      <c r="T1132" s="2"/>
    </row>
    <row r="1133" spans="1:20">
      <c r="A1133" s="3"/>
      <c r="B1133" s="3"/>
      <c r="C1133" s="2"/>
      <c r="D1133" s="2"/>
      <c r="E1133" s="51"/>
      <c r="F1133" s="51"/>
      <c r="G1133" s="51"/>
      <c r="H1133" s="51"/>
      <c r="I1133" s="2"/>
      <c r="J1133" s="2"/>
      <c r="K1133" s="2"/>
      <c r="L1133" s="2"/>
      <c r="M1133" s="2"/>
      <c r="N1133" s="2"/>
      <c r="O1133" s="2"/>
      <c r="P1133" s="53"/>
      <c r="Q1133" s="53"/>
      <c r="R1133" s="2"/>
      <c r="S1133" s="2"/>
      <c r="T1133" s="2"/>
    </row>
    <row r="1134" spans="1:20">
      <c r="A1134" s="3"/>
      <c r="B1134" s="3"/>
      <c r="C1134" s="2"/>
      <c r="D1134" s="2"/>
      <c r="E1134" s="51"/>
      <c r="F1134" s="51"/>
      <c r="G1134" s="51"/>
      <c r="H1134" s="51"/>
      <c r="I1134" s="2"/>
      <c r="J1134" s="2"/>
      <c r="K1134" s="2"/>
      <c r="L1134" s="2"/>
      <c r="M1134" s="2"/>
      <c r="N1134" s="2"/>
      <c r="O1134" s="2"/>
      <c r="P1134" s="53"/>
      <c r="Q1134" s="53"/>
      <c r="R1134" s="2"/>
      <c r="S1134" s="2"/>
      <c r="T1134" s="2"/>
    </row>
    <row r="1135" spans="1:20">
      <c r="A1135" s="3"/>
      <c r="B1135" s="3"/>
      <c r="C1135" s="2"/>
      <c r="D1135" s="2"/>
      <c r="E1135" s="51"/>
      <c r="F1135" s="51"/>
      <c r="G1135" s="51"/>
      <c r="H1135" s="51"/>
      <c r="I1135" s="2"/>
      <c r="J1135" s="2"/>
      <c r="K1135" s="2"/>
      <c r="L1135" s="2"/>
      <c r="M1135" s="2"/>
      <c r="N1135" s="2"/>
      <c r="O1135" s="2"/>
      <c r="P1135" s="53"/>
      <c r="Q1135" s="53"/>
      <c r="R1135" s="2"/>
      <c r="S1135" s="2"/>
      <c r="T1135" s="2"/>
    </row>
    <row r="1136" spans="1:20">
      <c r="A1136" s="3"/>
      <c r="B1136" s="3"/>
      <c r="C1136" s="2"/>
      <c r="D1136" s="2"/>
      <c r="E1136" s="51"/>
      <c r="F1136" s="51"/>
      <c r="G1136" s="51"/>
      <c r="H1136" s="51"/>
      <c r="I1136" s="2"/>
      <c r="J1136" s="2"/>
      <c r="K1136" s="2"/>
      <c r="L1136" s="2"/>
      <c r="M1136" s="2"/>
      <c r="N1136" s="2"/>
      <c r="O1136" s="2"/>
      <c r="P1136" s="53"/>
      <c r="Q1136" s="53"/>
      <c r="R1136" s="2"/>
      <c r="S1136" s="2"/>
      <c r="T1136" s="2"/>
    </row>
    <row r="1137" spans="1:20">
      <c r="A1137" s="3"/>
      <c r="B1137" s="3"/>
      <c r="C1137" s="2"/>
      <c r="D1137" s="2"/>
      <c r="E1137" s="51"/>
      <c r="F1137" s="51"/>
      <c r="G1137" s="51"/>
      <c r="H1137" s="51"/>
      <c r="I1137" s="2"/>
      <c r="J1137" s="2"/>
      <c r="K1137" s="2"/>
      <c r="L1137" s="2"/>
      <c r="M1137" s="2"/>
      <c r="N1137" s="2"/>
      <c r="O1137" s="2"/>
      <c r="P1137" s="53"/>
      <c r="Q1137" s="53"/>
      <c r="R1137" s="2"/>
      <c r="S1137" s="2"/>
      <c r="T1137" s="2"/>
    </row>
    <row r="1138" spans="1:20">
      <c r="A1138" s="3"/>
      <c r="B1138" s="3"/>
      <c r="C1138" s="2"/>
      <c r="D1138" s="2"/>
      <c r="E1138" s="51"/>
      <c r="F1138" s="51"/>
      <c r="G1138" s="51"/>
      <c r="H1138" s="51"/>
      <c r="I1138" s="2"/>
      <c r="J1138" s="2"/>
      <c r="K1138" s="2"/>
      <c r="L1138" s="2"/>
      <c r="M1138" s="2"/>
      <c r="N1138" s="2"/>
      <c r="O1138" s="2"/>
      <c r="P1138" s="53"/>
      <c r="Q1138" s="53"/>
      <c r="R1138" s="2"/>
      <c r="S1138" s="2"/>
      <c r="T1138" s="2"/>
    </row>
    <row r="1139" spans="1:20">
      <c r="A1139" s="3"/>
      <c r="B1139" s="3"/>
      <c r="C1139" s="2"/>
      <c r="D1139" s="2"/>
      <c r="E1139" s="51"/>
      <c r="F1139" s="51"/>
      <c r="G1139" s="51"/>
      <c r="H1139" s="51"/>
      <c r="I1139" s="2"/>
      <c r="J1139" s="2"/>
      <c r="K1139" s="2"/>
      <c r="L1139" s="2"/>
      <c r="M1139" s="2"/>
      <c r="N1139" s="2"/>
      <c r="O1139" s="2"/>
      <c r="P1139" s="53"/>
      <c r="Q1139" s="53"/>
      <c r="R1139" s="2"/>
      <c r="S1139" s="2"/>
      <c r="T1139" s="2"/>
    </row>
    <row r="1140" spans="1:20">
      <c r="A1140" s="3"/>
      <c r="B1140" s="3"/>
      <c r="C1140" s="2"/>
      <c r="D1140" s="2"/>
      <c r="E1140" s="51"/>
      <c r="F1140" s="51"/>
      <c r="G1140" s="51"/>
      <c r="H1140" s="51"/>
      <c r="I1140" s="2"/>
      <c r="J1140" s="2"/>
      <c r="K1140" s="2"/>
      <c r="L1140" s="2"/>
      <c r="M1140" s="2"/>
      <c r="N1140" s="2"/>
      <c r="O1140" s="2"/>
      <c r="P1140" s="53"/>
      <c r="Q1140" s="53"/>
      <c r="R1140" s="2"/>
      <c r="S1140" s="2"/>
      <c r="T1140" s="2"/>
    </row>
    <row r="1141" spans="1:20">
      <c r="A1141" s="3"/>
      <c r="B1141" s="3"/>
      <c r="C1141" s="2"/>
      <c r="D1141" s="2"/>
      <c r="E1141" s="51"/>
      <c r="F1141" s="51"/>
      <c r="G1141" s="51"/>
      <c r="H1141" s="51"/>
      <c r="I1141" s="2"/>
      <c r="J1141" s="2"/>
      <c r="K1141" s="2"/>
      <c r="L1141" s="2"/>
      <c r="M1141" s="2"/>
      <c r="N1141" s="2"/>
      <c r="O1141" s="2"/>
      <c r="P1141" s="53"/>
      <c r="Q1141" s="53"/>
      <c r="R1141" s="2"/>
    </row>
    <row r="1142" spans="1:20">
      <c r="A1142" s="3"/>
      <c r="B1142" s="3"/>
      <c r="C1142" s="2"/>
      <c r="D1142" s="2"/>
      <c r="E1142" s="51"/>
      <c r="F1142" s="51"/>
      <c r="G1142" s="51"/>
      <c r="H1142" s="51"/>
      <c r="I1142" s="2"/>
      <c r="J1142" s="2"/>
      <c r="K1142" s="2"/>
      <c r="L1142" s="2"/>
      <c r="M1142" s="2"/>
      <c r="N1142" s="2"/>
      <c r="O1142" s="2"/>
      <c r="P1142" s="53"/>
      <c r="Q1142" s="53"/>
      <c r="R1142" s="2"/>
    </row>
    <row r="1143" spans="1:20">
      <c r="A1143" s="3"/>
      <c r="B1143" s="3"/>
      <c r="C1143" s="2"/>
      <c r="D1143" s="2"/>
      <c r="E1143" s="51"/>
      <c r="F1143" s="51"/>
      <c r="G1143" s="51"/>
      <c r="H1143" s="51"/>
      <c r="I1143" s="2"/>
      <c r="J1143" s="2"/>
      <c r="K1143" s="2"/>
      <c r="L1143" s="2"/>
      <c r="M1143" s="2"/>
      <c r="N1143" s="2"/>
      <c r="O1143" s="2"/>
      <c r="P1143" s="53"/>
      <c r="Q1143" s="53"/>
      <c r="R1143" s="2"/>
    </row>
    <row r="1144" spans="1:20">
      <c r="A1144" s="3"/>
      <c r="B1144" s="3"/>
      <c r="C1144" s="2"/>
      <c r="D1144" s="2"/>
      <c r="E1144" s="51"/>
      <c r="F1144" s="51"/>
      <c r="G1144" s="51"/>
      <c r="H1144" s="51"/>
      <c r="I1144" s="2"/>
      <c r="J1144" s="2"/>
      <c r="K1144" s="2"/>
      <c r="L1144" s="2"/>
      <c r="M1144" s="2"/>
      <c r="N1144" s="2"/>
      <c r="O1144" s="2"/>
      <c r="P1144" s="53"/>
      <c r="Q1144" s="53"/>
      <c r="R1144" s="2"/>
    </row>
    <row r="1145" spans="1:20">
      <c r="A1145" s="3"/>
      <c r="B1145" s="3"/>
      <c r="C1145" s="2"/>
      <c r="D1145" s="2"/>
      <c r="E1145" s="51"/>
      <c r="F1145" s="51"/>
      <c r="G1145" s="51"/>
      <c r="H1145" s="51"/>
      <c r="I1145" s="2"/>
      <c r="J1145" s="2"/>
      <c r="K1145" s="2"/>
      <c r="L1145" s="2"/>
      <c r="M1145" s="2"/>
      <c r="N1145" s="2"/>
      <c r="O1145" s="2"/>
      <c r="P1145" s="53"/>
      <c r="Q1145" s="53"/>
      <c r="R1145" s="2"/>
    </row>
    <row r="1146" spans="1:20">
      <c r="A1146" s="3"/>
      <c r="B1146" s="3"/>
      <c r="C1146" s="2"/>
      <c r="D1146" s="2"/>
      <c r="E1146" s="51"/>
      <c r="F1146" s="51"/>
      <c r="G1146" s="51"/>
      <c r="H1146" s="51"/>
      <c r="I1146" s="2"/>
      <c r="J1146" s="2"/>
      <c r="K1146" s="2"/>
      <c r="L1146" s="2"/>
      <c r="M1146" s="2"/>
      <c r="N1146" s="2"/>
      <c r="O1146" s="2"/>
      <c r="P1146" s="53"/>
      <c r="Q1146" s="53"/>
      <c r="R1146" s="2"/>
    </row>
    <row r="1147" spans="1:20">
      <c r="A1147" s="3"/>
      <c r="B1147" s="3"/>
      <c r="C1147" s="2"/>
      <c r="D1147" s="2"/>
      <c r="E1147" s="51"/>
      <c r="F1147" s="51"/>
      <c r="G1147" s="51"/>
      <c r="H1147" s="51"/>
      <c r="I1147" s="2"/>
      <c r="J1147" s="2"/>
      <c r="K1147" s="2"/>
      <c r="L1147" s="2"/>
      <c r="M1147" s="2"/>
      <c r="N1147" s="2"/>
      <c r="O1147" s="2"/>
      <c r="P1147" s="53"/>
      <c r="Q1147" s="53"/>
      <c r="R1147" s="2"/>
    </row>
    <row r="1148" spans="1:20">
      <c r="A1148" s="3"/>
      <c r="B1148" s="3"/>
      <c r="C1148" s="2"/>
      <c r="D1148" s="2"/>
      <c r="E1148" s="51"/>
      <c r="F1148" s="51"/>
      <c r="G1148" s="51"/>
      <c r="H1148" s="51"/>
      <c r="I1148" s="2"/>
      <c r="J1148" s="2"/>
      <c r="K1148" s="2"/>
      <c r="L1148" s="2"/>
      <c r="M1148" s="2"/>
      <c r="N1148" s="2"/>
      <c r="O1148" s="2"/>
      <c r="P1148" s="53"/>
      <c r="Q1148" s="53"/>
      <c r="R1148" s="2"/>
    </row>
    <row r="1149" spans="1:20">
      <c r="A1149" s="3"/>
      <c r="B1149" s="3"/>
      <c r="C1149" s="2"/>
      <c r="D1149" s="2"/>
      <c r="E1149" s="51"/>
      <c r="F1149" s="51"/>
      <c r="G1149" s="51"/>
      <c r="H1149" s="51"/>
      <c r="I1149" s="2"/>
      <c r="J1149" s="2"/>
      <c r="K1149" s="2"/>
      <c r="L1149" s="2"/>
      <c r="M1149" s="2"/>
      <c r="N1149" s="2"/>
      <c r="O1149" s="2"/>
      <c r="P1149" s="53"/>
      <c r="Q1149" s="53"/>
      <c r="R1149" s="2"/>
    </row>
    <row r="1150" spans="1:20">
      <c r="A1150" s="3"/>
      <c r="B1150" s="3"/>
      <c r="C1150" s="2"/>
      <c r="D1150" s="2"/>
      <c r="E1150" s="51"/>
      <c r="F1150" s="51"/>
      <c r="G1150" s="51"/>
      <c r="H1150" s="51"/>
      <c r="I1150" s="2"/>
      <c r="J1150" s="2"/>
      <c r="K1150" s="2"/>
      <c r="L1150" s="2"/>
      <c r="M1150" s="2"/>
      <c r="N1150" s="2"/>
      <c r="O1150" s="2"/>
      <c r="P1150" s="53"/>
      <c r="Q1150" s="53"/>
      <c r="R1150" s="2"/>
    </row>
    <row r="1151" spans="1:20">
      <c r="A1151" s="3"/>
      <c r="B1151" s="3"/>
      <c r="C1151" s="2"/>
      <c r="D1151" s="2"/>
      <c r="E1151" s="51"/>
      <c r="F1151" s="51"/>
      <c r="G1151" s="51"/>
      <c r="H1151" s="51"/>
      <c r="I1151" s="2"/>
      <c r="J1151" s="2"/>
      <c r="K1151" s="2"/>
      <c r="L1151" s="2"/>
      <c r="M1151" s="2"/>
      <c r="N1151" s="2"/>
      <c r="O1151" s="2"/>
      <c r="P1151" s="53"/>
      <c r="Q1151" s="53"/>
      <c r="R1151" s="2"/>
    </row>
    <row r="1152" spans="1:20">
      <c r="A1152" s="3"/>
      <c r="B1152" s="3"/>
      <c r="C1152" s="2"/>
      <c r="D1152" s="2"/>
      <c r="E1152" s="51"/>
      <c r="F1152" s="51"/>
      <c r="G1152" s="51"/>
      <c r="H1152" s="51"/>
      <c r="I1152" s="2"/>
      <c r="J1152" s="2"/>
      <c r="K1152" s="2"/>
      <c r="L1152" s="2"/>
      <c r="M1152" s="2"/>
      <c r="N1152" s="2"/>
      <c r="O1152" s="2"/>
      <c r="P1152" s="53"/>
      <c r="Q1152" s="53"/>
      <c r="R1152" s="2"/>
    </row>
    <row r="1153" spans="1:18">
      <c r="A1153" s="3"/>
      <c r="B1153" s="3"/>
      <c r="C1153" s="2"/>
      <c r="D1153" s="2"/>
      <c r="E1153" s="51"/>
      <c r="F1153" s="51"/>
      <c r="G1153" s="51"/>
      <c r="H1153" s="51"/>
      <c r="I1153" s="2"/>
      <c r="J1153" s="2"/>
      <c r="K1153" s="2"/>
      <c r="L1153" s="2"/>
      <c r="M1153" s="2"/>
      <c r="N1153" s="2"/>
      <c r="O1153" s="2"/>
      <c r="P1153" s="53"/>
      <c r="Q1153" s="53"/>
      <c r="R1153" s="2"/>
    </row>
    <row r="1154" spans="1:18">
      <c r="A1154" s="3"/>
      <c r="B1154" s="3"/>
      <c r="C1154" s="2"/>
      <c r="D1154" s="2"/>
      <c r="E1154" s="51"/>
      <c r="F1154" s="51"/>
      <c r="G1154" s="51"/>
      <c r="H1154" s="51"/>
      <c r="I1154" s="2"/>
      <c r="J1154" s="2"/>
      <c r="K1154" s="2"/>
      <c r="L1154" s="2"/>
      <c r="M1154" s="2"/>
      <c r="N1154" s="2"/>
      <c r="O1154" s="2"/>
      <c r="P1154" s="53"/>
      <c r="Q1154" s="53"/>
      <c r="R1154" s="2"/>
    </row>
    <row r="1155" spans="1:18">
      <c r="A1155" s="3"/>
      <c r="B1155" s="3"/>
      <c r="C1155" s="2"/>
      <c r="D1155" s="2"/>
      <c r="E1155" s="51"/>
      <c r="F1155" s="51"/>
      <c r="G1155" s="51"/>
      <c r="H1155" s="51"/>
      <c r="I1155" s="2"/>
      <c r="J1155" s="2"/>
      <c r="K1155" s="2"/>
      <c r="L1155" s="2"/>
      <c r="M1155" s="2"/>
      <c r="N1155" s="2"/>
      <c r="O1155" s="2"/>
      <c r="P1155" s="53"/>
      <c r="Q1155" s="53"/>
      <c r="R1155" s="2"/>
    </row>
    <row r="1156" spans="1:18">
      <c r="A1156" s="3"/>
      <c r="B1156" s="3"/>
      <c r="C1156" s="2"/>
      <c r="D1156" s="2"/>
      <c r="E1156" s="51"/>
      <c r="F1156" s="51"/>
      <c r="G1156" s="51"/>
      <c r="H1156" s="51"/>
      <c r="I1156" s="2"/>
      <c r="J1156" s="2"/>
      <c r="K1156" s="2"/>
      <c r="L1156" s="2"/>
      <c r="M1156" s="2"/>
      <c r="N1156" s="2"/>
      <c r="O1156" s="2"/>
      <c r="P1156" s="53"/>
      <c r="Q1156" s="53"/>
      <c r="R1156" s="2"/>
    </row>
    <row r="1157" spans="1:18">
      <c r="A1157" s="3"/>
      <c r="B1157" s="3"/>
      <c r="C1157" s="2"/>
      <c r="D1157" s="2"/>
      <c r="E1157" s="51"/>
      <c r="F1157" s="51"/>
      <c r="G1157" s="51"/>
      <c r="H1157" s="51"/>
      <c r="I1157" s="2"/>
      <c r="J1157" s="2"/>
      <c r="K1157" s="2"/>
      <c r="L1157" s="2"/>
      <c r="M1157" s="2"/>
      <c r="N1157" s="2"/>
      <c r="O1157" s="2"/>
      <c r="P1157" s="53"/>
      <c r="Q1157" s="53"/>
      <c r="R1157" s="2"/>
    </row>
    <row r="1158" spans="1:18">
      <c r="A1158" s="3"/>
      <c r="B1158" s="3"/>
      <c r="C1158" s="2"/>
      <c r="D1158" s="2"/>
      <c r="E1158" s="51"/>
      <c r="F1158" s="51"/>
      <c r="G1158" s="51"/>
      <c r="H1158" s="51"/>
      <c r="I1158" s="2"/>
      <c r="J1158" s="2"/>
      <c r="K1158" s="2"/>
      <c r="L1158" s="2"/>
      <c r="M1158" s="2"/>
      <c r="N1158" s="2"/>
      <c r="O1158" s="2"/>
      <c r="P1158" s="53"/>
      <c r="Q1158" s="53"/>
      <c r="R1158" s="2"/>
    </row>
    <row r="1159" spans="1:18">
      <c r="A1159" s="3"/>
      <c r="B1159" s="3"/>
      <c r="C1159" s="2"/>
      <c r="D1159" s="2"/>
      <c r="E1159" s="51"/>
      <c r="F1159" s="51"/>
      <c r="G1159" s="51"/>
      <c r="H1159" s="51"/>
      <c r="I1159" s="2"/>
      <c r="J1159" s="2"/>
      <c r="K1159" s="2"/>
      <c r="L1159" s="2"/>
      <c r="M1159" s="2"/>
      <c r="N1159" s="2"/>
      <c r="O1159" s="2"/>
      <c r="P1159" s="53"/>
      <c r="Q1159" s="53"/>
      <c r="R1159" s="2"/>
    </row>
    <row r="1160" spans="1:18">
      <c r="A1160" s="3"/>
      <c r="B1160" s="3"/>
      <c r="C1160" s="2"/>
      <c r="D1160" s="2"/>
      <c r="E1160" s="51"/>
      <c r="F1160" s="51"/>
      <c r="G1160" s="51"/>
      <c r="H1160" s="51"/>
      <c r="I1160" s="2"/>
      <c r="J1160" s="2"/>
      <c r="K1160" s="2"/>
      <c r="L1160" s="2"/>
      <c r="M1160" s="2"/>
      <c r="N1160" s="2"/>
      <c r="O1160" s="2"/>
      <c r="P1160" s="53"/>
      <c r="Q1160" s="53"/>
      <c r="R1160" s="2"/>
    </row>
    <row r="1161" spans="1:18">
      <c r="A1161" s="3"/>
      <c r="B1161" s="3"/>
      <c r="C1161" s="2"/>
      <c r="D1161" s="2"/>
      <c r="E1161" s="51"/>
      <c r="F1161" s="51"/>
      <c r="G1161" s="51"/>
      <c r="H1161" s="51"/>
      <c r="I1161" s="2"/>
      <c r="J1161" s="2"/>
      <c r="K1161" s="2"/>
      <c r="L1161" s="2"/>
      <c r="M1161" s="2"/>
      <c r="N1161" s="2"/>
      <c r="O1161" s="2"/>
      <c r="P1161" s="53"/>
      <c r="Q1161" s="53"/>
      <c r="R1161" s="2"/>
    </row>
    <row r="1162" spans="1:18">
      <c r="A1162" s="3"/>
      <c r="B1162" s="3"/>
      <c r="C1162" s="2"/>
      <c r="D1162" s="2"/>
      <c r="E1162" s="51"/>
      <c r="F1162" s="51"/>
      <c r="G1162" s="51"/>
      <c r="H1162" s="51"/>
      <c r="I1162" s="2"/>
      <c r="J1162" s="2"/>
      <c r="K1162" s="2"/>
      <c r="L1162" s="2"/>
      <c r="M1162" s="2"/>
      <c r="N1162" s="2"/>
      <c r="O1162" s="2"/>
      <c r="P1162" s="53"/>
      <c r="Q1162" s="53"/>
      <c r="R1162" s="2"/>
    </row>
    <row r="1163" spans="1:18">
      <c r="A1163" s="3"/>
      <c r="B1163" s="3"/>
      <c r="C1163" s="2"/>
      <c r="D1163" s="2"/>
      <c r="E1163" s="51"/>
      <c r="F1163" s="51"/>
      <c r="G1163" s="51"/>
      <c r="H1163" s="51"/>
      <c r="I1163" s="2"/>
      <c r="J1163" s="2"/>
      <c r="K1163" s="2"/>
      <c r="L1163" s="2"/>
      <c r="M1163" s="2"/>
      <c r="N1163" s="2"/>
      <c r="O1163" s="2"/>
      <c r="P1163" s="53"/>
      <c r="Q1163" s="53"/>
      <c r="R1163" s="2"/>
    </row>
    <row r="1164" spans="1:18">
      <c r="A1164" s="3"/>
      <c r="B1164" s="3"/>
      <c r="C1164" s="2"/>
      <c r="D1164" s="2"/>
      <c r="E1164" s="51"/>
      <c r="F1164" s="51"/>
      <c r="G1164" s="51"/>
      <c r="H1164" s="51"/>
      <c r="I1164" s="2"/>
      <c r="J1164" s="2"/>
      <c r="K1164" s="2"/>
      <c r="L1164" s="2"/>
      <c r="M1164" s="2"/>
      <c r="N1164" s="2"/>
      <c r="O1164" s="2"/>
      <c r="P1164" s="53"/>
      <c r="Q1164" s="53"/>
      <c r="R1164" s="2"/>
    </row>
    <row r="1165" spans="1:18">
      <c r="A1165" s="3"/>
      <c r="B1165" s="3"/>
      <c r="C1165" s="2"/>
      <c r="D1165" s="2"/>
      <c r="E1165" s="51"/>
      <c r="F1165" s="51"/>
      <c r="G1165" s="51"/>
      <c r="H1165" s="51"/>
      <c r="I1165" s="2"/>
      <c r="J1165" s="2"/>
      <c r="K1165" s="2"/>
      <c r="L1165" s="2"/>
      <c r="M1165" s="2"/>
      <c r="N1165" s="2"/>
      <c r="O1165" s="2"/>
      <c r="P1165" s="53"/>
      <c r="Q1165" s="53"/>
      <c r="R1165" s="2"/>
    </row>
    <row r="1166" spans="1:18">
      <c r="A1166" s="3"/>
      <c r="B1166" s="3"/>
      <c r="C1166" s="2"/>
      <c r="D1166" s="2"/>
      <c r="E1166" s="51"/>
      <c r="F1166" s="51"/>
      <c r="G1166" s="51"/>
      <c r="H1166" s="51"/>
      <c r="I1166" s="2"/>
      <c r="J1166" s="2"/>
      <c r="K1166" s="2"/>
      <c r="L1166" s="2"/>
      <c r="M1166" s="2"/>
      <c r="N1166" s="2"/>
      <c r="O1166" s="2"/>
      <c r="P1166" s="53"/>
      <c r="Q1166" s="53"/>
      <c r="R1166" s="2"/>
    </row>
    <row r="1167" spans="1:18">
      <c r="A1167" s="3"/>
      <c r="B1167" s="3"/>
      <c r="C1167" s="2"/>
      <c r="D1167" s="2"/>
      <c r="E1167" s="51"/>
      <c r="F1167" s="51"/>
      <c r="G1167" s="51"/>
      <c r="H1167" s="51"/>
      <c r="I1167" s="2"/>
      <c r="J1167" s="2"/>
      <c r="K1167" s="2"/>
      <c r="L1167" s="2"/>
      <c r="M1167" s="2"/>
      <c r="N1167" s="2"/>
      <c r="O1167" s="2"/>
      <c r="P1167" s="53"/>
      <c r="Q1167" s="53"/>
      <c r="R1167" s="2"/>
    </row>
    <row r="1168" spans="1:18">
      <c r="A1168" s="3"/>
      <c r="B1168" s="3"/>
      <c r="C1168" s="2"/>
      <c r="D1168" s="2"/>
      <c r="E1168" s="51"/>
      <c r="F1168" s="51"/>
      <c r="G1168" s="51"/>
      <c r="H1168" s="51"/>
      <c r="I1168" s="2"/>
      <c r="J1168" s="2"/>
      <c r="K1168" s="2"/>
      <c r="L1168" s="2"/>
      <c r="M1168" s="2"/>
      <c r="N1168" s="2"/>
      <c r="O1168" s="2"/>
      <c r="P1168" s="53"/>
      <c r="Q1168" s="53"/>
      <c r="R1168" s="2"/>
    </row>
    <row r="1169" spans="1:18">
      <c r="A1169" s="3"/>
      <c r="B1169" s="3"/>
      <c r="C1169" s="2"/>
      <c r="D1169" s="2"/>
      <c r="E1169" s="51"/>
      <c r="F1169" s="51"/>
      <c r="G1169" s="51"/>
      <c r="H1169" s="51"/>
      <c r="I1169" s="2"/>
      <c r="J1169" s="2"/>
      <c r="K1169" s="2"/>
      <c r="L1169" s="2"/>
      <c r="M1169" s="2"/>
      <c r="N1169" s="2"/>
      <c r="O1169" s="2"/>
      <c r="P1169" s="53"/>
      <c r="Q1169" s="53"/>
      <c r="R1169" s="2"/>
    </row>
    <row r="1170" spans="1:18">
      <c r="A1170" s="3"/>
      <c r="B1170" s="3"/>
      <c r="C1170" s="2"/>
      <c r="D1170" s="2"/>
      <c r="E1170" s="51"/>
      <c r="F1170" s="51"/>
      <c r="G1170" s="51"/>
      <c r="H1170" s="51"/>
      <c r="I1170" s="2"/>
      <c r="J1170" s="2"/>
      <c r="K1170" s="2"/>
      <c r="L1170" s="2"/>
      <c r="M1170" s="2"/>
      <c r="N1170" s="2"/>
      <c r="O1170" s="2"/>
      <c r="P1170" s="53"/>
      <c r="Q1170" s="53"/>
      <c r="R1170" s="2"/>
    </row>
    <row r="1171" spans="1:18">
      <c r="A1171" s="3"/>
      <c r="B1171" s="3"/>
      <c r="C1171" s="2"/>
      <c r="D1171" s="2"/>
      <c r="E1171" s="51"/>
      <c r="F1171" s="51"/>
      <c r="G1171" s="51"/>
      <c r="H1171" s="51"/>
      <c r="I1171" s="2"/>
      <c r="J1171" s="2"/>
      <c r="K1171" s="2"/>
      <c r="L1171" s="2"/>
      <c r="M1171" s="2"/>
      <c r="N1171" s="2"/>
      <c r="O1171" s="2"/>
      <c r="P1171" s="53"/>
      <c r="Q1171" s="53"/>
      <c r="R1171" s="2"/>
    </row>
    <row r="1172" spans="1:18">
      <c r="A1172" s="3"/>
      <c r="B1172" s="3"/>
      <c r="C1172" s="2"/>
      <c r="D1172" s="2"/>
      <c r="E1172" s="51"/>
      <c r="F1172" s="51"/>
      <c r="G1172" s="51"/>
      <c r="H1172" s="51"/>
      <c r="I1172" s="2"/>
      <c r="J1172" s="2"/>
      <c r="K1172" s="2"/>
      <c r="L1172" s="2"/>
      <c r="M1172" s="2"/>
      <c r="N1172" s="2"/>
      <c r="O1172" s="2"/>
      <c r="P1172" s="53"/>
      <c r="Q1172" s="53"/>
      <c r="R1172" s="2"/>
    </row>
    <row r="1173" spans="1:18">
      <c r="A1173" s="3"/>
      <c r="B1173" s="3"/>
      <c r="C1173" s="2"/>
      <c r="D1173" s="2"/>
      <c r="E1173" s="51"/>
      <c r="F1173" s="51"/>
      <c r="G1173" s="51"/>
      <c r="H1173" s="51"/>
      <c r="I1173" s="2"/>
      <c r="J1173" s="2"/>
      <c r="K1173" s="2"/>
      <c r="L1173" s="2"/>
      <c r="M1173" s="2"/>
      <c r="N1173" s="2"/>
      <c r="O1173" s="2"/>
      <c r="P1173" s="53"/>
      <c r="Q1173" s="53"/>
      <c r="R1173" s="2"/>
    </row>
    <row r="1174" spans="1:18">
      <c r="A1174" s="3"/>
      <c r="B1174" s="3"/>
      <c r="C1174" s="2"/>
      <c r="D1174" s="2"/>
      <c r="E1174" s="51"/>
      <c r="F1174" s="51"/>
      <c r="G1174" s="51"/>
      <c r="H1174" s="51"/>
      <c r="I1174" s="2"/>
      <c r="J1174" s="2"/>
      <c r="K1174" s="2"/>
      <c r="L1174" s="2"/>
      <c r="M1174" s="2"/>
      <c r="N1174" s="2"/>
      <c r="O1174" s="2"/>
      <c r="P1174" s="53"/>
      <c r="Q1174" s="53"/>
      <c r="R1174" s="2"/>
    </row>
    <row r="1175" spans="1:18">
      <c r="A1175" s="3"/>
      <c r="B1175" s="3"/>
      <c r="C1175" s="2"/>
      <c r="D1175" s="2"/>
      <c r="E1175" s="51"/>
      <c r="F1175" s="51"/>
      <c r="G1175" s="51"/>
      <c r="H1175" s="51"/>
      <c r="I1175" s="2"/>
      <c r="J1175" s="2"/>
      <c r="K1175" s="2"/>
      <c r="L1175" s="2"/>
      <c r="M1175" s="2"/>
      <c r="N1175" s="2"/>
      <c r="O1175" s="2"/>
      <c r="P1175" s="53"/>
      <c r="Q1175" s="53"/>
      <c r="R1175" s="2"/>
    </row>
    <row r="1176" spans="1:18">
      <c r="A1176" s="3"/>
      <c r="B1176" s="3"/>
      <c r="C1176" s="2"/>
      <c r="D1176" s="2"/>
      <c r="E1176" s="51"/>
      <c r="F1176" s="51"/>
      <c r="G1176" s="51"/>
      <c r="H1176" s="51"/>
      <c r="I1176" s="2"/>
      <c r="J1176" s="2"/>
      <c r="K1176" s="2"/>
      <c r="L1176" s="2"/>
      <c r="M1176" s="2"/>
      <c r="N1176" s="2"/>
      <c r="O1176" s="2"/>
      <c r="P1176" s="53"/>
      <c r="Q1176" s="53"/>
      <c r="R1176" s="2"/>
    </row>
    <row r="1177" spans="1:18">
      <c r="A1177" s="3"/>
      <c r="B1177" s="3"/>
      <c r="C1177" s="2"/>
      <c r="D1177" s="2"/>
      <c r="E1177" s="51"/>
      <c r="F1177" s="51"/>
      <c r="G1177" s="51"/>
      <c r="H1177" s="51"/>
      <c r="I1177" s="2"/>
      <c r="J1177" s="2"/>
      <c r="K1177" s="2"/>
      <c r="L1177" s="2"/>
      <c r="M1177" s="2"/>
      <c r="N1177" s="2"/>
      <c r="O1177" s="2"/>
      <c r="P1177" s="53"/>
      <c r="Q1177" s="53"/>
      <c r="R1177" s="2"/>
    </row>
    <row r="1178" spans="1:18">
      <c r="A1178" s="3"/>
      <c r="B1178" s="3"/>
      <c r="C1178" s="2"/>
      <c r="D1178" s="2"/>
      <c r="E1178" s="51"/>
      <c r="F1178" s="51"/>
      <c r="G1178" s="51"/>
      <c r="H1178" s="51"/>
      <c r="I1178" s="2"/>
      <c r="J1178" s="2"/>
      <c r="K1178" s="2"/>
      <c r="L1178" s="2"/>
      <c r="M1178" s="2"/>
      <c r="N1178" s="2"/>
      <c r="O1178" s="2"/>
      <c r="P1178" s="53"/>
      <c r="Q1178" s="53"/>
      <c r="R1178" s="2"/>
    </row>
    <row r="1179" spans="1:18">
      <c r="A1179" s="3"/>
      <c r="B1179" s="3"/>
      <c r="C1179" s="2"/>
      <c r="D1179" s="2"/>
      <c r="E1179" s="51"/>
      <c r="F1179" s="51"/>
      <c r="G1179" s="51"/>
      <c r="H1179" s="51"/>
      <c r="I1179" s="2"/>
      <c r="J1179" s="2"/>
      <c r="K1179" s="2"/>
      <c r="L1179" s="2"/>
      <c r="M1179" s="2"/>
      <c r="N1179" s="2"/>
      <c r="O1179" s="2"/>
      <c r="P1179" s="53"/>
      <c r="Q1179" s="53"/>
      <c r="R1179" s="2"/>
    </row>
    <row r="1180" spans="1:18">
      <c r="A1180" s="3"/>
      <c r="B1180" s="3"/>
      <c r="C1180" s="2"/>
      <c r="D1180" s="2"/>
      <c r="E1180" s="51"/>
      <c r="F1180" s="51"/>
      <c r="G1180" s="51"/>
      <c r="H1180" s="51"/>
      <c r="I1180" s="2"/>
      <c r="J1180" s="2"/>
      <c r="K1180" s="2"/>
      <c r="L1180" s="2"/>
      <c r="M1180" s="2"/>
      <c r="N1180" s="2"/>
      <c r="O1180" s="2"/>
      <c r="P1180" s="53"/>
      <c r="Q1180" s="53"/>
      <c r="R1180" s="2"/>
    </row>
    <row r="1181" spans="1:18">
      <c r="A1181" s="3"/>
      <c r="B1181" s="3"/>
      <c r="C1181" s="2"/>
      <c r="D1181" s="2"/>
      <c r="E1181" s="51"/>
      <c r="F1181" s="51"/>
      <c r="G1181" s="51"/>
      <c r="H1181" s="51"/>
      <c r="I1181" s="2"/>
      <c r="J1181" s="2"/>
      <c r="K1181" s="2"/>
      <c r="L1181" s="2"/>
      <c r="M1181" s="2"/>
      <c r="N1181" s="2"/>
      <c r="O1181" s="2"/>
      <c r="P1181" s="53"/>
      <c r="Q1181" s="53"/>
      <c r="R1181" s="2"/>
    </row>
    <row r="1182" spans="1:18">
      <c r="A1182" s="3"/>
      <c r="B1182" s="3"/>
      <c r="C1182" s="2"/>
      <c r="D1182" s="2"/>
      <c r="E1182" s="51"/>
      <c r="F1182" s="51"/>
      <c r="G1182" s="51"/>
      <c r="H1182" s="51"/>
      <c r="I1182" s="2"/>
      <c r="J1182" s="2"/>
      <c r="K1182" s="2"/>
      <c r="L1182" s="2"/>
      <c r="M1182" s="2"/>
      <c r="N1182" s="2"/>
      <c r="O1182" s="2"/>
      <c r="P1182" s="53"/>
      <c r="Q1182" s="53"/>
      <c r="R1182" s="2"/>
    </row>
    <row r="1183" spans="1:18">
      <c r="A1183" s="3"/>
      <c r="B1183" s="3"/>
      <c r="C1183" s="2"/>
      <c r="D1183" s="2"/>
      <c r="E1183" s="51"/>
      <c r="F1183" s="51"/>
      <c r="G1183" s="51"/>
      <c r="H1183" s="51"/>
      <c r="I1183" s="2"/>
      <c r="J1183" s="2"/>
      <c r="K1183" s="2"/>
      <c r="L1183" s="2"/>
      <c r="M1183" s="2"/>
      <c r="N1183" s="2"/>
      <c r="O1183" s="2"/>
      <c r="P1183" s="53"/>
      <c r="Q1183" s="53"/>
      <c r="R1183" s="2"/>
    </row>
    <row r="1184" spans="1:18">
      <c r="A1184" s="3"/>
      <c r="B1184" s="3"/>
      <c r="C1184" s="2"/>
      <c r="D1184" s="2"/>
      <c r="E1184" s="51"/>
      <c r="F1184" s="51"/>
      <c r="G1184" s="51"/>
      <c r="H1184" s="51"/>
      <c r="I1184" s="2"/>
      <c r="J1184" s="2"/>
      <c r="K1184" s="2"/>
      <c r="L1184" s="2"/>
      <c r="M1184" s="2"/>
      <c r="N1184" s="2"/>
      <c r="O1184" s="2"/>
      <c r="P1184" s="53"/>
      <c r="Q1184" s="53"/>
      <c r="R1184" s="2"/>
    </row>
    <row r="1185" spans="1:18">
      <c r="A1185" s="3"/>
      <c r="B1185" s="3"/>
      <c r="C1185" s="2"/>
      <c r="D1185" s="2"/>
      <c r="E1185" s="51"/>
      <c r="F1185" s="51"/>
      <c r="G1185" s="51"/>
      <c r="H1185" s="51"/>
      <c r="I1185" s="2"/>
      <c r="J1185" s="2"/>
      <c r="K1185" s="2"/>
      <c r="L1185" s="2"/>
      <c r="M1185" s="2"/>
      <c r="N1185" s="2"/>
      <c r="O1185" s="2"/>
      <c r="P1185" s="53"/>
      <c r="Q1185" s="53"/>
      <c r="R1185" s="2"/>
    </row>
    <row r="1186" spans="1:18">
      <c r="A1186" s="3"/>
      <c r="B1186" s="3"/>
      <c r="C1186" s="2"/>
      <c r="D1186" s="2"/>
      <c r="E1186" s="51"/>
      <c r="F1186" s="51"/>
      <c r="G1186" s="51"/>
      <c r="H1186" s="51"/>
      <c r="I1186" s="2"/>
      <c r="J1186" s="2"/>
      <c r="K1186" s="2"/>
      <c r="L1186" s="2"/>
      <c r="M1186" s="2"/>
      <c r="N1186" s="2"/>
      <c r="O1186" s="2"/>
      <c r="P1186" s="53"/>
      <c r="Q1186" s="53"/>
      <c r="R1186" s="2"/>
    </row>
    <row r="1187" spans="1:18">
      <c r="A1187" s="3"/>
      <c r="B1187" s="3"/>
      <c r="C1187" s="2"/>
      <c r="D1187" s="2"/>
      <c r="E1187" s="51"/>
      <c r="F1187" s="51"/>
      <c r="G1187" s="51"/>
      <c r="H1187" s="51"/>
      <c r="I1187" s="2"/>
      <c r="J1187" s="2"/>
      <c r="K1187" s="2"/>
      <c r="L1187" s="2"/>
      <c r="M1187" s="2"/>
      <c r="N1187" s="2"/>
      <c r="O1187" s="2"/>
      <c r="P1187" s="53"/>
      <c r="Q1187" s="53"/>
      <c r="R1187" s="2"/>
    </row>
    <row r="1188" spans="1:18">
      <c r="A1188" s="3"/>
      <c r="B1188" s="3"/>
      <c r="C1188" s="2"/>
      <c r="D1188" s="2"/>
      <c r="E1188" s="51"/>
      <c r="F1188" s="51"/>
      <c r="G1188" s="51"/>
      <c r="H1188" s="51"/>
      <c r="I1188" s="2"/>
      <c r="J1188" s="2"/>
      <c r="K1188" s="2"/>
      <c r="L1188" s="2"/>
      <c r="M1188" s="2"/>
      <c r="N1188" s="2"/>
      <c r="O1188" s="2"/>
      <c r="P1188" s="53"/>
      <c r="Q1188" s="53"/>
      <c r="R1188" s="2"/>
    </row>
    <row r="1189" spans="1:18">
      <c r="A1189" s="3"/>
      <c r="B1189" s="3"/>
      <c r="C1189" s="2"/>
      <c r="D1189" s="2"/>
      <c r="E1189" s="51"/>
      <c r="F1189" s="51"/>
      <c r="G1189" s="51"/>
      <c r="H1189" s="51"/>
      <c r="I1189" s="2"/>
      <c r="J1189" s="2"/>
      <c r="K1189" s="2"/>
      <c r="L1189" s="2"/>
      <c r="M1189" s="2"/>
      <c r="N1189" s="2"/>
      <c r="O1189" s="2"/>
      <c r="P1189" s="53"/>
      <c r="Q1189" s="53"/>
      <c r="R1189" s="2"/>
    </row>
    <row r="1190" spans="1:18">
      <c r="A1190" s="3"/>
      <c r="B1190" s="3"/>
      <c r="C1190" s="2"/>
      <c r="D1190" s="2"/>
      <c r="E1190" s="51"/>
      <c r="F1190" s="51"/>
      <c r="G1190" s="51"/>
      <c r="H1190" s="51"/>
      <c r="I1190" s="2"/>
      <c r="J1190" s="2"/>
      <c r="K1190" s="2"/>
      <c r="L1190" s="2"/>
      <c r="M1190" s="2"/>
      <c r="N1190" s="2"/>
      <c r="O1190" s="2"/>
      <c r="P1190" s="53"/>
      <c r="Q1190" s="53"/>
      <c r="R1190" s="2"/>
    </row>
    <row r="1191" spans="1:18">
      <c r="A1191" s="3"/>
      <c r="B1191" s="3"/>
      <c r="C1191" s="2"/>
      <c r="D1191" s="2"/>
      <c r="E1191" s="51"/>
      <c r="F1191" s="51"/>
      <c r="G1191" s="51"/>
      <c r="H1191" s="51"/>
      <c r="I1191" s="2"/>
      <c r="J1191" s="2"/>
      <c r="K1191" s="2"/>
      <c r="L1191" s="2"/>
      <c r="M1191" s="2"/>
      <c r="N1191" s="2"/>
      <c r="O1191" s="2"/>
      <c r="P1191" s="53"/>
      <c r="Q1191" s="53"/>
      <c r="R1191" s="2"/>
    </row>
    <row r="1192" spans="1:18">
      <c r="A1192" s="3"/>
      <c r="B1192" s="3"/>
      <c r="C1192" s="2"/>
      <c r="D1192" s="2"/>
      <c r="E1192" s="51"/>
      <c r="F1192" s="51"/>
      <c r="G1192" s="51"/>
      <c r="H1192" s="51"/>
      <c r="I1192" s="2"/>
      <c r="J1192" s="2"/>
      <c r="K1192" s="2"/>
      <c r="L1192" s="2"/>
      <c r="M1192" s="2"/>
      <c r="N1192" s="2"/>
      <c r="O1192" s="2"/>
      <c r="P1192" s="53"/>
      <c r="Q1192" s="53"/>
      <c r="R1192" s="2"/>
    </row>
    <row r="1193" spans="1:18">
      <c r="A1193" s="3"/>
      <c r="B1193" s="3"/>
      <c r="C1193" s="2"/>
      <c r="D1193" s="2"/>
      <c r="E1193" s="51"/>
      <c r="F1193" s="51"/>
      <c r="G1193" s="51"/>
      <c r="H1193" s="51"/>
      <c r="I1193" s="2"/>
      <c r="J1193" s="2"/>
      <c r="K1193" s="2"/>
      <c r="L1193" s="2"/>
      <c r="M1193" s="2"/>
      <c r="N1193" s="2"/>
      <c r="O1193" s="2"/>
      <c r="P1193" s="53"/>
      <c r="Q1193" s="53"/>
      <c r="R1193" s="2"/>
    </row>
    <row r="1194" spans="1:18">
      <c r="A1194" s="3"/>
      <c r="B1194" s="3"/>
      <c r="C1194" s="2"/>
      <c r="D1194" s="2"/>
      <c r="E1194" s="51"/>
      <c r="F1194" s="51"/>
      <c r="G1194" s="51"/>
      <c r="H1194" s="51"/>
      <c r="I1194" s="2"/>
      <c r="J1194" s="2"/>
      <c r="K1194" s="2"/>
      <c r="L1194" s="2"/>
      <c r="M1194" s="2"/>
      <c r="N1194" s="2"/>
      <c r="O1194" s="2"/>
      <c r="P1194" s="53"/>
      <c r="Q1194" s="53"/>
      <c r="R1194" s="2"/>
    </row>
    <row r="1195" spans="1:18">
      <c r="A1195" s="3"/>
      <c r="B1195" s="3"/>
      <c r="C1195" s="2"/>
      <c r="D1195" s="2"/>
      <c r="E1195" s="51"/>
      <c r="F1195" s="51"/>
      <c r="G1195" s="51"/>
      <c r="H1195" s="51"/>
      <c r="I1195" s="2"/>
      <c r="J1195" s="2"/>
      <c r="K1195" s="2"/>
      <c r="L1195" s="2"/>
      <c r="M1195" s="2"/>
      <c r="N1195" s="2"/>
      <c r="O1195" s="2"/>
      <c r="P1195" s="53"/>
      <c r="Q1195" s="53"/>
      <c r="R1195" s="2"/>
    </row>
    <row r="1196" spans="1:18">
      <c r="A1196" s="3"/>
      <c r="B1196" s="3"/>
      <c r="C1196" s="2"/>
      <c r="D1196" s="2"/>
      <c r="E1196" s="51"/>
      <c r="F1196" s="51"/>
      <c r="G1196" s="51"/>
      <c r="H1196" s="51"/>
      <c r="I1196" s="2"/>
      <c r="J1196" s="2"/>
      <c r="K1196" s="2"/>
      <c r="L1196" s="2"/>
      <c r="M1196" s="2"/>
      <c r="N1196" s="2"/>
      <c r="O1196" s="2"/>
      <c r="P1196" s="53"/>
      <c r="Q1196" s="53"/>
      <c r="R1196" s="2"/>
    </row>
    <row r="1197" spans="1:18">
      <c r="A1197" s="3"/>
      <c r="B1197" s="3"/>
      <c r="C1197" s="2"/>
      <c r="D1197" s="2"/>
      <c r="E1197" s="51"/>
      <c r="F1197" s="51"/>
      <c r="G1197" s="51"/>
      <c r="H1197" s="51"/>
      <c r="I1197" s="2"/>
      <c r="J1197" s="2"/>
      <c r="K1197" s="2"/>
      <c r="L1197" s="2"/>
      <c r="M1197" s="2"/>
      <c r="N1197" s="2"/>
      <c r="O1197" s="2"/>
      <c r="P1197" s="53"/>
      <c r="Q1197" s="53"/>
      <c r="R1197" s="2"/>
    </row>
    <row r="1198" spans="1:18">
      <c r="A1198" s="3"/>
      <c r="B1198" s="3"/>
      <c r="C1198" s="2"/>
      <c r="D1198" s="2"/>
      <c r="E1198" s="51"/>
      <c r="F1198" s="51"/>
      <c r="G1198" s="51"/>
      <c r="H1198" s="51"/>
      <c r="I1198" s="2"/>
      <c r="J1198" s="2"/>
      <c r="K1198" s="2"/>
      <c r="L1198" s="2"/>
      <c r="M1198" s="2"/>
      <c r="N1198" s="2"/>
      <c r="O1198" s="2"/>
      <c r="P1198" s="53"/>
      <c r="Q1198" s="53"/>
      <c r="R1198" s="2"/>
    </row>
    <row r="1199" spans="1:18">
      <c r="A1199" s="3"/>
      <c r="B1199" s="3"/>
      <c r="C1199" s="2"/>
      <c r="D1199" s="2"/>
      <c r="E1199" s="51"/>
      <c r="F1199" s="51"/>
      <c r="G1199" s="51"/>
      <c r="H1199" s="51"/>
      <c r="I1199" s="2"/>
      <c r="J1199" s="2"/>
      <c r="K1199" s="2"/>
      <c r="L1199" s="2"/>
      <c r="M1199" s="2"/>
      <c r="N1199" s="2"/>
      <c r="O1199" s="2"/>
      <c r="P1199" s="53"/>
      <c r="Q1199" s="53"/>
      <c r="R1199" s="2"/>
    </row>
    <row r="1200" spans="1:18">
      <c r="A1200" s="3"/>
      <c r="B1200" s="3"/>
      <c r="C1200" s="2"/>
      <c r="D1200" s="2"/>
      <c r="E1200" s="51"/>
      <c r="F1200" s="51"/>
      <c r="G1200" s="51"/>
      <c r="H1200" s="51"/>
      <c r="I1200" s="2"/>
      <c r="J1200" s="2"/>
      <c r="K1200" s="2"/>
      <c r="L1200" s="2"/>
      <c r="M1200" s="2"/>
      <c r="N1200" s="2"/>
      <c r="O1200" s="2"/>
      <c r="P1200" s="53"/>
      <c r="Q1200" s="53"/>
      <c r="R1200" s="2"/>
    </row>
    <row r="1201" spans="1:18">
      <c r="A1201" s="3"/>
      <c r="B1201" s="3"/>
      <c r="C1201" s="2"/>
      <c r="D1201" s="2"/>
      <c r="E1201" s="51"/>
      <c r="F1201" s="51"/>
      <c r="G1201" s="51"/>
      <c r="H1201" s="51"/>
      <c r="I1201" s="2"/>
      <c r="J1201" s="2"/>
      <c r="K1201" s="2"/>
      <c r="L1201" s="2"/>
      <c r="M1201" s="2"/>
      <c r="N1201" s="2"/>
      <c r="O1201" s="2"/>
      <c r="P1201" s="53"/>
      <c r="Q1201" s="53"/>
      <c r="R1201" s="2"/>
    </row>
    <row r="1202" spans="1:18">
      <c r="A1202" s="3"/>
      <c r="B1202" s="3"/>
      <c r="C1202" s="2"/>
      <c r="D1202" s="2"/>
      <c r="E1202" s="51"/>
      <c r="F1202" s="51"/>
      <c r="G1202" s="51"/>
      <c r="H1202" s="51"/>
      <c r="I1202" s="2"/>
      <c r="J1202" s="2"/>
      <c r="K1202" s="2"/>
      <c r="L1202" s="2"/>
      <c r="M1202" s="2"/>
      <c r="N1202" s="2"/>
      <c r="O1202" s="2"/>
      <c r="P1202" s="53"/>
      <c r="Q1202" s="53"/>
      <c r="R1202" s="2"/>
    </row>
    <row r="1203" spans="1:18">
      <c r="A1203" s="3"/>
      <c r="B1203" s="3"/>
      <c r="C1203" s="2"/>
      <c r="D1203" s="2"/>
      <c r="E1203" s="51"/>
      <c r="F1203" s="51"/>
      <c r="G1203" s="51"/>
      <c r="H1203" s="51"/>
      <c r="I1203" s="2"/>
      <c r="J1203" s="2"/>
      <c r="K1203" s="2"/>
      <c r="L1203" s="2"/>
      <c r="M1203" s="2"/>
      <c r="N1203" s="2"/>
      <c r="O1203" s="2"/>
      <c r="P1203" s="53"/>
      <c r="Q1203" s="53"/>
      <c r="R1203" s="2"/>
    </row>
    <row r="1204" spans="1:18">
      <c r="A1204" s="3"/>
      <c r="B1204" s="3"/>
      <c r="C1204" s="2"/>
      <c r="D1204" s="2"/>
      <c r="E1204" s="51"/>
      <c r="F1204" s="51"/>
      <c r="G1204" s="51"/>
      <c r="H1204" s="51"/>
      <c r="I1204" s="2"/>
      <c r="J1204" s="2"/>
      <c r="K1204" s="2"/>
      <c r="L1204" s="2"/>
      <c r="M1204" s="2"/>
      <c r="N1204" s="2"/>
      <c r="O1204" s="2"/>
      <c r="P1204" s="53"/>
      <c r="Q1204" s="53"/>
      <c r="R1204" s="2"/>
    </row>
    <row r="1205" spans="1:18">
      <c r="A1205" s="3"/>
      <c r="B1205" s="3"/>
      <c r="C1205" s="2"/>
      <c r="D1205" s="2"/>
      <c r="E1205" s="51"/>
      <c r="F1205" s="51"/>
      <c r="G1205" s="51"/>
      <c r="H1205" s="51"/>
      <c r="I1205" s="2"/>
      <c r="J1205" s="2"/>
      <c r="K1205" s="2"/>
      <c r="L1205" s="2"/>
      <c r="M1205" s="2"/>
      <c r="N1205" s="2"/>
      <c r="O1205" s="2"/>
      <c r="P1205" s="53"/>
      <c r="Q1205" s="53"/>
      <c r="R1205" s="2"/>
    </row>
    <row r="1206" spans="1:18">
      <c r="A1206" s="3"/>
      <c r="B1206" s="3"/>
      <c r="C1206" s="2"/>
      <c r="D1206" s="2"/>
      <c r="E1206" s="51"/>
      <c r="F1206" s="51"/>
      <c r="G1206" s="51"/>
      <c r="H1206" s="51"/>
      <c r="I1206" s="2"/>
      <c r="J1206" s="2"/>
      <c r="K1206" s="2"/>
      <c r="L1206" s="2"/>
      <c r="M1206" s="2"/>
      <c r="N1206" s="2"/>
      <c r="O1206" s="2"/>
      <c r="P1206" s="53"/>
      <c r="Q1206" s="53"/>
      <c r="R1206" s="2"/>
    </row>
    <row r="1207" spans="1:18">
      <c r="A1207" s="3"/>
      <c r="B1207" s="3"/>
      <c r="C1207" s="2"/>
      <c r="D1207" s="2"/>
      <c r="E1207" s="51"/>
      <c r="F1207" s="51"/>
      <c r="G1207" s="51"/>
      <c r="H1207" s="51"/>
      <c r="I1207" s="2"/>
      <c r="J1207" s="2"/>
      <c r="K1207" s="2"/>
      <c r="L1207" s="2"/>
      <c r="M1207" s="2"/>
      <c r="N1207" s="2"/>
      <c r="O1207" s="2"/>
      <c r="P1207" s="53"/>
      <c r="Q1207" s="53"/>
      <c r="R1207" s="2"/>
    </row>
    <row r="1208" spans="1:18">
      <c r="A1208" s="3"/>
      <c r="B1208" s="3"/>
      <c r="C1208" s="2"/>
      <c r="D1208" s="2"/>
      <c r="E1208" s="51"/>
      <c r="F1208" s="51"/>
      <c r="G1208" s="51"/>
      <c r="H1208" s="51"/>
      <c r="I1208" s="2"/>
      <c r="J1208" s="2"/>
      <c r="K1208" s="2"/>
      <c r="L1208" s="2"/>
      <c r="M1208" s="2"/>
      <c r="N1208" s="2"/>
      <c r="O1208" s="2"/>
      <c r="P1208" s="53"/>
      <c r="Q1208" s="53"/>
      <c r="R1208" s="2"/>
    </row>
    <row r="1209" spans="1:18">
      <c r="A1209" s="3"/>
      <c r="B1209" s="3"/>
      <c r="C1209" s="2"/>
      <c r="D1209" s="2"/>
      <c r="E1209" s="51"/>
      <c r="F1209" s="51"/>
      <c r="G1209" s="51"/>
      <c r="H1209" s="51"/>
      <c r="I1209" s="2"/>
      <c r="J1209" s="2"/>
      <c r="K1209" s="2"/>
      <c r="L1209" s="2"/>
      <c r="M1209" s="2"/>
      <c r="N1209" s="2"/>
      <c r="O1209" s="2"/>
      <c r="P1209" s="53"/>
      <c r="Q1209" s="53"/>
      <c r="R1209" s="2"/>
    </row>
    <row r="1210" spans="1:18">
      <c r="A1210" s="3"/>
      <c r="B1210" s="3"/>
      <c r="C1210" s="2"/>
      <c r="D1210" s="2"/>
      <c r="E1210" s="51"/>
      <c r="F1210" s="51"/>
      <c r="G1210" s="51"/>
      <c r="H1210" s="51"/>
      <c r="I1210" s="2"/>
      <c r="J1210" s="2"/>
      <c r="K1210" s="2"/>
      <c r="L1210" s="2"/>
      <c r="M1210" s="2"/>
      <c r="N1210" s="2"/>
      <c r="O1210" s="2"/>
      <c r="P1210" s="53"/>
      <c r="Q1210" s="53"/>
      <c r="R1210" s="2"/>
    </row>
    <row r="1211" spans="1:18">
      <c r="A1211" s="3"/>
      <c r="B1211" s="3"/>
      <c r="C1211" s="2"/>
      <c r="D1211" s="2"/>
      <c r="E1211" s="51"/>
      <c r="F1211" s="51"/>
      <c r="G1211" s="51"/>
      <c r="H1211" s="51"/>
      <c r="I1211" s="2"/>
      <c r="J1211" s="2"/>
      <c r="K1211" s="2"/>
      <c r="L1211" s="2"/>
      <c r="M1211" s="2"/>
      <c r="N1211" s="2"/>
      <c r="O1211" s="2"/>
      <c r="P1211" s="53"/>
      <c r="Q1211" s="53"/>
      <c r="R1211" s="2"/>
    </row>
    <row r="1212" spans="1:18">
      <c r="A1212" s="3"/>
      <c r="B1212" s="3"/>
      <c r="C1212" s="2"/>
      <c r="D1212" s="2"/>
      <c r="E1212" s="51"/>
      <c r="F1212" s="51"/>
      <c r="G1212" s="51"/>
      <c r="H1212" s="51"/>
      <c r="I1212" s="2"/>
      <c r="J1212" s="2"/>
      <c r="K1212" s="2"/>
      <c r="L1212" s="2"/>
      <c r="M1212" s="2"/>
      <c r="N1212" s="2"/>
      <c r="O1212" s="2"/>
      <c r="P1212" s="53"/>
      <c r="Q1212" s="53"/>
      <c r="R1212" s="2"/>
    </row>
    <row r="1213" spans="1:18">
      <c r="A1213" s="3"/>
      <c r="B1213" s="3"/>
      <c r="C1213" s="2"/>
      <c r="D1213" s="2"/>
      <c r="E1213" s="51"/>
      <c r="F1213" s="51"/>
      <c r="G1213" s="51"/>
      <c r="H1213" s="51"/>
      <c r="I1213" s="2"/>
      <c r="J1213" s="2"/>
      <c r="K1213" s="2"/>
      <c r="L1213" s="2"/>
      <c r="M1213" s="2"/>
      <c r="N1213" s="2"/>
      <c r="O1213" s="2"/>
      <c r="P1213" s="53"/>
      <c r="Q1213" s="53"/>
      <c r="R1213" s="2"/>
    </row>
    <row r="1214" spans="1:18">
      <c r="A1214" s="3"/>
      <c r="B1214" s="3"/>
      <c r="C1214" s="2"/>
      <c r="D1214" s="2"/>
      <c r="E1214" s="51"/>
      <c r="F1214" s="51"/>
      <c r="G1214" s="51"/>
      <c r="H1214" s="51"/>
      <c r="I1214" s="2"/>
      <c r="J1214" s="2"/>
      <c r="K1214" s="2"/>
      <c r="L1214" s="2"/>
      <c r="M1214" s="2"/>
      <c r="N1214" s="2"/>
      <c r="O1214" s="2"/>
      <c r="P1214" s="53"/>
      <c r="Q1214" s="53"/>
      <c r="R1214" s="2"/>
    </row>
    <row r="1215" spans="1:18">
      <c r="A1215" s="3"/>
      <c r="B1215" s="3"/>
      <c r="C1215" s="2"/>
      <c r="D1215" s="2"/>
      <c r="E1215" s="51"/>
      <c r="F1215" s="51"/>
      <c r="G1215" s="51"/>
      <c r="H1215" s="51"/>
      <c r="I1215" s="2"/>
      <c r="J1215" s="2"/>
      <c r="K1215" s="2"/>
      <c r="L1215" s="2"/>
      <c r="M1215" s="2"/>
      <c r="N1215" s="2"/>
      <c r="O1215" s="2"/>
      <c r="P1215" s="53"/>
      <c r="Q1215" s="53"/>
      <c r="R1215" s="2"/>
    </row>
    <row r="1216" spans="1:18">
      <c r="A1216" s="3"/>
      <c r="B1216" s="3"/>
      <c r="C1216" s="2"/>
      <c r="D1216" s="2"/>
      <c r="E1216" s="51"/>
      <c r="F1216" s="51"/>
      <c r="G1216" s="51"/>
      <c r="H1216" s="51"/>
      <c r="I1216" s="2"/>
      <c r="J1216" s="2"/>
      <c r="K1216" s="2"/>
      <c r="L1216" s="2"/>
      <c r="M1216" s="2"/>
      <c r="N1216" s="2"/>
      <c r="O1216" s="2"/>
      <c r="P1216" s="53"/>
      <c r="Q1216" s="53"/>
      <c r="R1216" s="2"/>
    </row>
    <row r="1217" spans="1:18">
      <c r="A1217" s="3"/>
      <c r="B1217" s="3"/>
      <c r="C1217" s="2"/>
      <c r="D1217" s="2"/>
      <c r="E1217" s="51"/>
      <c r="F1217" s="51"/>
      <c r="G1217" s="51"/>
      <c r="H1217" s="51"/>
      <c r="I1217" s="2"/>
      <c r="J1217" s="2"/>
      <c r="K1217" s="2"/>
      <c r="L1217" s="2"/>
      <c r="M1217" s="2"/>
      <c r="N1217" s="2"/>
      <c r="O1217" s="2"/>
      <c r="P1217" s="53"/>
      <c r="Q1217" s="53"/>
      <c r="R1217" s="2"/>
    </row>
    <row r="1218" spans="1:18">
      <c r="A1218" s="3"/>
      <c r="B1218" s="3"/>
      <c r="C1218" s="2"/>
      <c r="D1218" s="2"/>
      <c r="E1218" s="51"/>
      <c r="F1218" s="51"/>
      <c r="G1218" s="51"/>
      <c r="H1218" s="51"/>
      <c r="I1218" s="2"/>
      <c r="J1218" s="2"/>
      <c r="K1218" s="2"/>
      <c r="L1218" s="2"/>
      <c r="M1218" s="2"/>
      <c r="N1218" s="2"/>
      <c r="O1218" s="2"/>
      <c r="P1218" s="53"/>
      <c r="Q1218" s="53"/>
      <c r="R1218" s="2"/>
    </row>
    <row r="1219" spans="1:18">
      <c r="A1219" s="3"/>
      <c r="B1219" s="3"/>
      <c r="C1219" s="2"/>
      <c r="D1219" s="2"/>
      <c r="E1219" s="51"/>
      <c r="F1219" s="51"/>
      <c r="G1219" s="51"/>
      <c r="H1219" s="51"/>
      <c r="I1219" s="2"/>
      <c r="J1219" s="2"/>
      <c r="K1219" s="2"/>
      <c r="L1219" s="2"/>
      <c r="M1219" s="2"/>
      <c r="N1219" s="2"/>
      <c r="O1219" s="2"/>
      <c r="P1219" s="53"/>
      <c r="Q1219" s="53"/>
      <c r="R1219" s="2"/>
    </row>
    <row r="1220" spans="1:18">
      <c r="A1220" s="3"/>
      <c r="B1220" s="3"/>
      <c r="C1220" s="2"/>
      <c r="D1220" s="2"/>
      <c r="E1220" s="51"/>
      <c r="F1220" s="51"/>
      <c r="G1220" s="51"/>
      <c r="H1220" s="51"/>
      <c r="I1220" s="2"/>
      <c r="J1220" s="2"/>
      <c r="K1220" s="2"/>
      <c r="L1220" s="2"/>
      <c r="M1220" s="2"/>
      <c r="N1220" s="2"/>
      <c r="O1220" s="2"/>
      <c r="P1220" s="53"/>
      <c r="Q1220" s="53"/>
      <c r="R1220" s="2"/>
    </row>
    <row r="1221" spans="1:18">
      <c r="A1221" s="3"/>
      <c r="B1221" s="3"/>
      <c r="C1221" s="2"/>
      <c r="D1221" s="2"/>
      <c r="E1221" s="51"/>
      <c r="F1221" s="51"/>
      <c r="G1221" s="51"/>
      <c r="H1221" s="51"/>
      <c r="I1221" s="2"/>
      <c r="J1221" s="2"/>
      <c r="K1221" s="2"/>
      <c r="L1221" s="2"/>
      <c r="M1221" s="2"/>
      <c r="N1221" s="2"/>
      <c r="O1221" s="2"/>
      <c r="P1221" s="53"/>
      <c r="Q1221" s="53"/>
      <c r="R1221" s="2"/>
    </row>
    <row r="1222" spans="1:18">
      <c r="A1222" s="3"/>
      <c r="B1222" s="3"/>
      <c r="C1222" s="2"/>
      <c r="D1222" s="2"/>
      <c r="E1222" s="51"/>
      <c r="F1222" s="51"/>
      <c r="G1222" s="51"/>
      <c r="H1222" s="51"/>
      <c r="I1222" s="2"/>
      <c r="J1222" s="2"/>
      <c r="K1222" s="2"/>
      <c r="L1222" s="2"/>
      <c r="M1222" s="2"/>
      <c r="N1222" s="2"/>
      <c r="O1222" s="2"/>
      <c r="P1222" s="53"/>
      <c r="Q1222" s="53"/>
      <c r="R1222" s="2"/>
    </row>
    <row r="1223" spans="1:18">
      <c r="A1223" s="3"/>
      <c r="B1223" s="3"/>
      <c r="C1223" s="2"/>
      <c r="D1223" s="2"/>
      <c r="E1223" s="51"/>
      <c r="F1223" s="51"/>
      <c r="G1223" s="51"/>
      <c r="H1223" s="51"/>
      <c r="I1223" s="2"/>
      <c r="J1223" s="2"/>
      <c r="K1223" s="2"/>
      <c r="L1223" s="2"/>
      <c r="M1223" s="2"/>
      <c r="N1223" s="2"/>
      <c r="O1223" s="2"/>
      <c r="P1223" s="53"/>
      <c r="Q1223" s="53"/>
      <c r="R1223" s="2"/>
    </row>
    <row r="1224" spans="1:18">
      <c r="A1224" s="3"/>
      <c r="B1224" s="3"/>
      <c r="C1224" s="2"/>
      <c r="D1224" s="2"/>
      <c r="E1224" s="51"/>
      <c r="F1224" s="51"/>
      <c r="G1224" s="51"/>
      <c r="H1224" s="51"/>
      <c r="I1224" s="2"/>
      <c r="J1224" s="2"/>
      <c r="K1224" s="2"/>
      <c r="L1224" s="2"/>
      <c r="M1224" s="2"/>
      <c r="N1224" s="2"/>
      <c r="O1224" s="2"/>
      <c r="P1224" s="53"/>
      <c r="Q1224" s="53"/>
      <c r="R1224" s="2"/>
    </row>
    <row r="1225" spans="1:18">
      <c r="A1225" s="3"/>
      <c r="B1225" s="3"/>
      <c r="C1225" s="2"/>
      <c r="D1225" s="2"/>
      <c r="E1225" s="51"/>
      <c r="F1225" s="51"/>
      <c r="G1225" s="51"/>
      <c r="H1225" s="51"/>
      <c r="I1225" s="2"/>
      <c r="J1225" s="2"/>
      <c r="K1225" s="2"/>
      <c r="L1225" s="2"/>
      <c r="M1225" s="2"/>
      <c r="N1225" s="2"/>
      <c r="O1225" s="2"/>
      <c r="P1225" s="53"/>
      <c r="Q1225" s="53"/>
      <c r="R1225" s="2"/>
    </row>
    <row r="1226" spans="1:18">
      <c r="A1226" s="3"/>
      <c r="B1226" s="3"/>
      <c r="C1226" s="2"/>
      <c r="D1226" s="2"/>
      <c r="E1226" s="51"/>
      <c r="F1226" s="51"/>
      <c r="G1226" s="51"/>
      <c r="H1226" s="51"/>
      <c r="I1226" s="2"/>
      <c r="J1226" s="2"/>
      <c r="K1226" s="2"/>
      <c r="L1226" s="2"/>
      <c r="M1226" s="2"/>
      <c r="N1226" s="2"/>
      <c r="O1226" s="2"/>
      <c r="P1226" s="53"/>
      <c r="Q1226" s="53"/>
      <c r="R1226" s="2"/>
    </row>
    <row r="1227" spans="1:18">
      <c r="A1227" s="3"/>
      <c r="B1227" s="3"/>
      <c r="C1227" s="2"/>
      <c r="D1227" s="2"/>
      <c r="E1227" s="51"/>
      <c r="F1227" s="51"/>
      <c r="G1227" s="51"/>
      <c r="H1227" s="51"/>
      <c r="I1227" s="2"/>
      <c r="J1227" s="2"/>
      <c r="K1227" s="2"/>
      <c r="L1227" s="2"/>
      <c r="M1227" s="2"/>
      <c r="N1227" s="2"/>
      <c r="O1227" s="2"/>
      <c r="P1227" s="53"/>
      <c r="Q1227" s="53"/>
      <c r="R1227" s="2"/>
    </row>
    <row r="1228" spans="1:18">
      <c r="A1228" s="3"/>
      <c r="B1228" s="3"/>
      <c r="C1228" s="2"/>
      <c r="D1228" s="2"/>
      <c r="E1228" s="51"/>
      <c r="F1228" s="51"/>
      <c r="G1228" s="51"/>
      <c r="H1228" s="51"/>
      <c r="I1228" s="2"/>
      <c r="J1228" s="2"/>
      <c r="K1228" s="2"/>
      <c r="L1228" s="2"/>
      <c r="M1228" s="2"/>
      <c r="N1228" s="2"/>
      <c r="O1228" s="2"/>
      <c r="P1228" s="53"/>
      <c r="Q1228" s="53"/>
      <c r="R1228" s="2"/>
    </row>
    <row r="1229" spans="1:18">
      <c r="A1229" s="3"/>
      <c r="B1229" s="3"/>
      <c r="C1229" s="2"/>
      <c r="D1229" s="2"/>
      <c r="E1229" s="51"/>
      <c r="F1229" s="51"/>
      <c r="G1229" s="51"/>
      <c r="H1229" s="51"/>
      <c r="I1229" s="2"/>
      <c r="J1229" s="2"/>
      <c r="K1229" s="2"/>
      <c r="L1229" s="2"/>
      <c r="M1229" s="2"/>
      <c r="N1229" s="2"/>
      <c r="O1229" s="2"/>
      <c r="P1229" s="53"/>
      <c r="Q1229" s="53"/>
      <c r="R1229" s="2"/>
    </row>
    <row r="1230" spans="1:18">
      <c r="A1230" s="3"/>
      <c r="B1230" s="3"/>
      <c r="C1230" s="2"/>
      <c r="D1230" s="2"/>
      <c r="E1230" s="51"/>
      <c r="F1230" s="51"/>
      <c r="G1230" s="51"/>
      <c r="H1230" s="51"/>
      <c r="I1230" s="2"/>
      <c r="J1230" s="2"/>
      <c r="K1230" s="2"/>
      <c r="L1230" s="2"/>
      <c r="M1230" s="2"/>
      <c r="N1230" s="2"/>
      <c r="O1230" s="2"/>
      <c r="P1230" s="53"/>
      <c r="Q1230" s="53"/>
      <c r="R1230" s="2"/>
    </row>
    <row r="1231" spans="1:18">
      <c r="A1231" s="3"/>
      <c r="B1231" s="3"/>
      <c r="C1231" s="2"/>
      <c r="D1231" s="2"/>
      <c r="E1231" s="51"/>
      <c r="F1231" s="51"/>
      <c r="G1231" s="51"/>
      <c r="H1231" s="51"/>
      <c r="I1231" s="2"/>
      <c r="J1231" s="2"/>
      <c r="K1231" s="2"/>
      <c r="L1231" s="2"/>
      <c r="M1231" s="2"/>
      <c r="N1231" s="2"/>
      <c r="O1231" s="2"/>
      <c r="P1231" s="53"/>
      <c r="Q1231" s="53"/>
      <c r="R1231" s="2"/>
    </row>
    <row r="1232" spans="1:18">
      <c r="A1232" s="3"/>
      <c r="B1232" s="3"/>
      <c r="C1232" s="2"/>
      <c r="D1232" s="2"/>
      <c r="E1232" s="51"/>
      <c r="F1232" s="51"/>
      <c r="G1232" s="51"/>
      <c r="H1232" s="51"/>
      <c r="I1232" s="2"/>
      <c r="J1232" s="2"/>
      <c r="K1232" s="2"/>
      <c r="L1232" s="2"/>
      <c r="M1232" s="2"/>
      <c r="N1232" s="2"/>
      <c r="O1232" s="2"/>
      <c r="P1232" s="53"/>
      <c r="Q1232" s="53"/>
      <c r="R1232" s="2"/>
    </row>
    <row r="1233" spans="1:18">
      <c r="A1233" s="3"/>
      <c r="B1233" s="3"/>
      <c r="C1233" s="2"/>
      <c r="D1233" s="2"/>
      <c r="E1233" s="51"/>
      <c r="F1233" s="51"/>
      <c r="G1233" s="51"/>
      <c r="H1233" s="51"/>
      <c r="I1233" s="2"/>
      <c r="J1233" s="2"/>
      <c r="K1233" s="2"/>
      <c r="L1233" s="2"/>
      <c r="M1233" s="2"/>
      <c r="N1233" s="2"/>
      <c r="O1233" s="2"/>
      <c r="P1233" s="53"/>
      <c r="Q1233" s="53"/>
      <c r="R1233" s="2"/>
    </row>
    <row r="1234" spans="1:18">
      <c r="A1234" s="3"/>
      <c r="B1234" s="3"/>
      <c r="C1234" s="2"/>
      <c r="D1234" s="2"/>
      <c r="E1234" s="51"/>
      <c r="F1234" s="51"/>
      <c r="G1234" s="51"/>
      <c r="H1234" s="51"/>
      <c r="I1234" s="2"/>
      <c r="J1234" s="2"/>
      <c r="K1234" s="2"/>
      <c r="L1234" s="2"/>
      <c r="M1234" s="2"/>
      <c r="N1234" s="2"/>
      <c r="O1234" s="2"/>
      <c r="P1234" s="53"/>
      <c r="Q1234" s="53"/>
      <c r="R1234" s="2"/>
    </row>
    <row r="1235" spans="1:18">
      <c r="A1235" s="3"/>
      <c r="B1235" s="3"/>
      <c r="C1235" s="2"/>
      <c r="D1235" s="2"/>
      <c r="E1235" s="51"/>
      <c r="F1235" s="51"/>
      <c r="G1235" s="51"/>
      <c r="H1235" s="51"/>
      <c r="I1235" s="2"/>
      <c r="J1235" s="2"/>
      <c r="K1235" s="2"/>
      <c r="L1235" s="2"/>
      <c r="M1235" s="2"/>
      <c r="N1235" s="2"/>
      <c r="O1235" s="2"/>
      <c r="P1235" s="53"/>
      <c r="Q1235" s="53"/>
      <c r="R1235" s="2"/>
    </row>
    <row r="1236" spans="1:18">
      <c r="A1236" s="3"/>
      <c r="B1236" s="3"/>
      <c r="C1236" s="2"/>
      <c r="D1236" s="2"/>
      <c r="E1236" s="51"/>
      <c r="F1236" s="51"/>
      <c r="G1236" s="51"/>
      <c r="H1236" s="51"/>
      <c r="I1236" s="2"/>
      <c r="J1236" s="2"/>
      <c r="K1236" s="2"/>
      <c r="L1236" s="2"/>
      <c r="M1236" s="2"/>
      <c r="N1236" s="2"/>
      <c r="O1236" s="2"/>
      <c r="P1236" s="53"/>
      <c r="Q1236" s="53"/>
      <c r="R1236" s="2"/>
    </row>
    <row r="1237" spans="1:18">
      <c r="A1237" s="3"/>
      <c r="B1237" s="3"/>
      <c r="C1237" s="2"/>
      <c r="D1237" s="2"/>
      <c r="E1237" s="51"/>
      <c r="F1237" s="51"/>
      <c r="G1237" s="51"/>
      <c r="H1237" s="51"/>
      <c r="I1237" s="2"/>
      <c r="J1237" s="2"/>
      <c r="K1237" s="2"/>
      <c r="L1237" s="2"/>
      <c r="M1237" s="2"/>
      <c r="N1237" s="2"/>
      <c r="O1237" s="2"/>
      <c r="P1237" s="53"/>
      <c r="Q1237" s="53"/>
      <c r="R1237" s="2"/>
    </row>
    <row r="1238" spans="1:18">
      <c r="A1238" s="3"/>
      <c r="B1238" s="3"/>
      <c r="C1238" s="2"/>
      <c r="D1238" s="2"/>
      <c r="E1238" s="51"/>
      <c r="F1238" s="51"/>
      <c r="G1238" s="51"/>
      <c r="H1238" s="51"/>
      <c r="I1238" s="2"/>
      <c r="J1238" s="2"/>
      <c r="K1238" s="2"/>
      <c r="L1238" s="2"/>
      <c r="M1238" s="2"/>
      <c r="N1238" s="2"/>
      <c r="O1238" s="2"/>
      <c r="P1238" s="53"/>
      <c r="Q1238" s="53"/>
      <c r="R1238" s="2"/>
    </row>
    <row r="1239" spans="1:18">
      <c r="A1239" s="3"/>
      <c r="B1239" s="3"/>
      <c r="C1239" s="2"/>
      <c r="D1239" s="2"/>
      <c r="E1239" s="51"/>
      <c r="F1239" s="51"/>
      <c r="G1239" s="51"/>
      <c r="H1239" s="51"/>
      <c r="I1239" s="2"/>
      <c r="J1239" s="2"/>
      <c r="K1239" s="2"/>
      <c r="L1239" s="2"/>
      <c r="M1239" s="2"/>
      <c r="N1239" s="2"/>
      <c r="O1239" s="2"/>
      <c r="P1239" s="53"/>
      <c r="Q1239" s="53"/>
      <c r="R1239" s="2"/>
    </row>
    <row r="1240" spans="1:18">
      <c r="A1240" s="3"/>
      <c r="B1240" s="3"/>
      <c r="C1240" s="2"/>
      <c r="D1240" s="2"/>
      <c r="E1240" s="51"/>
      <c r="F1240" s="51"/>
      <c r="G1240" s="51"/>
      <c r="H1240" s="51"/>
      <c r="I1240" s="2"/>
      <c r="J1240" s="2"/>
      <c r="K1240" s="2"/>
      <c r="L1240" s="2"/>
      <c r="M1240" s="2"/>
      <c r="N1240" s="2"/>
      <c r="O1240" s="2"/>
      <c r="P1240" s="53"/>
      <c r="Q1240" s="53"/>
      <c r="R1240" s="2"/>
    </row>
    <row r="1241" spans="1:18">
      <c r="A1241" s="3"/>
      <c r="B1241" s="3"/>
      <c r="C1241" s="2"/>
      <c r="D1241" s="2"/>
      <c r="E1241" s="51"/>
      <c r="F1241" s="51"/>
      <c r="G1241" s="51"/>
      <c r="H1241" s="51"/>
      <c r="I1241" s="2"/>
      <c r="J1241" s="2"/>
      <c r="K1241" s="2"/>
      <c r="L1241" s="2"/>
      <c r="M1241" s="2"/>
      <c r="N1241" s="2"/>
      <c r="O1241" s="2"/>
      <c r="P1241" s="53"/>
      <c r="Q1241" s="53"/>
      <c r="R1241" s="2"/>
    </row>
    <row r="1242" spans="1:18">
      <c r="A1242" s="3"/>
      <c r="B1242" s="3"/>
      <c r="C1242" s="2"/>
      <c r="D1242" s="2"/>
      <c r="E1242" s="51"/>
      <c r="F1242" s="51"/>
      <c r="G1242" s="51"/>
      <c r="H1242" s="51"/>
      <c r="I1242" s="2"/>
      <c r="J1242" s="2"/>
      <c r="K1242" s="2"/>
      <c r="L1242" s="2"/>
      <c r="M1242" s="2"/>
      <c r="N1242" s="2"/>
      <c r="O1242" s="2"/>
      <c r="P1242" s="53"/>
      <c r="Q1242" s="53"/>
      <c r="R1242" s="2"/>
    </row>
    <row r="1243" spans="1:18">
      <c r="A1243" s="3"/>
      <c r="B1243" s="3"/>
      <c r="C1243" s="2"/>
      <c r="D1243" s="2"/>
      <c r="E1243" s="51"/>
      <c r="F1243" s="51"/>
      <c r="G1243" s="51"/>
      <c r="H1243" s="51"/>
      <c r="I1243" s="2"/>
      <c r="J1243" s="2"/>
      <c r="K1243" s="2"/>
      <c r="L1243" s="2"/>
      <c r="M1243" s="2"/>
      <c r="N1243" s="2"/>
      <c r="O1243" s="2"/>
      <c r="P1243" s="53"/>
      <c r="Q1243" s="53"/>
      <c r="R1243" s="2"/>
    </row>
    <row r="1244" spans="1:18">
      <c r="A1244" s="3"/>
      <c r="B1244" s="3"/>
      <c r="C1244" s="2"/>
      <c r="D1244" s="2"/>
      <c r="E1244" s="51"/>
      <c r="F1244" s="51"/>
      <c r="G1244" s="51"/>
      <c r="H1244" s="51"/>
      <c r="I1244" s="2"/>
      <c r="J1244" s="2"/>
      <c r="K1244" s="2"/>
      <c r="L1244" s="2"/>
      <c r="M1244" s="2"/>
      <c r="N1244" s="2"/>
      <c r="O1244" s="2"/>
      <c r="P1244" s="53"/>
      <c r="Q1244" s="53"/>
      <c r="R1244" s="2"/>
    </row>
    <row r="1245" spans="1:18">
      <c r="A1245" s="3"/>
      <c r="B1245" s="3"/>
      <c r="C1245" s="2"/>
      <c r="D1245" s="2"/>
      <c r="E1245" s="51"/>
      <c r="F1245" s="51"/>
      <c r="G1245" s="51"/>
      <c r="H1245" s="51"/>
      <c r="I1245" s="2"/>
      <c r="J1245" s="2"/>
      <c r="K1245" s="2"/>
      <c r="L1245" s="2"/>
      <c r="M1245" s="2"/>
      <c r="N1245" s="2"/>
      <c r="O1245" s="2"/>
      <c r="P1245" s="53"/>
      <c r="Q1245" s="53"/>
      <c r="R1245" s="2"/>
    </row>
    <row r="1246" spans="1:18">
      <c r="A1246" s="3"/>
      <c r="B1246" s="3"/>
      <c r="C1246" s="2"/>
      <c r="D1246" s="2"/>
      <c r="E1246" s="51"/>
      <c r="F1246" s="51"/>
      <c r="G1246" s="51"/>
      <c r="H1246" s="51"/>
      <c r="I1246" s="2"/>
      <c r="J1246" s="2"/>
      <c r="K1246" s="2"/>
      <c r="L1246" s="2"/>
      <c r="M1246" s="2"/>
      <c r="N1246" s="2"/>
      <c r="O1246" s="2"/>
      <c r="P1246" s="53"/>
      <c r="Q1246" s="53"/>
      <c r="R1246" s="2"/>
    </row>
    <row r="1247" spans="1:18">
      <c r="A1247" s="3"/>
      <c r="B1247" s="3"/>
      <c r="C1247" s="2"/>
      <c r="D1247" s="2"/>
      <c r="E1247" s="51"/>
      <c r="F1247" s="51"/>
      <c r="G1247" s="51"/>
      <c r="H1247" s="51"/>
      <c r="I1247" s="2"/>
      <c r="J1247" s="2"/>
      <c r="K1247" s="2"/>
      <c r="L1247" s="2"/>
      <c r="M1247" s="2"/>
      <c r="N1247" s="2"/>
      <c r="O1247" s="2"/>
      <c r="P1247" s="53"/>
      <c r="Q1247" s="53"/>
      <c r="R1247" s="2"/>
    </row>
    <row r="1248" spans="1:18">
      <c r="A1248" s="3"/>
      <c r="B1248" s="3"/>
      <c r="C1248" s="2"/>
      <c r="D1248" s="2"/>
      <c r="E1248" s="51"/>
      <c r="F1248" s="51"/>
      <c r="G1248" s="51"/>
      <c r="H1248" s="51"/>
      <c r="I1248" s="2"/>
      <c r="J1248" s="2"/>
      <c r="K1248" s="2"/>
      <c r="L1248" s="2"/>
      <c r="M1248" s="2"/>
      <c r="N1248" s="2"/>
      <c r="O1248" s="2"/>
      <c r="P1248" s="53"/>
      <c r="Q1248" s="53"/>
      <c r="R1248" s="2"/>
    </row>
    <row r="1249" spans="1:18">
      <c r="A1249" s="3"/>
      <c r="B1249" s="3"/>
      <c r="C1249" s="2"/>
      <c r="D1249" s="2"/>
      <c r="E1249" s="51"/>
      <c r="F1249" s="51"/>
      <c r="G1249" s="51"/>
      <c r="H1249" s="51"/>
      <c r="I1249" s="2"/>
      <c r="J1249" s="2"/>
      <c r="K1249" s="2"/>
      <c r="L1249" s="2"/>
      <c r="M1249" s="2"/>
      <c r="N1249" s="2"/>
      <c r="O1249" s="2"/>
      <c r="P1249" s="53"/>
      <c r="Q1249" s="53"/>
      <c r="R1249" s="2"/>
    </row>
    <row r="1250" spans="1:18">
      <c r="A1250" s="3"/>
      <c r="B1250" s="3"/>
      <c r="C1250" s="2"/>
      <c r="D1250" s="2"/>
      <c r="E1250" s="51"/>
      <c r="F1250" s="51"/>
      <c r="G1250" s="51"/>
      <c r="H1250" s="51"/>
      <c r="I1250" s="2"/>
      <c r="J1250" s="2"/>
      <c r="K1250" s="2"/>
      <c r="L1250" s="2"/>
      <c r="M1250" s="2"/>
      <c r="N1250" s="2"/>
      <c r="O1250" s="2"/>
      <c r="P1250" s="53"/>
      <c r="Q1250" s="53"/>
      <c r="R1250" s="2"/>
    </row>
    <row r="1251" spans="1:18">
      <c r="A1251" s="3"/>
      <c r="B1251" s="3"/>
      <c r="C1251" s="2"/>
      <c r="D1251" s="2"/>
      <c r="E1251" s="51"/>
      <c r="F1251" s="51"/>
      <c r="G1251" s="51"/>
      <c r="H1251" s="51"/>
      <c r="I1251" s="2"/>
      <c r="J1251" s="2"/>
      <c r="K1251" s="2"/>
      <c r="L1251" s="2"/>
      <c r="M1251" s="2"/>
      <c r="N1251" s="2"/>
      <c r="O1251" s="2"/>
      <c r="P1251" s="53"/>
      <c r="Q1251" s="53"/>
      <c r="R1251" s="2"/>
    </row>
    <row r="1252" spans="1:18">
      <c r="A1252" s="3"/>
      <c r="B1252" s="3"/>
      <c r="C1252" s="2"/>
      <c r="D1252" s="2"/>
      <c r="E1252" s="51"/>
      <c r="F1252" s="51"/>
      <c r="G1252" s="51"/>
      <c r="H1252" s="51"/>
      <c r="I1252" s="2"/>
      <c r="J1252" s="2"/>
      <c r="K1252" s="2"/>
      <c r="L1252" s="2"/>
      <c r="M1252" s="2"/>
      <c r="N1252" s="2"/>
      <c r="O1252" s="2"/>
      <c r="P1252" s="53"/>
      <c r="Q1252" s="53"/>
      <c r="R1252" s="2"/>
    </row>
    <row r="1253" spans="1:18">
      <c r="A1253" s="3"/>
      <c r="B1253" s="3"/>
      <c r="C1253" s="2"/>
      <c r="D1253" s="2"/>
      <c r="E1253" s="51"/>
      <c r="F1253" s="51"/>
      <c r="G1253" s="51"/>
      <c r="H1253" s="51"/>
      <c r="I1253" s="2"/>
      <c r="J1253" s="2"/>
      <c r="K1253" s="2"/>
      <c r="L1253" s="2"/>
      <c r="M1253" s="2"/>
      <c r="N1253" s="2"/>
      <c r="O1253" s="2"/>
      <c r="P1253" s="53"/>
      <c r="Q1253" s="53"/>
      <c r="R1253" s="2"/>
    </row>
    <row r="1254" spans="1:18">
      <c r="A1254" s="3"/>
      <c r="B1254" s="3"/>
      <c r="C1254" s="2"/>
      <c r="D1254" s="2"/>
      <c r="E1254" s="51"/>
      <c r="F1254" s="51"/>
      <c r="G1254" s="51"/>
      <c r="H1254" s="51"/>
      <c r="I1254" s="2"/>
      <c r="J1254" s="2"/>
      <c r="K1254" s="2"/>
      <c r="L1254" s="2"/>
      <c r="M1254" s="2"/>
      <c r="N1254" s="2"/>
      <c r="O1254" s="2"/>
      <c r="P1254" s="53"/>
      <c r="Q1254" s="53"/>
      <c r="R1254" s="2"/>
    </row>
    <row r="1255" spans="1:18">
      <c r="A1255" s="3"/>
      <c r="B1255" s="3"/>
      <c r="C1255" s="2"/>
      <c r="D1255" s="2"/>
      <c r="E1255" s="51"/>
      <c r="F1255" s="51"/>
      <c r="G1255" s="51"/>
      <c r="H1255" s="51"/>
      <c r="I1255" s="2"/>
      <c r="J1255" s="2"/>
      <c r="K1255" s="2"/>
      <c r="L1255" s="2"/>
      <c r="M1255" s="2"/>
      <c r="N1255" s="2"/>
      <c r="O1255" s="2"/>
      <c r="P1255" s="53"/>
      <c r="Q1255" s="53"/>
      <c r="R1255" s="2"/>
    </row>
    <row r="1256" spans="1:18">
      <c r="A1256" s="3"/>
      <c r="B1256" s="3"/>
      <c r="C1256" s="2"/>
      <c r="D1256" s="2"/>
      <c r="E1256" s="51"/>
      <c r="F1256" s="51"/>
      <c r="G1256" s="51"/>
      <c r="H1256" s="51"/>
      <c r="I1256" s="2"/>
      <c r="J1256" s="2"/>
      <c r="K1256" s="2"/>
      <c r="L1256" s="2"/>
      <c r="M1256" s="2"/>
      <c r="N1256" s="2"/>
      <c r="O1256" s="2"/>
      <c r="P1256" s="53"/>
      <c r="Q1256" s="53"/>
      <c r="R1256" s="2"/>
    </row>
    <row r="1257" spans="1:18">
      <c r="A1257" s="3"/>
      <c r="B1257" s="3"/>
      <c r="C1257" s="2"/>
      <c r="D1257" s="2"/>
      <c r="E1257" s="51"/>
      <c r="F1257" s="51"/>
      <c r="G1257" s="51"/>
      <c r="H1257" s="51"/>
      <c r="I1257" s="2"/>
      <c r="J1257" s="2"/>
      <c r="K1257" s="2"/>
      <c r="L1257" s="2"/>
      <c r="M1257" s="2"/>
      <c r="N1257" s="2"/>
      <c r="O1257" s="2"/>
      <c r="P1257" s="53"/>
      <c r="Q1257" s="53"/>
      <c r="R1257" s="2"/>
    </row>
    <row r="1258" spans="1:18">
      <c r="A1258" s="3"/>
      <c r="B1258" s="3"/>
      <c r="C1258" s="2"/>
      <c r="D1258" s="2"/>
      <c r="E1258" s="51"/>
      <c r="F1258" s="51"/>
      <c r="G1258" s="51"/>
      <c r="H1258" s="51"/>
      <c r="I1258" s="2"/>
      <c r="J1258" s="2"/>
      <c r="K1258" s="2"/>
      <c r="L1258" s="2"/>
      <c r="M1258" s="2"/>
      <c r="N1258" s="2"/>
      <c r="O1258" s="2"/>
      <c r="P1258" s="53"/>
      <c r="Q1258" s="53"/>
      <c r="R1258" s="2"/>
    </row>
    <row r="1259" spans="1:18">
      <c r="A1259" s="3"/>
      <c r="B1259" s="3"/>
      <c r="C1259" s="2"/>
      <c r="D1259" s="2"/>
      <c r="E1259" s="51"/>
      <c r="F1259" s="51"/>
      <c r="G1259" s="51"/>
      <c r="H1259" s="51"/>
      <c r="I1259" s="2"/>
      <c r="J1259" s="2"/>
      <c r="K1259" s="2"/>
      <c r="L1259" s="2"/>
      <c r="M1259" s="2"/>
      <c r="N1259" s="2"/>
      <c r="O1259" s="2"/>
      <c r="P1259" s="53"/>
      <c r="Q1259" s="53"/>
      <c r="R1259" s="2"/>
    </row>
    <row r="1260" spans="1:18">
      <c r="A1260" s="3"/>
      <c r="B1260" s="3"/>
      <c r="C1260" s="2"/>
      <c r="D1260" s="2"/>
      <c r="E1260" s="51"/>
      <c r="F1260" s="51"/>
      <c r="G1260" s="51"/>
      <c r="H1260" s="51"/>
      <c r="I1260" s="2"/>
      <c r="J1260" s="2"/>
      <c r="K1260" s="2"/>
      <c r="L1260" s="2"/>
      <c r="M1260" s="2"/>
      <c r="N1260" s="2"/>
      <c r="O1260" s="2"/>
      <c r="P1260" s="53"/>
      <c r="Q1260" s="53"/>
      <c r="R1260" s="2"/>
    </row>
    <row r="1261" spans="1:18">
      <c r="A1261" s="3"/>
      <c r="B1261" s="3"/>
      <c r="C1261" s="2"/>
      <c r="D1261" s="2"/>
      <c r="E1261" s="51"/>
      <c r="F1261" s="51"/>
      <c r="G1261" s="51"/>
      <c r="H1261" s="51"/>
      <c r="I1261" s="2"/>
      <c r="J1261" s="2"/>
      <c r="K1261" s="2"/>
      <c r="L1261" s="2"/>
      <c r="M1261" s="2"/>
      <c r="N1261" s="2"/>
      <c r="O1261" s="2"/>
      <c r="P1261" s="53"/>
      <c r="Q1261" s="53"/>
      <c r="R1261" s="2"/>
    </row>
    <row r="1262" spans="1:18">
      <c r="A1262" s="3"/>
      <c r="B1262" s="3"/>
      <c r="C1262" s="2"/>
      <c r="D1262" s="2"/>
      <c r="E1262" s="51"/>
      <c r="F1262" s="51"/>
      <c r="G1262" s="51"/>
      <c r="H1262" s="51"/>
      <c r="I1262" s="2"/>
      <c r="J1262" s="2"/>
      <c r="K1262" s="2"/>
      <c r="L1262" s="2"/>
      <c r="M1262" s="2"/>
      <c r="N1262" s="2"/>
      <c r="O1262" s="2"/>
      <c r="P1262" s="53"/>
      <c r="Q1262" s="53"/>
      <c r="R1262" s="2"/>
    </row>
    <row r="1263" spans="1:18">
      <c r="A1263" s="3"/>
      <c r="B1263" s="3"/>
      <c r="C1263" s="2"/>
      <c r="D1263" s="2"/>
      <c r="E1263" s="51"/>
      <c r="F1263" s="51"/>
      <c r="G1263" s="51"/>
      <c r="H1263" s="51"/>
      <c r="I1263" s="2"/>
      <c r="J1263" s="2"/>
      <c r="K1263" s="2"/>
      <c r="L1263" s="2"/>
      <c r="M1263" s="2"/>
      <c r="N1263" s="2"/>
      <c r="O1263" s="2"/>
      <c r="P1263" s="53"/>
      <c r="Q1263" s="53"/>
      <c r="R1263" s="2"/>
    </row>
    <row r="1264" spans="1:18">
      <c r="A1264" s="3"/>
      <c r="B1264" s="3"/>
      <c r="C1264" s="2"/>
      <c r="D1264" s="2"/>
      <c r="E1264" s="51"/>
      <c r="F1264" s="51"/>
      <c r="G1264" s="51"/>
      <c r="H1264" s="51"/>
      <c r="I1264" s="2"/>
      <c r="J1264" s="2"/>
      <c r="K1264" s="2"/>
      <c r="L1264" s="2"/>
      <c r="M1264" s="2"/>
      <c r="N1264" s="2"/>
      <c r="O1264" s="2"/>
      <c r="P1264" s="53"/>
      <c r="Q1264" s="53"/>
      <c r="R1264" s="2"/>
    </row>
    <row r="1265" spans="1:18">
      <c r="A1265" s="3"/>
      <c r="B1265" s="3"/>
      <c r="C1265" s="2"/>
      <c r="D1265" s="2"/>
      <c r="E1265" s="51"/>
      <c r="F1265" s="51"/>
      <c r="G1265" s="51"/>
      <c r="H1265" s="51"/>
      <c r="I1265" s="2"/>
      <c r="J1265" s="2"/>
      <c r="K1265" s="2"/>
      <c r="L1265" s="2"/>
      <c r="M1265" s="2"/>
      <c r="N1265" s="2"/>
      <c r="O1265" s="2"/>
      <c r="P1265" s="53"/>
      <c r="Q1265" s="53"/>
      <c r="R1265" s="2"/>
    </row>
    <row r="1266" spans="1:18">
      <c r="A1266" s="3"/>
      <c r="B1266" s="3"/>
      <c r="C1266" s="2"/>
      <c r="D1266" s="2"/>
      <c r="E1266" s="51"/>
      <c r="F1266" s="51"/>
      <c r="G1266" s="51"/>
      <c r="H1266" s="51"/>
      <c r="I1266" s="2"/>
      <c r="J1266" s="2"/>
      <c r="K1266" s="2"/>
      <c r="L1266" s="2"/>
      <c r="M1266" s="2"/>
      <c r="N1266" s="2"/>
      <c r="O1266" s="2"/>
      <c r="P1266" s="53"/>
      <c r="Q1266" s="53"/>
      <c r="R1266" s="2"/>
    </row>
    <row r="1267" spans="1:18">
      <c r="A1267" s="3"/>
      <c r="B1267" s="3"/>
      <c r="C1267" s="2"/>
      <c r="D1267" s="2"/>
      <c r="E1267" s="51"/>
      <c r="F1267" s="51"/>
      <c r="G1267" s="51"/>
      <c r="H1267" s="51"/>
      <c r="I1267" s="2"/>
      <c r="J1267" s="2"/>
      <c r="K1267" s="2"/>
      <c r="L1267" s="2"/>
      <c r="M1267" s="2"/>
      <c r="N1267" s="2"/>
      <c r="O1267" s="2"/>
      <c r="P1267" s="53"/>
      <c r="Q1267" s="53"/>
      <c r="R1267" s="2"/>
    </row>
    <row r="1268" spans="1:18">
      <c r="A1268" s="3"/>
      <c r="B1268" s="3"/>
      <c r="C1268" s="2"/>
      <c r="D1268" s="2"/>
      <c r="E1268" s="51"/>
      <c r="F1268" s="51"/>
      <c r="G1268" s="51"/>
      <c r="H1268" s="51"/>
      <c r="I1268" s="2"/>
      <c r="J1268" s="2"/>
      <c r="K1268" s="2"/>
      <c r="L1268" s="2"/>
      <c r="M1268" s="2"/>
      <c r="N1268" s="2"/>
      <c r="O1268" s="2"/>
      <c r="P1268" s="53"/>
      <c r="Q1268" s="53"/>
      <c r="R1268" s="2"/>
    </row>
    <row r="1269" spans="1:18">
      <c r="A1269" s="3"/>
      <c r="B1269" s="3"/>
      <c r="C1269" s="2"/>
      <c r="D1269" s="2"/>
      <c r="E1269" s="51"/>
      <c r="F1269" s="51"/>
      <c r="G1269" s="51"/>
      <c r="H1269" s="51"/>
      <c r="I1269" s="2"/>
      <c r="J1269" s="2"/>
      <c r="K1269" s="2"/>
      <c r="L1269" s="2"/>
      <c r="M1269" s="2"/>
      <c r="N1269" s="2"/>
      <c r="O1269" s="2"/>
      <c r="P1269" s="53"/>
      <c r="Q1269" s="53"/>
      <c r="R1269" s="2"/>
    </row>
    <row r="1270" spans="1:18">
      <c r="A1270" s="3"/>
      <c r="B1270" s="3"/>
      <c r="C1270" s="2"/>
      <c r="D1270" s="2"/>
      <c r="E1270" s="51"/>
      <c r="F1270" s="51"/>
      <c r="G1270" s="51"/>
      <c r="H1270" s="51"/>
      <c r="I1270" s="2"/>
      <c r="J1270" s="2"/>
      <c r="K1270" s="2"/>
      <c r="L1270" s="2"/>
      <c r="M1270" s="2"/>
      <c r="N1270" s="2"/>
      <c r="O1270" s="2"/>
      <c r="P1270" s="53"/>
      <c r="Q1270" s="53"/>
      <c r="R1270" s="2"/>
    </row>
    <row r="1271" spans="1:18">
      <c r="A1271" s="3"/>
      <c r="B1271" s="3"/>
      <c r="C1271" s="2"/>
      <c r="D1271" s="2"/>
      <c r="E1271" s="51"/>
      <c r="F1271" s="51"/>
      <c r="G1271" s="51"/>
      <c r="H1271" s="51"/>
      <c r="I1271" s="2"/>
      <c r="J1271" s="2"/>
      <c r="K1271" s="2"/>
      <c r="L1271" s="2"/>
      <c r="M1271" s="2"/>
      <c r="N1271" s="2"/>
      <c r="O1271" s="2"/>
      <c r="P1271" s="53"/>
      <c r="Q1271" s="53"/>
      <c r="R1271" s="2"/>
    </row>
    <row r="1272" spans="1:18">
      <c r="A1272" s="3"/>
      <c r="B1272" s="3"/>
      <c r="C1272" s="2"/>
      <c r="D1272" s="2"/>
      <c r="E1272" s="51"/>
      <c r="F1272" s="51"/>
      <c r="G1272" s="51"/>
      <c r="H1272" s="51"/>
      <c r="I1272" s="2"/>
      <c r="J1272" s="2"/>
      <c r="K1272" s="2"/>
      <c r="L1272" s="2"/>
      <c r="M1272" s="2"/>
      <c r="N1272" s="2"/>
      <c r="O1272" s="2"/>
      <c r="P1272" s="53"/>
      <c r="Q1272" s="53"/>
      <c r="R1272" s="2"/>
    </row>
    <row r="1273" spans="1:18">
      <c r="A1273" s="3"/>
      <c r="B1273" s="3"/>
      <c r="C1273" s="2"/>
      <c r="D1273" s="2"/>
      <c r="E1273" s="51"/>
      <c r="F1273" s="51"/>
      <c r="G1273" s="51"/>
      <c r="H1273" s="51"/>
      <c r="I1273" s="2"/>
      <c r="J1273" s="2"/>
      <c r="K1273" s="2"/>
      <c r="L1273" s="2"/>
      <c r="M1273" s="2"/>
      <c r="N1273" s="2"/>
      <c r="O1273" s="2"/>
      <c r="P1273" s="53"/>
      <c r="Q1273" s="53"/>
      <c r="R1273" s="2"/>
    </row>
    <row r="1274" spans="1:18">
      <c r="A1274" s="3"/>
      <c r="B1274" s="3"/>
      <c r="C1274" s="2"/>
      <c r="D1274" s="2"/>
      <c r="E1274" s="51"/>
      <c r="F1274" s="51"/>
      <c r="G1274" s="51"/>
      <c r="H1274" s="51"/>
      <c r="I1274" s="2"/>
      <c r="J1274" s="2"/>
      <c r="K1274" s="2"/>
      <c r="L1274" s="2"/>
      <c r="M1274" s="2"/>
      <c r="N1274" s="2"/>
      <c r="O1274" s="2"/>
      <c r="P1274" s="53"/>
      <c r="Q1274" s="53"/>
      <c r="R1274" s="2"/>
    </row>
    <row r="1275" spans="1:18">
      <c r="A1275" s="3"/>
      <c r="B1275" s="3"/>
      <c r="C1275" s="2"/>
      <c r="D1275" s="2"/>
      <c r="E1275" s="51"/>
      <c r="F1275" s="51"/>
      <c r="G1275" s="51"/>
      <c r="H1275" s="51"/>
      <c r="I1275" s="2"/>
      <c r="J1275" s="2"/>
      <c r="K1275" s="2"/>
      <c r="L1275" s="2"/>
      <c r="M1275" s="2"/>
      <c r="N1275" s="2"/>
      <c r="O1275" s="2"/>
      <c r="P1275" s="53"/>
      <c r="Q1275" s="53"/>
      <c r="R1275" s="2"/>
    </row>
    <row r="1276" spans="1:18">
      <c r="A1276" s="3"/>
      <c r="B1276" s="3"/>
      <c r="C1276" s="2"/>
      <c r="D1276" s="2"/>
      <c r="E1276" s="51"/>
      <c r="F1276" s="51"/>
      <c r="G1276" s="51"/>
      <c r="H1276" s="51"/>
      <c r="I1276" s="2"/>
      <c r="J1276" s="2"/>
      <c r="K1276" s="2"/>
      <c r="L1276" s="2"/>
      <c r="M1276" s="2"/>
      <c r="N1276" s="2"/>
      <c r="O1276" s="2"/>
      <c r="P1276" s="53"/>
      <c r="Q1276" s="53"/>
      <c r="R1276" s="2"/>
    </row>
    <row r="1277" spans="1:18">
      <c r="A1277" s="3"/>
      <c r="B1277" s="3"/>
      <c r="C1277" s="2"/>
      <c r="D1277" s="2"/>
      <c r="E1277" s="51"/>
      <c r="F1277" s="51"/>
      <c r="G1277" s="51"/>
      <c r="H1277" s="51"/>
      <c r="I1277" s="2"/>
      <c r="J1277" s="2"/>
      <c r="K1277" s="2"/>
      <c r="L1277" s="2"/>
      <c r="M1277" s="2"/>
      <c r="N1277" s="2"/>
      <c r="O1277" s="2"/>
      <c r="P1277" s="53"/>
      <c r="Q1277" s="53"/>
      <c r="R1277" s="2"/>
    </row>
    <row r="1278" spans="1:18">
      <c r="A1278" s="3"/>
      <c r="B1278" s="3"/>
      <c r="C1278" s="2"/>
      <c r="D1278" s="2"/>
      <c r="E1278" s="51"/>
      <c r="F1278" s="51"/>
      <c r="G1278" s="51"/>
      <c r="H1278" s="51"/>
      <c r="I1278" s="2"/>
      <c r="J1278" s="2"/>
      <c r="K1278" s="2"/>
      <c r="L1278" s="2"/>
      <c r="M1278" s="2"/>
      <c r="N1278" s="2"/>
      <c r="O1278" s="2"/>
      <c r="P1278" s="53"/>
      <c r="Q1278" s="53"/>
      <c r="R1278" s="2"/>
    </row>
    <row r="1279" spans="1:18">
      <c r="A1279" s="3"/>
      <c r="B1279" s="3"/>
      <c r="C1279" s="2"/>
      <c r="D1279" s="2"/>
      <c r="E1279" s="51"/>
      <c r="F1279" s="51"/>
      <c r="G1279" s="51"/>
      <c r="H1279" s="51"/>
      <c r="I1279" s="2"/>
      <c r="J1279" s="2"/>
      <c r="K1279" s="2"/>
      <c r="L1279" s="2"/>
      <c r="M1279" s="2"/>
      <c r="N1279" s="2"/>
      <c r="O1279" s="2"/>
      <c r="P1279" s="53"/>
      <c r="Q1279" s="53"/>
      <c r="R1279" s="2"/>
    </row>
    <row r="1280" spans="1:18">
      <c r="A1280" s="3"/>
      <c r="B1280" s="3"/>
      <c r="C1280" s="2"/>
      <c r="D1280" s="2"/>
      <c r="E1280" s="51"/>
      <c r="F1280" s="51"/>
      <c r="G1280" s="51"/>
      <c r="H1280" s="51"/>
      <c r="I1280" s="2"/>
      <c r="J1280" s="2"/>
      <c r="K1280" s="2"/>
      <c r="L1280" s="2"/>
      <c r="M1280" s="2"/>
      <c r="N1280" s="2"/>
      <c r="O1280" s="2"/>
      <c r="P1280" s="53"/>
      <c r="Q1280" s="53"/>
      <c r="R1280" s="2"/>
    </row>
    <row r="1281" spans="1:18">
      <c r="A1281" s="3"/>
      <c r="B1281" s="3"/>
      <c r="C1281" s="2"/>
      <c r="D1281" s="2"/>
      <c r="E1281" s="51"/>
      <c r="F1281" s="51"/>
      <c r="G1281" s="51"/>
      <c r="H1281" s="51"/>
      <c r="I1281" s="2"/>
      <c r="J1281" s="2"/>
      <c r="K1281" s="2"/>
      <c r="L1281" s="2"/>
      <c r="M1281" s="2"/>
      <c r="N1281" s="2"/>
      <c r="O1281" s="2"/>
      <c r="P1281" s="53"/>
      <c r="Q1281" s="53"/>
      <c r="R1281" s="2"/>
    </row>
    <row r="1282" spans="1:18">
      <c r="A1282" s="3"/>
      <c r="B1282" s="3"/>
      <c r="C1282" s="2"/>
      <c r="D1282" s="2"/>
      <c r="E1282" s="51"/>
      <c r="F1282" s="51"/>
      <c r="G1282" s="51"/>
      <c r="H1282" s="51"/>
      <c r="I1282" s="2"/>
      <c r="J1282" s="2"/>
      <c r="K1282" s="2"/>
      <c r="L1282" s="2"/>
      <c r="M1282" s="2"/>
      <c r="N1282" s="2"/>
      <c r="O1282" s="2"/>
      <c r="P1282" s="53"/>
      <c r="Q1282" s="53"/>
      <c r="R1282" s="2"/>
    </row>
    <row r="1283" spans="1:18">
      <c r="A1283" s="3"/>
      <c r="B1283" s="3"/>
      <c r="C1283" s="2"/>
      <c r="D1283" s="2"/>
      <c r="E1283" s="51"/>
      <c r="F1283" s="51"/>
      <c r="G1283" s="51"/>
      <c r="H1283" s="51"/>
      <c r="I1283" s="2"/>
      <c r="J1283" s="2"/>
      <c r="K1283" s="2"/>
      <c r="L1283" s="2"/>
      <c r="M1283" s="2"/>
      <c r="N1283" s="2"/>
      <c r="O1283" s="2"/>
      <c r="P1283" s="53"/>
      <c r="Q1283" s="53"/>
      <c r="R1283" s="2"/>
    </row>
    <row r="1284" spans="1:18">
      <c r="A1284" s="3"/>
      <c r="B1284" s="3"/>
      <c r="C1284" s="2"/>
      <c r="D1284" s="2"/>
      <c r="E1284" s="51"/>
      <c r="F1284" s="51"/>
      <c r="G1284" s="51"/>
      <c r="H1284" s="51"/>
      <c r="I1284" s="2"/>
      <c r="J1284" s="2"/>
      <c r="K1284" s="2"/>
      <c r="L1284" s="2"/>
      <c r="M1284" s="2"/>
      <c r="N1284" s="2"/>
      <c r="O1284" s="2"/>
      <c r="P1284" s="53"/>
      <c r="Q1284" s="53"/>
      <c r="R1284" s="2"/>
    </row>
    <row r="1285" spans="1:18">
      <c r="A1285" s="3"/>
      <c r="B1285" s="3"/>
      <c r="C1285" s="2"/>
      <c r="D1285" s="2"/>
      <c r="E1285" s="51"/>
      <c r="F1285" s="51"/>
      <c r="G1285" s="51"/>
      <c r="H1285" s="51"/>
      <c r="I1285" s="2"/>
      <c r="J1285" s="2"/>
      <c r="K1285" s="2"/>
      <c r="L1285" s="2"/>
      <c r="M1285" s="2"/>
      <c r="N1285" s="2"/>
      <c r="O1285" s="2"/>
      <c r="P1285" s="53"/>
      <c r="Q1285" s="53"/>
      <c r="R1285" s="2"/>
    </row>
    <row r="1286" spans="1:18">
      <c r="A1286" s="3"/>
      <c r="B1286" s="3"/>
      <c r="C1286" s="2"/>
      <c r="D1286" s="2"/>
      <c r="E1286" s="51"/>
      <c r="F1286" s="51"/>
      <c r="G1286" s="51"/>
      <c r="H1286" s="51"/>
      <c r="I1286" s="2"/>
      <c r="J1286" s="2"/>
      <c r="K1286" s="2"/>
      <c r="L1286" s="2"/>
      <c r="M1286" s="2"/>
      <c r="N1286" s="2"/>
      <c r="O1286" s="2"/>
      <c r="P1286" s="53"/>
      <c r="Q1286" s="53"/>
      <c r="R1286" s="2"/>
    </row>
    <row r="1287" spans="1:18">
      <c r="A1287" s="3"/>
      <c r="B1287" s="3"/>
      <c r="C1287" s="2"/>
      <c r="D1287" s="2"/>
      <c r="E1287" s="51"/>
      <c r="F1287" s="51"/>
      <c r="G1287" s="51"/>
      <c r="H1287" s="51"/>
      <c r="I1287" s="2"/>
      <c r="J1287" s="2"/>
      <c r="K1287" s="2"/>
      <c r="L1287" s="2"/>
      <c r="M1287" s="2"/>
      <c r="N1287" s="2"/>
      <c r="O1287" s="2"/>
      <c r="P1287" s="53"/>
      <c r="Q1287" s="53"/>
      <c r="R1287" s="2"/>
    </row>
    <row r="1288" spans="1:18">
      <c r="A1288" s="3"/>
      <c r="B1288" s="3"/>
      <c r="C1288" s="2"/>
      <c r="D1288" s="2"/>
      <c r="E1288" s="51"/>
      <c r="F1288" s="51"/>
      <c r="G1288" s="51"/>
      <c r="H1288" s="51"/>
      <c r="I1288" s="2"/>
      <c r="J1288" s="2"/>
      <c r="K1288" s="2"/>
      <c r="L1288" s="2"/>
      <c r="M1288" s="2"/>
      <c r="N1288" s="2"/>
      <c r="O1288" s="2"/>
      <c r="P1288" s="53"/>
      <c r="Q1288" s="53"/>
      <c r="R1288" s="2"/>
    </row>
    <row r="1289" spans="1:18">
      <c r="A1289" s="3"/>
      <c r="B1289" s="3"/>
      <c r="C1289" s="2"/>
      <c r="D1289" s="2"/>
      <c r="E1289" s="51"/>
      <c r="F1289" s="51"/>
      <c r="G1289" s="51"/>
      <c r="H1289" s="51"/>
      <c r="I1289" s="2"/>
      <c r="L1289" s="2"/>
      <c r="M1289" s="2"/>
      <c r="N1289" s="2"/>
    </row>
    <row r="1290" spans="1:18">
      <c r="A1290" s="3"/>
      <c r="B1290" s="3"/>
      <c r="C1290" s="2"/>
      <c r="D1290" s="2"/>
      <c r="E1290" s="51"/>
      <c r="F1290" s="51"/>
      <c r="G1290" s="51"/>
      <c r="H1290" s="51"/>
      <c r="I1290" s="2"/>
      <c r="L1290" s="2"/>
      <c r="M1290" s="2"/>
      <c r="N1290" s="2"/>
    </row>
    <row r="1291" spans="1:18">
      <c r="A1291" s="3"/>
      <c r="B1291" s="3"/>
      <c r="C1291" s="2"/>
      <c r="D1291" s="2"/>
      <c r="E1291" s="51"/>
      <c r="F1291" s="51"/>
      <c r="G1291" s="51"/>
      <c r="H1291" s="51"/>
      <c r="I1291" s="2"/>
      <c r="L1291" s="2"/>
      <c r="M1291" s="2"/>
      <c r="N1291" s="2"/>
    </row>
    <row r="1292" spans="1:18">
      <c r="A1292" s="3"/>
      <c r="B1292" s="3"/>
      <c r="C1292" s="2"/>
      <c r="D1292" s="2"/>
      <c r="E1292" s="51"/>
      <c r="F1292" s="51"/>
      <c r="G1292" s="51"/>
      <c r="H1292" s="51"/>
      <c r="I1292" s="2"/>
      <c r="L1292" s="2"/>
      <c r="M1292" s="2"/>
      <c r="N1292" s="2"/>
    </row>
    <row r="1293" spans="1:18">
      <c r="A1293" s="3"/>
      <c r="B1293" s="3"/>
      <c r="C1293" s="2"/>
      <c r="D1293" s="2"/>
      <c r="E1293" s="51"/>
      <c r="F1293" s="51"/>
      <c r="G1293" s="51"/>
      <c r="H1293" s="51"/>
      <c r="I1293" s="2"/>
      <c r="L1293" s="2"/>
      <c r="M1293" s="2"/>
      <c r="N1293" s="2"/>
    </row>
    <row r="1294" spans="1:18">
      <c r="A1294" s="3"/>
      <c r="B1294" s="3"/>
      <c r="C1294" s="2"/>
      <c r="D1294" s="2"/>
      <c r="E1294" s="51"/>
      <c r="F1294" s="51"/>
      <c r="G1294" s="51"/>
      <c r="H1294" s="51"/>
      <c r="I1294" s="2"/>
      <c r="L1294" s="2"/>
      <c r="M1294" s="2"/>
      <c r="N1294" s="2"/>
    </row>
    <row r="1295" spans="1:18">
      <c r="A1295" s="3"/>
      <c r="B1295" s="3"/>
      <c r="C1295" s="2"/>
      <c r="D1295" s="2"/>
      <c r="E1295" s="51"/>
      <c r="F1295" s="51"/>
      <c r="G1295" s="51"/>
      <c r="H1295" s="51"/>
      <c r="I1295" s="2"/>
      <c r="L1295" s="2"/>
      <c r="M1295" s="2"/>
      <c r="N1295" s="2"/>
    </row>
    <row r="1296" spans="1:18">
      <c r="A1296" s="3"/>
      <c r="B1296" s="3"/>
      <c r="C1296" s="2"/>
      <c r="D1296" s="2"/>
      <c r="E1296" s="51"/>
      <c r="F1296" s="51"/>
      <c r="G1296" s="51"/>
      <c r="H1296" s="51"/>
      <c r="I1296" s="2"/>
      <c r="L1296" s="2"/>
      <c r="M1296" s="2"/>
      <c r="N1296" s="2"/>
    </row>
    <row r="1297" spans="1:14">
      <c r="A1297" s="3"/>
      <c r="B1297" s="3"/>
      <c r="C1297" s="2"/>
      <c r="D1297" s="2"/>
      <c r="E1297" s="51"/>
      <c r="F1297" s="51"/>
      <c r="G1297" s="51"/>
      <c r="H1297" s="51"/>
      <c r="I1297" s="2"/>
      <c r="L1297" s="2"/>
      <c r="M1297" s="2"/>
      <c r="N1297" s="2"/>
    </row>
    <row r="1298" spans="1:14">
      <c r="A1298" s="3"/>
      <c r="B1298" s="3"/>
      <c r="C1298" s="2"/>
      <c r="D1298" s="2"/>
      <c r="E1298" s="51"/>
      <c r="F1298" s="51"/>
      <c r="G1298" s="51"/>
      <c r="H1298" s="51"/>
      <c r="I1298" s="2"/>
      <c r="L1298" s="2"/>
      <c r="M1298" s="2"/>
      <c r="N1298" s="2"/>
    </row>
    <row r="1299" spans="1:14">
      <c r="A1299" s="3"/>
      <c r="B1299" s="3"/>
      <c r="C1299" s="2"/>
      <c r="D1299" s="2"/>
      <c r="E1299" s="51"/>
      <c r="F1299" s="51"/>
      <c r="G1299" s="51"/>
      <c r="H1299" s="51"/>
      <c r="I1299" s="2"/>
      <c r="L1299" s="2"/>
      <c r="M1299" s="2"/>
      <c r="N1299" s="2"/>
    </row>
    <row r="1300" spans="1:14">
      <c r="A1300" s="3"/>
      <c r="B1300" s="3"/>
      <c r="C1300" s="2"/>
      <c r="D1300" s="2"/>
      <c r="E1300" s="51"/>
      <c r="F1300" s="51"/>
      <c r="G1300" s="51"/>
      <c r="H1300" s="51"/>
      <c r="I1300" s="2"/>
      <c r="L1300" s="2"/>
      <c r="M1300" s="2"/>
      <c r="N1300" s="2"/>
    </row>
    <row r="1301" spans="1:14">
      <c r="A1301" s="3"/>
      <c r="B1301" s="3"/>
      <c r="C1301" s="2"/>
      <c r="D1301" s="2"/>
      <c r="E1301" s="51"/>
      <c r="F1301" s="51"/>
      <c r="G1301" s="51"/>
      <c r="H1301" s="51"/>
      <c r="I1301" s="2"/>
      <c r="L1301" s="2"/>
      <c r="M1301" s="2"/>
      <c r="N1301" s="2"/>
    </row>
    <row r="1302" spans="1:14">
      <c r="A1302" s="3"/>
      <c r="B1302" s="3"/>
      <c r="C1302" s="2"/>
      <c r="D1302" s="2"/>
      <c r="E1302" s="51"/>
      <c r="F1302" s="51"/>
      <c r="G1302" s="51"/>
      <c r="H1302" s="51"/>
      <c r="I1302" s="2"/>
      <c r="L1302" s="2"/>
      <c r="M1302" s="2"/>
      <c r="N1302" s="2"/>
    </row>
    <row r="1303" spans="1:14">
      <c r="A1303" s="3"/>
      <c r="B1303" s="3"/>
      <c r="C1303" s="2"/>
      <c r="D1303" s="2"/>
      <c r="E1303" s="51"/>
      <c r="F1303" s="51"/>
      <c r="G1303" s="51"/>
      <c r="H1303" s="51"/>
      <c r="I1303" s="2"/>
      <c r="L1303" s="2"/>
      <c r="M1303" s="2"/>
      <c r="N1303" s="2"/>
    </row>
    <row r="1304" spans="1:14">
      <c r="A1304" s="3"/>
      <c r="B1304" s="3"/>
      <c r="C1304" s="2"/>
      <c r="D1304" s="2"/>
      <c r="E1304" s="51"/>
      <c r="F1304" s="51"/>
      <c r="G1304" s="51"/>
      <c r="H1304" s="51"/>
      <c r="I1304" s="2"/>
      <c r="L1304" s="2"/>
      <c r="M1304" s="2"/>
      <c r="N1304" s="2"/>
    </row>
    <row r="1305" spans="1:14">
      <c r="A1305" s="3"/>
      <c r="B1305" s="3"/>
      <c r="C1305" s="2"/>
      <c r="D1305" s="2"/>
      <c r="E1305" s="51"/>
      <c r="F1305" s="51"/>
      <c r="G1305" s="51"/>
      <c r="H1305" s="51"/>
      <c r="I1305" s="2"/>
      <c r="L1305" s="2"/>
      <c r="M1305" s="2"/>
      <c r="N1305" s="2"/>
    </row>
    <row r="1306" spans="1:14">
      <c r="A1306" s="3"/>
      <c r="B1306" s="3"/>
      <c r="C1306" s="2"/>
      <c r="D1306" s="2"/>
      <c r="E1306" s="51"/>
      <c r="F1306" s="51"/>
      <c r="G1306" s="51"/>
      <c r="H1306" s="51"/>
      <c r="I1306" s="2"/>
      <c r="L1306" s="2"/>
      <c r="M1306" s="2"/>
      <c r="N1306" s="2"/>
    </row>
    <row r="1307" spans="1:14">
      <c r="A1307" s="3"/>
      <c r="B1307" s="3"/>
      <c r="C1307" s="2"/>
      <c r="D1307" s="2"/>
      <c r="E1307" s="51"/>
      <c r="F1307" s="51"/>
      <c r="G1307" s="51"/>
      <c r="H1307" s="51"/>
      <c r="I1307" s="2"/>
      <c r="L1307" s="2"/>
      <c r="M1307" s="2"/>
      <c r="N1307" s="2"/>
    </row>
  </sheetData>
  <mergeCells count="2">
    <mergeCell ref="J27:P77"/>
    <mergeCell ref="G4:I7"/>
  </mergeCells>
  <hyperlinks>
    <hyperlink ref="J26" r:id="rId1"/>
  </hyperlink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dimension ref="A1:N107"/>
  <sheetViews>
    <sheetView topLeftCell="A22" workbookViewId="0">
      <selection activeCell="C19" sqref="C19:E19"/>
    </sheetView>
  </sheetViews>
  <sheetFormatPr defaultRowHeight="14.25"/>
  <cols>
    <col min="1" max="1" width="8.375" customWidth="1"/>
    <col min="2" max="2" width="21.25" customWidth="1"/>
    <col min="3" max="3" width="16.75" style="23" customWidth="1"/>
    <col min="4" max="4" width="18.5" style="23" customWidth="1"/>
    <col min="5" max="5" width="19.375" style="23" customWidth="1"/>
    <col min="6" max="6" width="6.125" customWidth="1"/>
    <col min="7" max="7" width="11.5" customWidth="1"/>
    <col min="8" max="8" width="19" customWidth="1"/>
    <col min="9" max="9" width="40.625" customWidth="1"/>
    <col min="11" max="11" width="9" customWidth="1"/>
  </cols>
  <sheetData>
    <row r="1" spans="1:14">
      <c r="A1" s="75"/>
      <c r="B1" s="75"/>
      <c r="C1" s="75"/>
      <c r="D1" s="75"/>
      <c r="E1" s="75"/>
      <c r="F1" s="75"/>
      <c r="G1" s="75"/>
      <c r="H1" s="75"/>
      <c r="I1" s="75"/>
      <c r="J1" s="75"/>
      <c r="K1" s="75"/>
      <c r="L1" s="75"/>
      <c r="M1" s="75"/>
      <c r="N1" s="75"/>
    </row>
    <row r="2" spans="1:14" ht="133.5" customHeight="1">
      <c r="B2" s="1067" t="s">
        <v>363</v>
      </c>
      <c r="C2" s="1067"/>
      <c r="D2" s="1067"/>
      <c r="E2" s="1067"/>
      <c r="F2" s="640"/>
      <c r="G2" s="609"/>
      <c r="H2" s="609"/>
      <c r="I2" s="609"/>
      <c r="J2" s="609"/>
      <c r="K2" s="609"/>
      <c r="L2" s="75"/>
      <c r="M2" s="75"/>
      <c r="N2" s="75"/>
    </row>
    <row r="3" spans="1:14" ht="27" customHeight="1">
      <c r="A3" s="610" t="str">
        <f>S.General.RulemakingTitle</f>
        <v>Grants Pass Limited Maintenance Plans for CO and PM10</v>
      </c>
      <c r="B3" s="75"/>
      <c r="D3" s="610"/>
      <c r="E3" s="610"/>
      <c r="F3" s="610"/>
      <c r="G3" s="75"/>
      <c r="H3" s="75"/>
      <c r="I3" s="75"/>
      <c r="J3" s="75"/>
      <c r="K3" s="75"/>
      <c r="L3" s="75"/>
      <c r="M3" s="75"/>
      <c r="N3" s="75"/>
    </row>
    <row r="4" spans="1:14" ht="21" customHeight="1">
      <c r="A4" s="646" t="str">
        <f>"Code: "&amp;S.General.CodeName</f>
        <v>Code: GPLMP</v>
      </c>
      <c r="B4" s="611"/>
      <c r="C4" s="611"/>
      <c r="E4" s="611"/>
      <c r="F4" s="75"/>
      <c r="G4" s="611"/>
      <c r="H4" s="75"/>
      <c r="I4" s="75"/>
      <c r="J4" s="75"/>
      <c r="K4" s="75"/>
      <c r="L4" s="75"/>
      <c r="M4" s="75"/>
      <c r="N4" s="75"/>
    </row>
    <row r="5" spans="1:14" s="23" customFormat="1" ht="31.5" customHeight="1">
      <c r="A5" s="75"/>
      <c r="B5" s="612" t="s">
        <v>366</v>
      </c>
      <c r="C5" s="75"/>
      <c r="D5" s="75"/>
      <c r="E5" s="75"/>
      <c r="F5" s="75"/>
      <c r="G5" s="75"/>
      <c r="H5" s="75"/>
      <c r="I5" s="75"/>
      <c r="J5" s="75"/>
      <c r="K5" s="75"/>
      <c r="L5" s="75"/>
      <c r="M5" s="75"/>
      <c r="N5" s="75"/>
    </row>
    <row r="6" spans="1:14" ht="27.75" customHeight="1">
      <c r="A6" s="75"/>
      <c r="B6" s="613" t="s">
        <v>376</v>
      </c>
      <c r="C6" s="614"/>
      <c r="D6" s="614"/>
      <c r="E6" s="614"/>
      <c r="F6" s="75"/>
      <c r="G6" s="614"/>
      <c r="H6" s="614"/>
      <c r="I6" s="614"/>
      <c r="J6" s="75"/>
      <c r="K6" s="75"/>
      <c r="L6" s="75"/>
      <c r="M6" s="75"/>
      <c r="N6" s="75"/>
    </row>
    <row r="7" spans="1:14" ht="11.25" customHeight="1">
      <c r="A7" s="75"/>
      <c r="B7" s="75"/>
      <c r="C7" s="75"/>
      <c r="D7" s="75"/>
      <c r="E7" s="75"/>
      <c r="F7" s="75"/>
      <c r="G7" s="75"/>
      <c r="H7" s="75"/>
      <c r="I7" s="75"/>
      <c r="J7" s="75"/>
      <c r="K7" s="75"/>
      <c r="L7" s="75"/>
      <c r="M7" s="75"/>
      <c r="N7" s="75"/>
    </row>
    <row r="8" spans="1:14" s="23" customFormat="1" ht="24" customHeight="1">
      <c r="A8" s="75"/>
      <c r="B8" s="612" t="s">
        <v>367</v>
      </c>
      <c r="C8" s="75"/>
      <c r="D8" s="75"/>
      <c r="E8" s="75"/>
      <c r="F8" s="75"/>
      <c r="G8" s="75"/>
      <c r="H8" s="75"/>
      <c r="I8" s="75"/>
      <c r="J8" s="75"/>
      <c r="K8" s="75"/>
      <c r="L8" s="75"/>
      <c r="M8" s="75"/>
      <c r="N8" s="75"/>
    </row>
    <row r="9" spans="1:14" s="23" customFormat="1" ht="25.5" customHeight="1">
      <c r="A9" s="75"/>
      <c r="B9" s="613" t="s">
        <v>377</v>
      </c>
      <c r="C9" s="614"/>
      <c r="D9" s="614"/>
      <c r="E9" s="614"/>
      <c r="F9" s="75"/>
      <c r="G9" s="614"/>
      <c r="H9" s="614"/>
      <c r="I9" s="614"/>
      <c r="J9" s="75"/>
      <c r="K9" s="75"/>
      <c r="L9" s="75"/>
      <c r="M9" s="75"/>
      <c r="N9" s="75"/>
    </row>
    <row r="10" spans="1:14" ht="9.75" customHeight="1">
      <c r="A10" s="75"/>
      <c r="B10" s="75"/>
      <c r="C10" s="75"/>
      <c r="D10" s="75"/>
      <c r="E10" s="75"/>
      <c r="F10" s="75"/>
      <c r="G10" s="75"/>
      <c r="H10" s="75"/>
      <c r="I10" s="75"/>
      <c r="J10" s="75"/>
      <c r="K10" s="75"/>
      <c r="L10" s="75"/>
      <c r="M10" s="75"/>
      <c r="N10" s="75"/>
    </row>
    <row r="11" spans="1:14" s="23" customFormat="1" ht="24" customHeight="1">
      <c r="A11" s="75"/>
      <c r="B11" s="612" t="s">
        <v>368</v>
      </c>
      <c r="C11" s="75"/>
      <c r="D11" s="75"/>
      <c r="E11" s="75"/>
      <c r="F11" s="75"/>
      <c r="G11" s="75"/>
      <c r="H11" s="75"/>
      <c r="I11" s="75"/>
      <c r="J11" s="75"/>
      <c r="K11" s="75"/>
      <c r="L11" s="75"/>
      <c r="M11" s="75"/>
      <c r="N11" s="75"/>
    </row>
    <row r="12" spans="1:14" s="23" customFormat="1" ht="25.5" customHeight="1">
      <c r="A12" s="75"/>
      <c r="B12" s="613" t="s">
        <v>378</v>
      </c>
      <c r="C12" s="614"/>
      <c r="D12" s="614"/>
      <c r="E12" s="614"/>
      <c r="F12" s="75"/>
      <c r="G12" s="614"/>
      <c r="H12" s="614"/>
      <c r="I12" s="614"/>
      <c r="J12" s="75"/>
      <c r="K12" s="75"/>
      <c r="L12" s="75"/>
      <c r="M12" s="75"/>
      <c r="N12" s="75"/>
    </row>
    <row r="13" spans="1:14">
      <c r="A13" s="75"/>
      <c r="B13" s="75"/>
      <c r="C13" s="75"/>
      <c r="D13" s="75"/>
      <c r="E13" s="75"/>
      <c r="F13" s="75"/>
      <c r="G13" s="75"/>
      <c r="H13" s="75"/>
      <c r="I13" s="75"/>
      <c r="J13" s="75"/>
      <c r="K13" s="75"/>
      <c r="L13" s="75"/>
      <c r="M13" s="75"/>
      <c r="N13" s="75"/>
    </row>
    <row r="14" spans="1:14" ht="20.25">
      <c r="A14" s="610" t="s">
        <v>359</v>
      </c>
      <c r="B14" s="75"/>
      <c r="C14" s="75"/>
      <c r="D14" s="75"/>
      <c r="E14" s="75"/>
      <c r="F14" s="75"/>
      <c r="G14" s="75"/>
      <c r="H14" s="75"/>
      <c r="I14" s="75"/>
      <c r="J14" s="75"/>
      <c r="K14" s="75"/>
      <c r="L14" s="75"/>
      <c r="M14" s="75"/>
      <c r="N14" s="75"/>
    </row>
    <row r="15" spans="1:14" ht="33" customHeight="1">
      <c r="A15" s="75"/>
      <c r="B15" s="1069" t="s">
        <v>414</v>
      </c>
      <c r="C15" s="1069"/>
      <c r="D15" s="1069"/>
      <c r="E15" s="1069"/>
      <c r="F15" s="1069"/>
      <c r="G15" s="75"/>
      <c r="H15" s="75"/>
      <c r="I15" s="75"/>
      <c r="J15" s="75"/>
      <c r="K15" s="75"/>
      <c r="L15" s="75"/>
      <c r="M15" s="75"/>
      <c r="N15" s="75"/>
    </row>
    <row r="16" spans="1:14" s="23" customFormat="1" ht="21" customHeight="1">
      <c r="A16" s="75"/>
      <c r="B16" s="675"/>
      <c r="C16" s="75"/>
      <c r="D16" s="75"/>
      <c r="E16" s="75"/>
      <c r="F16" s="75"/>
      <c r="G16" s="75"/>
      <c r="H16" s="75"/>
      <c r="I16" s="75"/>
      <c r="J16" s="75"/>
      <c r="K16" s="75"/>
      <c r="L16" s="75"/>
      <c r="M16" s="75"/>
      <c r="N16" s="75"/>
    </row>
    <row r="17" spans="1:14" ht="25.5" customHeight="1">
      <c r="B17" s="612" t="s">
        <v>384</v>
      </c>
      <c r="C17" s="1068" t="str">
        <f>S.Staff.Program.Mgr.FullName&amp;", "&amp;S.Staff.Program.Mgr.Div&amp;": "&amp;S.Staff.Program.Mgr.SectionName&amp;""</f>
        <v>David Collier, OP: Air Quality Planning</v>
      </c>
      <c r="D17" s="1068"/>
      <c r="E17" s="1068"/>
      <c r="F17" s="75"/>
      <c r="G17" s="75"/>
      <c r="H17" s="75"/>
      <c r="I17" s="75"/>
      <c r="J17" s="75"/>
      <c r="K17" s="75"/>
      <c r="L17" s="75"/>
      <c r="M17" s="75"/>
      <c r="N17" s="75"/>
    </row>
    <row r="18" spans="1:14" ht="25.5" customHeight="1">
      <c r="B18" s="612" t="s">
        <v>478</v>
      </c>
      <c r="C18" s="1068" t="str">
        <f>S.Staff.Subject.Expert.FullName&amp;", "&amp;S.Staff.Program.Mgr.Div&amp;": "&amp;S.Staff.Program.Mgr.SectionName&amp;""</f>
        <v>Brian Finneran, OP: Air Quality Planning</v>
      </c>
      <c r="D18" s="1068"/>
      <c r="E18" s="1068"/>
      <c r="F18" s="75"/>
      <c r="G18" s="75"/>
      <c r="H18" s="75"/>
      <c r="I18" s="75"/>
      <c r="J18" s="75"/>
      <c r="K18" s="75"/>
      <c r="L18" s="75"/>
      <c r="M18" s="75"/>
      <c r="N18" s="75"/>
    </row>
    <row r="19" spans="1:14" ht="25.5" customHeight="1">
      <c r="B19" s="612" t="s">
        <v>479</v>
      </c>
      <c r="C19" s="1068" t="str">
        <f>S.Staff.RG.Lead.Full.Name&amp;", "&amp;S.Staff.RG.Lead.Div&amp;": "&amp;S.Staff.RG.Lead.SectionName&amp;""</f>
        <v>Andrea Gartenbaum, OP: Agency Rules</v>
      </c>
      <c r="D19" s="1068"/>
      <c r="E19" s="1068"/>
      <c r="F19" s="75"/>
      <c r="G19" s="75"/>
      <c r="H19" s="75"/>
      <c r="I19" s="75"/>
      <c r="J19" s="75"/>
      <c r="K19" s="75"/>
      <c r="L19" s="75"/>
      <c r="M19" s="75"/>
      <c r="N19" s="75"/>
    </row>
    <row r="20" spans="1:14" ht="12" customHeight="1">
      <c r="B20" s="1063" t="s">
        <v>519</v>
      </c>
      <c r="C20" s="1063"/>
      <c r="D20" s="1063"/>
      <c r="E20" s="1063"/>
      <c r="F20" s="75"/>
      <c r="G20" s="75"/>
      <c r="H20" s="75"/>
      <c r="I20" s="75"/>
      <c r="J20" s="75"/>
      <c r="K20" s="75"/>
      <c r="L20" s="75"/>
      <c r="M20" s="75"/>
      <c r="N20" s="75"/>
    </row>
    <row r="21" spans="1:14" ht="29.25" customHeight="1">
      <c r="A21" s="610" t="s">
        <v>369</v>
      </c>
      <c r="B21" s="75"/>
      <c r="C21" s="617"/>
      <c r="D21" s="617"/>
      <c r="E21" s="617"/>
      <c r="F21" s="75"/>
      <c r="G21" s="75"/>
      <c r="H21" s="75"/>
      <c r="I21" s="75"/>
      <c r="J21" s="75"/>
      <c r="K21" s="75"/>
      <c r="L21" s="75"/>
      <c r="M21" s="75"/>
      <c r="N21" s="75"/>
    </row>
    <row r="22" spans="1:14" s="173" customFormat="1" ht="40.5" customHeight="1">
      <c r="A22" s="653" t="s">
        <v>467</v>
      </c>
      <c r="B22" s="654"/>
      <c r="C22" s="655"/>
      <c r="D22" s="655"/>
      <c r="E22" s="655"/>
      <c r="F22" s="655"/>
      <c r="G22" s="656"/>
      <c r="H22" s="656"/>
      <c r="I22" s="656"/>
      <c r="J22" s="656"/>
      <c r="K22" s="656"/>
      <c r="L22" s="656"/>
      <c r="M22" s="656"/>
      <c r="N22" s="656"/>
    </row>
    <row r="23" spans="1:14" s="641" customFormat="1" ht="24" customHeight="1">
      <c r="A23" s="620" t="s">
        <v>370</v>
      </c>
      <c r="B23" s="620" t="s">
        <v>392</v>
      </c>
      <c r="C23" s="620" t="s">
        <v>372</v>
      </c>
      <c r="D23" s="620" t="s">
        <v>375</v>
      </c>
      <c r="E23" s="620" t="s">
        <v>475</v>
      </c>
      <c r="F23" s="620" t="s">
        <v>374</v>
      </c>
      <c r="G23" s="645"/>
      <c r="H23" s="645"/>
    </row>
    <row r="24" spans="1:14" s="631" customFormat="1" ht="36" customHeight="1">
      <c r="A24" s="664">
        <f>S.PlanningKickoff</f>
        <v>41792</v>
      </c>
      <c r="B24" s="661" t="str">
        <f>"Rules Group Partner: "&amp;S.Staff.RG.Lead.Full.Name</f>
        <v>Rules Group Partner: Andrea Gartenbaum</v>
      </c>
      <c r="C24" s="661" t="s">
        <v>477</v>
      </c>
      <c r="D24" s="661" t="s">
        <v>476</v>
      </c>
      <c r="E24" s="661" t="str">
        <f>S.Staff.Program.Mgr.FullName</f>
        <v>David Collier</v>
      </c>
      <c r="F24" s="679" t="s">
        <v>206</v>
      </c>
      <c r="G24" s="75"/>
      <c r="H24" s="647"/>
    </row>
    <row r="25" spans="1:14" s="631" customFormat="1" ht="51" customHeight="1">
      <c r="A25" s="665">
        <f>S.Planning.DraftWorkbooksEnd</f>
        <v>41792</v>
      </c>
      <c r="B25" s="662" t="str">
        <f>"Sponsoring Partner: "&amp;S.Staff.Program.Mgr.FullName</f>
        <v>Sponsoring Partner: David Collier</v>
      </c>
      <c r="C25" s="662" t="s">
        <v>424</v>
      </c>
      <c r="D25" s="662" t="s">
        <v>385</v>
      </c>
      <c r="E25" s="663" t="str">
        <f>S.Staff.Assistant.DA.LongName&amp;" and "&amp;
S.Staff.RG.Lead.FirstName</f>
        <v>Uri Papish and AndreaG</v>
      </c>
      <c r="F25" s="678" t="s">
        <v>206</v>
      </c>
      <c r="G25" s="75"/>
      <c r="H25" s="75"/>
    </row>
    <row r="26" spans="1:14" s="631" customFormat="1" ht="66" customHeight="1">
      <c r="A26" s="685">
        <f>S.Planning.AddConceptToPlanDate</f>
        <v>41792</v>
      </c>
      <c r="B26" s="643" t="str">
        <f>"Sponsoring Partner's Manager: "&amp;S.Staff.Assistant.DA.ShortName</f>
        <v>Sponsoring Partner's Manager: Uri</v>
      </c>
      <c r="C26" s="642" t="s">
        <v>425</v>
      </c>
      <c r="D26" s="642" t="s">
        <v>385</v>
      </c>
      <c r="E26" s="642" t="str">
        <f>S.Staff.Program.Mgr.FirstName&amp;" and "&amp;S.Staff.RG.Lead.FirstName</f>
        <v>DavidC and AndreaG</v>
      </c>
      <c r="F26" s="625" t="s">
        <v>206</v>
      </c>
      <c r="G26" s="75"/>
      <c r="H26" s="75"/>
    </row>
    <row r="27" spans="1:14" s="631" customFormat="1" ht="52.5" customHeight="1">
      <c r="A27" s="664"/>
      <c r="B27" s="661" t="str">
        <f>"Rules Group Partner: "&amp;S.Staff.RG.Lead.FirstName</f>
        <v>Rules Group Partner: AndreaG</v>
      </c>
      <c r="C27" s="661" t="s">
        <v>490</v>
      </c>
      <c r="D27" s="661" t="str">
        <f>"Determine capacity
Prioritize rulemakings
Validate with "&amp;S.Staff.Program.Mgr.FirstName</f>
        <v>Determine capacity
Prioritize rulemakings
Validate with DavidC</v>
      </c>
      <c r="E27" s="661" t="s">
        <v>394</v>
      </c>
      <c r="F27" s="679" t="s">
        <v>206</v>
      </c>
      <c r="G27" s="75"/>
      <c r="H27" s="647"/>
    </row>
    <row r="28" spans="1:14" s="631" customFormat="1" ht="48" customHeight="1">
      <c r="A28" s="664" t="s">
        <v>0</v>
      </c>
      <c r="B28" s="661" t="str">
        <f>"Rules Group Partner: "&amp;S.Staff.RG.Lead.FirstName</f>
        <v>Rules Group Partner: AndreaG</v>
      </c>
      <c r="C28" s="661" t="s">
        <v>426</v>
      </c>
      <c r="D28" s="661" t="s">
        <v>427</v>
      </c>
      <c r="E28" s="661" t="str">
        <f>S.Staff.Director</f>
        <v>Dick</v>
      </c>
      <c r="F28" s="679" t="s">
        <v>206</v>
      </c>
      <c r="G28" s="75"/>
      <c r="H28" s="75"/>
    </row>
    <row r="29" spans="1:14" s="669" customFormat="1" ht="40.5" customHeight="1">
      <c r="A29" s="666" t="s">
        <v>491</v>
      </c>
      <c r="B29" s="667"/>
      <c r="C29" s="668"/>
      <c r="D29" s="668"/>
      <c r="E29" s="668"/>
      <c r="F29" s="667"/>
      <c r="G29" s="667"/>
      <c r="H29" s="667"/>
      <c r="I29" s="667"/>
      <c r="J29" s="667"/>
      <c r="K29" s="667"/>
      <c r="L29" s="667"/>
      <c r="M29" s="667"/>
      <c r="N29" s="667"/>
    </row>
    <row r="30" spans="1:14" s="39" customFormat="1" ht="25.5">
      <c r="A30" s="657" t="s">
        <v>370</v>
      </c>
      <c r="B30" s="658" t="s">
        <v>371</v>
      </c>
      <c r="C30" s="657" t="s">
        <v>372</v>
      </c>
      <c r="D30" s="657" t="s">
        <v>375</v>
      </c>
      <c r="E30" s="657" t="s">
        <v>492</v>
      </c>
      <c r="F30" s="657" t="s">
        <v>374</v>
      </c>
      <c r="G30" s="659"/>
      <c r="H30" s="659"/>
      <c r="I30" s="659"/>
      <c r="J30" s="659"/>
      <c r="K30" s="659"/>
      <c r="L30" s="659"/>
      <c r="M30" s="659"/>
      <c r="N30" s="659"/>
    </row>
    <row r="31" spans="1:14" s="23" customFormat="1" ht="57">
      <c r="A31" s="662"/>
      <c r="B31" s="662" t="str">
        <f>"Sponsoring Partner: "&amp;S.Staff.Program.Mgr.FirstName</f>
        <v>Sponsoring Partner: DavidC</v>
      </c>
      <c r="C31" s="662" t="s">
        <v>423</v>
      </c>
      <c r="D31" s="662" t="s">
        <v>387</v>
      </c>
      <c r="E31" s="671" t="s">
        <v>388</v>
      </c>
      <c r="F31" s="678" t="s">
        <v>206</v>
      </c>
      <c r="G31" s="75"/>
      <c r="H31" s="75"/>
      <c r="I31" s="75"/>
      <c r="J31" s="75"/>
      <c r="K31" s="75"/>
      <c r="L31" s="75"/>
      <c r="M31" s="75"/>
      <c r="N31" s="75"/>
    </row>
    <row r="32" spans="1:14" s="23" customFormat="1" ht="48.75" customHeight="1">
      <c r="A32" s="662"/>
      <c r="B32" s="662" t="str">
        <f>"Sponsoring Partner: "&amp;S.Staff.Program.Mgr.FirstName</f>
        <v>Sponsoring Partner: DavidC</v>
      </c>
      <c r="C32" s="672" t="s">
        <v>420</v>
      </c>
      <c r="D32" s="673" t="s">
        <v>507</v>
      </c>
      <c r="E32" s="671" t="s">
        <v>388</v>
      </c>
      <c r="F32" s="678" t="s">
        <v>206</v>
      </c>
      <c r="G32" s="75"/>
      <c r="H32" s="75"/>
      <c r="I32" s="75"/>
      <c r="J32" s="75"/>
      <c r="K32" s="75"/>
      <c r="L32" s="75"/>
      <c r="M32" s="75"/>
      <c r="N32" s="75"/>
    </row>
    <row r="34" spans="1:14" s="23" customFormat="1" ht="20.25">
      <c r="A34" s="612" t="s">
        <v>379</v>
      </c>
      <c r="B34" s="75"/>
      <c r="C34" s="617"/>
      <c r="D34" s="617"/>
      <c r="E34" s="617"/>
      <c r="F34" s="75"/>
      <c r="G34" s="75"/>
      <c r="H34" s="75"/>
      <c r="I34" s="75"/>
      <c r="J34" s="75"/>
      <c r="K34" s="75"/>
      <c r="L34" s="75"/>
      <c r="M34" s="75"/>
      <c r="N34" s="75"/>
    </row>
    <row r="35" spans="1:14" s="23" customFormat="1" ht="14.25" customHeight="1">
      <c r="A35" s="616"/>
      <c r="B35" s="618" t="s">
        <v>380</v>
      </c>
      <c r="C35" s="617"/>
      <c r="D35" s="617"/>
      <c r="E35" s="617"/>
      <c r="F35" s="75"/>
      <c r="G35" s="75"/>
      <c r="H35" s="75"/>
      <c r="I35" s="75"/>
      <c r="J35" s="75"/>
      <c r="K35" s="75"/>
      <c r="L35" s="75"/>
      <c r="M35" s="75"/>
      <c r="N35" s="75"/>
    </row>
    <row r="36" spans="1:14" s="23" customFormat="1" ht="13.5" customHeight="1">
      <c r="A36" s="616"/>
      <c r="B36" s="618" t="s">
        <v>382</v>
      </c>
      <c r="C36" s="617"/>
      <c r="D36" s="617"/>
      <c r="E36" s="617"/>
      <c r="F36" s="75"/>
      <c r="G36" s="75"/>
      <c r="H36" s="75"/>
      <c r="I36" s="75"/>
      <c r="J36" s="75"/>
      <c r="K36" s="75"/>
      <c r="L36" s="75"/>
      <c r="M36" s="75"/>
      <c r="N36" s="75"/>
    </row>
    <row r="37" spans="1:14" s="23" customFormat="1" ht="13.5" customHeight="1">
      <c r="A37" s="616"/>
      <c r="B37" s="618" t="s">
        <v>381</v>
      </c>
      <c r="C37" s="617"/>
      <c r="D37" s="617"/>
      <c r="E37" s="617"/>
      <c r="F37" s="75"/>
      <c r="G37" s="75"/>
      <c r="H37" s="75"/>
      <c r="I37" s="75"/>
      <c r="J37" s="75"/>
      <c r="K37" s="75"/>
      <c r="L37" s="75"/>
      <c r="M37" s="75"/>
      <c r="N37" s="75"/>
    </row>
    <row r="38" spans="1:14" s="23" customFormat="1" ht="13.5" customHeight="1">
      <c r="A38" s="617"/>
      <c r="B38" s="618" t="s">
        <v>383</v>
      </c>
      <c r="C38" s="617"/>
      <c r="D38" s="617"/>
      <c r="E38" s="617"/>
      <c r="F38" s="75"/>
      <c r="G38" s="75"/>
      <c r="H38" s="75"/>
      <c r="I38" s="75"/>
      <c r="J38" s="75"/>
      <c r="K38" s="75"/>
      <c r="L38" s="75"/>
      <c r="M38" s="75"/>
      <c r="N38" s="75"/>
    </row>
    <row r="39" spans="1:14" ht="10.5" customHeight="1">
      <c r="A39" s="75"/>
      <c r="B39" s="75"/>
      <c r="C39" s="75"/>
      <c r="D39" s="75"/>
      <c r="E39" s="75"/>
      <c r="F39" s="75"/>
      <c r="G39" s="75"/>
      <c r="H39" s="75"/>
      <c r="I39" s="75"/>
      <c r="J39" s="75"/>
      <c r="K39" s="75"/>
      <c r="L39" s="75"/>
      <c r="M39" s="75"/>
      <c r="N39" s="75"/>
    </row>
    <row r="40" spans="1:14" ht="25.5">
      <c r="A40" s="619" t="s">
        <v>370</v>
      </c>
      <c r="B40" s="620" t="s">
        <v>371</v>
      </c>
      <c r="C40" s="619" t="s">
        <v>372</v>
      </c>
      <c r="D40" s="619" t="s">
        <v>375</v>
      </c>
      <c r="E40" s="620" t="s">
        <v>492</v>
      </c>
      <c r="F40" s="621" t="s">
        <v>374</v>
      </c>
      <c r="G40" s="75"/>
      <c r="H40" s="75"/>
      <c r="I40" s="75"/>
      <c r="J40" s="75"/>
      <c r="K40" s="75"/>
      <c r="L40" s="75"/>
      <c r="M40" s="75"/>
      <c r="N40" s="75"/>
    </row>
    <row r="41" spans="1:14" ht="32.25" customHeight="1">
      <c r="A41" s="682" t="e">
        <f>S.Notice.StartInvolveResources</f>
        <v>#REF!</v>
      </c>
      <c r="B41" s="662" t="str">
        <f>"Sponsoring Partner: "&amp;S.Staff.Program.Mgr.FirstName</f>
        <v>Sponsoring Partner: DavidC</v>
      </c>
      <c r="C41" s="671" t="s">
        <v>386</v>
      </c>
      <c r="D41" s="683" t="s">
        <v>387</v>
      </c>
      <c r="E41" s="671" t="s">
        <v>388</v>
      </c>
      <c r="F41" s="678" t="s">
        <v>206</v>
      </c>
      <c r="G41" s="75"/>
      <c r="H41" s="75"/>
      <c r="I41" s="75"/>
      <c r="J41" s="75"/>
      <c r="K41" s="75"/>
      <c r="L41" s="75"/>
      <c r="M41" s="75"/>
      <c r="N41" s="75"/>
    </row>
    <row r="42" spans="1:14" s="23" customFormat="1" ht="31.5" customHeight="1">
      <c r="A42" s="626" t="e">
        <f>S.Notice.EndInvolveResources</f>
        <v>#REF!</v>
      </c>
      <c r="B42" s="688" t="s">
        <v>388</v>
      </c>
      <c r="C42" s="624" t="s">
        <v>385</v>
      </c>
      <c r="D42" s="623" t="s">
        <v>389</v>
      </c>
      <c r="E42" s="687" t="str">
        <f>S.Staff.Program.Mgr.FirstName</f>
        <v>DavidC</v>
      </c>
      <c r="F42" s="625" t="s">
        <v>206</v>
      </c>
      <c r="G42" s="75"/>
      <c r="H42" s="75"/>
      <c r="I42" s="75"/>
      <c r="J42" s="75"/>
      <c r="K42" s="75"/>
      <c r="L42" s="75"/>
      <c r="M42" s="75"/>
      <c r="N42" s="75"/>
    </row>
    <row r="43" spans="1:14" s="23" customFormat="1" ht="30.75" customHeight="1">
      <c r="A43" s="673"/>
      <c r="B43" s="662" t="str">
        <f>"Sponsoring Partner: "&amp;S.Staff.Program.Mgr.FirstName</f>
        <v>Sponsoring Partner: DavidC</v>
      </c>
      <c r="C43" s="671" t="s">
        <v>386</v>
      </c>
      <c r="D43" s="671" t="s">
        <v>500</v>
      </c>
      <c r="E43" s="671" t="str">
        <f>S.Staff.RG.Lead.FirstName</f>
        <v>AndreaG</v>
      </c>
      <c r="F43" s="678" t="s">
        <v>206</v>
      </c>
      <c r="G43" s="75"/>
      <c r="H43" s="75"/>
      <c r="I43" s="75"/>
      <c r="J43" s="75"/>
      <c r="K43" s="75"/>
      <c r="L43" s="75"/>
      <c r="M43" s="75"/>
      <c r="N43" s="75"/>
    </row>
    <row r="44" spans="1:14" ht="121.5" customHeight="1">
      <c r="A44" s="686"/>
      <c r="B44" s="661" t="str">
        <f>"Rules Group Partner: "&amp;S.Staff.RG.Lead.FirstName</f>
        <v>Rules Group Partner: AndreaG</v>
      </c>
      <c r="C44" s="661" t="s">
        <v>386</v>
      </c>
      <c r="D44" s="670" t="s">
        <v>390</v>
      </c>
      <c r="E44" s="687" t="str">
        <f>S.Staff.Program.Mgr.FirstName</f>
        <v>DavidC</v>
      </c>
      <c r="F44" s="679" t="s">
        <v>206</v>
      </c>
      <c r="G44" s="75"/>
      <c r="H44" s="75"/>
      <c r="I44" s="75"/>
      <c r="J44" s="75"/>
      <c r="K44" s="75"/>
      <c r="L44" s="75"/>
      <c r="M44" s="75"/>
      <c r="N44" s="75"/>
    </row>
    <row r="45" spans="1:14" s="23" customFormat="1" ht="62.25" customHeight="1">
      <c r="A45" s="673"/>
      <c r="B45" s="662" t="str">
        <f>"Sponsoring Partner: "&amp;S.Staff.Program.Mgr.FirstName</f>
        <v>Sponsoring Partner: DavidC</v>
      </c>
      <c r="C45" s="671" t="s">
        <v>501</v>
      </c>
      <c r="D45" s="671" t="s">
        <v>508</v>
      </c>
      <c r="E45" s="671" t="str">
        <f>S.Staff.RG.Lead.FirstName</f>
        <v>AndreaG</v>
      </c>
      <c r="F45" s="678" t="s">
        <v>206</v>
      </c>
      <c r="G45" s="75"/>
      <c r="H45" s="75"/>
      <c r="I45" s="75"/>
      <c r="J45" s="75"/>
      <c r="K45" s="75"/>
      <c r="L45" s="75"/>
      <c r="M45" s="75"/>
      <c r="N45" s="75"/>
    </row>
    <row r="46" spans="1:14" ht="61.5" customHeight="1">
      <c r="A46" s="673">
        <f>S.Notice.PreviewBegin</f>
        <v>41845</v>
      </c>
      <c r="B46" s="662" t="str">
        <f>"Sponsoring Partner: "&amp;S.Staff.Program.Mgr.FirstName</f>
        <v>Sponsoring Partner: DavidC</v>
      </c>
      <c r="C46" s="671" t="s">
        <v>502</v>
      </c>
      <c r="D46" s="683" t="s">
        <v>98</v>
      </c>
      <c r="E46" s="671" t="str">
        <f>S.Staff.Assistant.DA.ShortName</f>
        <v>Uri</v>
      </c>
      <c r="F46" s="678" t="s">
        <v>206</v>
      </c>
      <c r="G46" s="75"/>
      <c r="H46" s="75"/>
      <c r="I46" s="75"/>
      <c r="J46" s="75"/>
      <c r="K46" s="75"/>
      <c r="L46" s="75"/>
      <c r="M46" s="75"/>
      <c r="N46" s="75"/>
    </row>
    <row r="47" spans="1:14" s="23" customFormat="1" ht="35.25" customHeight="1">
      <c r="A47" s="626">
        <f>CodeName.ScheduleOfTasks!AH593</f>
        <v>41852</v>
      </c>
      <c r="B47" s="643" t="str">
        <f>"Sponsoring Partner's Manager: "&amp;S.Staff.Assistant.DA.ShortName</f>
        <v>Sponsoring Partner's Manager: Uri</v>
      </c>
      <c r="C47" s="643" t="s">
        <v>501</v>
      </c>
      <c r="D47" s="643" t="s">
        <v>395</v>
      </c>
      <c r="E47" s="687" t="str">
        <f>S.Staff.Program.Mgr.FirstName</f>
        <v>DavidC</v>
      </c>
      <c r="F47" s="643"/>
      <c r="G47" s="75"/>
      <c r="H47" s="75"/>
      <c r="I47" s="75"/>
      <c r="J47" s="75"/>
      <c r="K47" s="75"/>
      <c r="L47" s="75"/>
      <c r="M47" s="75"/>
      <c r="N47" s="75"/>
    </row>
    <row r="48" spans="1:14" s="23" customFormat="1" ht="34.5" customHeight="1">
      <c r="A48" s="643"/>
      <c r="B48" s="643" t="str">
        <f>"Division Administrator "&amp;S.Staff.DA.ForProgram.FirstName</f>
        <v>Division Administrator DavidL</v>
      </c>
      <c r="C48" s="643" t="s">
        <v>415</v>
      </c>
      <c r="D48" s="643" t="s">
        <v>393</v>
      </c>
      <c r="E48" s="687" t="str">
        <f>S.Staff.Program.Mgr.FirstName</f>
        <v>DavidC</v>
      </c>
      <c r="F48" s="643"/>
      <c r="G48" s="75"/>
      <c r="H48" s="75"/>
      <c r="I48" s="75"/>
      <c r="J48" s="75"/>
      <c r="K48" s="75"/>
      <c r="L48" s="75"/>
      <c r="M48" s="75"/>
      <c r="N48" s="75"/>
    </row>
    <row r="49" spans="1:14" s="23" customFormat="1" ht="46.5" customHeight="1">
      <c r="A49" s="643"/>
      <c r="B49" s="643" t="str">
        <f>"Sponsoring Partner's Manager: "&amp;S.Staff.Assistant.DA.ShortName</f>
        <v>Sponsoring Partner's Manager: Uri</v>
      </c>
      <c r="C49" s="643" t="s">
        <v>396</v>
      </c>
      <c r="D49" s="643" t="s">
        <v>397</v>
      </c>
      <c r="E49" s="643" t="str">
        <f>S.Staff.RG.Lead.FirstName</f>
        <v>AndreaG</v>
      </c>
      <c r="F49" s="643"/>
      <c r="G49" s="75"/>
      <c r="H49" s="75"/>
      <c r="I49" s="75"/>
      <c r="J49" s="75"/>
      <c r="K49" s="75"/>
      <c r="L49" s="75"/>
      <c r="M49" s="75"/>
      <c r="N49" s="75"/>
    </row>
    <row r="50" spans="1:14" s="23" customFormat="1" ht="33" customHeight="1">
      <c r="A50" s="681"/>
      <c r="B50" s="681" t="str">
        <f>"Rules Group Partner: "&amp;S.Staff.RG.Lead.FirstName</f>
        <v>Rules Group Partner: AndreaG</v>
      </c>
      <c r="C50" s="681" t="s">
        <v>398</v>
      </c>
      <c r="D50" s="681" t="s">
        <v>399</v>
      </c>
      <c r="E50" s="681" t="s">
        <v>400</v>
      </c>
      <c r="F50" s="681"/>
      <c r="G50" s="75"/>
      <c r="H50" s="75"/>
      <c r="I50" s="75"/>
      <c r="J50" s="75"/>
      <c r="K50" s="75"/>
      <c r="L50" s="75"/>
      <c r="M50" s="75"/>
      <c r="N50" s="75"/>
    </row>
    <row r="51" spans="1:14" s="23" customFormat="1" ht="28.5">
      <c r="A51" s="684"/>
      <c r="B51" s="662" t="str">
        <f>"Sponsoring Partner: "&amp;S.Staff.Program.Mgr.FirstName</f>
        <v>Sponsoring Partner: DavidC</v>
      </c>
      <c r="C51" s="684" t="s">
        <v>401</v>
      </c>
      <c r="D51" s="684" t="s">
        <v>98</v>
      </c>
      <c r="E51" s="671" t="str">
        <f>S.Staff.RG.Lead.FirstName</f>
        <v>AndreaG</v>
      </c>
      <c r="F51" s="684"/>
      <c r="G51" s="75"/>
      <c r="H51" s="75"/>
      <c r="I51" s="75"/>
      <c r="J51" s="75"/>
      <c r="K51" s="75"/>
      <c r="L51" s="75"/>
      <c r="M51" s="75"/>
      <c r="N51" s="75"/>
    </row>
    <row r="52" spans="1:14" s="23" customFormat="1" ht="85.5">
      <c r="A52" s="684"/>
      <c r="B52" s="662" t="str">
        <f>"Sponsoring Partner: "&amp;S.Staff.Program.Mgr.FirstName</f>
        <v>Sponsoring Partner: DavidC</v>
      </c>
      <c r="C52" s="684" t="s">
        <v>416</v>
      </c>
      <c r="D52" s="671" t="s">
        <v>500</v>
      </c>
      <c r="E52" s="684" t="e">
        <f>S.Staff.Subject.Expert.FirstName&amp;", "&amp;S.Staff.HearingsOfficer&amp;" and "&amp;S.Staff.RG.Lead.FirstName</f>
        <v>#NAME?</v>
      </c>
      <c r="F52" s="684"/>
      <c r="G52" s="75"/>
      <c r="H52" s="75"/>
      <c r="I52" s="75"/>
      <c r="J52" s="75"/>
      <c r="K52" s="75"/>
      <c r="L52" s="75"/>
      <c r="M52" s="75"/>
      <c r="N52" s="75"/>
    </row>
    <row r="53" spans="1:14" s="23" customFormat="1">
      <c r="A53" s="676"/>
      <c r="B53" s="676"/>
      <c r="C53" s="676"/>
      <c r="D53" s="676"/>
      <c r="E53" s="676"/>
      <c r="F53" s="676"/>
      <c r="G53" s="75"/>
    </row>
    <row r="54" spans="1:14" s="23" customFormat="1" ht="15">
      <c r="A54" s="612" t="s">
        <v>402</v>
      </c>
      <c r="B54" s="75"/>
      <c r="C54" s="75"/>
      <c r="D54" s="75"/>
      <c r="E54" s="75"/>
      <c r="F54" s="75"/>
      <c r="G54" s="75"/>
    </row>
    <row r="55" spans="1:14" s="23" customFormat="1">
      <c r="A55" s="616"/>
      <c r="B55" s="75"/>
      <c r="C55" s="75"/>
      <c r="D55" s="75"/>
      <c r="E55" s="75"/>
      <c r="F55" s="75"/>
      <c r="G55" s="75"/>
    </row>
    <row r="56" spans="1:14" s="631" customFormat="1" ht="25.5">
      <c r="A56" s="620" t="s">
        <v>370</v>
      </c>
      <c r="B56" s="620" t="s">
        <v>392</v>
      </c>
      <c r="C56" s="620" t="s">
        <v>372</v>
      </c>
      <c r="D56" s="620" t="s">
        <v>375</v>
      </c>
      <c r="E56" s="620" t="s">
        <v>492</v>
      </c>
      <c r="F56" s="620" t="s">
        <v>374</v>
      </c>
    </row>
    <row r="57" spans="1:14" s="631" customFormat="1" ht="99.75">
      <c r="A57" s="671"/>
      <c r="B57" s="662" t="str">
        <f>"Sponsoring Partner: "&amp;S.Staff.Program.Mgr.FirstName</f>
        <v>Sponsoring Partner: DavidC</v>
      </c>
      <c r="C57" s="671" t="s">
        <v>421</v>
      </c>
      <c r="D57" s="671" t="s">
        <v>500</v>
      </c>
      <c r="E57" s="671" t="str">
        <f>S.Staff.RG.Lead.FirstName</f>
        <v>AndreaG</v>
      </c>
      <c r="F57" s="678" t="s">
        <v>206</v>
      </c>
    </row>
    <row r="58" spans="1:14" s="631" customFormat="1" ht="85.5">
      <c r="A58" s="680"/>
      <c r="B58" s="681" t="str">
        <f>"Rules Group Partner: "&amp;S.Staff.RG.Lead.FirstName</f>
        <v>Rules Group Partner: AndreaG</v>
      </c>
      <c r="C58" s="681" t="s">
        <v>503</v>
      </c>
      <c r="D58" s="680" t="s">
        <v>403</v>
      </c>
      <c r="E58" s="681" t="str">
        <f>S.Staff.DA.Support.ForProgram.FirstName&amp;", Legislative staff and Web staff"</f>
        <v>Carol, Legislative staff and Web staff</v>
      </c>
      <c r="F58" s="680" t="s">
        <v>206</v>
      </c>
    </row>
    <row r="59" spans="1:14" s="631" customFormat="1">
      <c r="A59" s="676"/>
      <c r="B59" s="676"/>
      <c r="C59" s="676"/>
      <c r="D59" s="676"/>
      <c r="E59" s="676"/>
      <c r="F59" s="676"/>
      <c r="G59" s="75"/>
    </row>
    <row r="60" spans="1:14" s="631" customFormat="1" ht="15">
      <c r="A60" s="612" t="s">
        <v>404</v>
      </c>
      <c r="B60" s="75"/>
      <c r="C60" s="75"/>
      <c r="D60" s="75"/>
      <c r="E60" s="75"/>
      <c r="F60" s="75"/>
      <c r="G60" s="75"/>
    </row>
    <row r="61" spans="1:14" s="631" customFormat="1">
      <c r="A61" s="75"/>
      <c r="B61" s="618" t="s">
        <v>405</v>
      </c>
      <c r="C61" s="75"/>
      <c r="D61" s="75"/>
      <c r="E61" s="75"/>
      <c r="F61" s="75"/>
      <c r="G61" s="75"/>
    </row>
    <row r="62" spans="1:14" s="631" customFormat="1">
      <c r="A62" s="75"/>
      <c r="B62" s="618" t="s">
        <v>381</v>
      </c>
      <c r="C62" s="75"/>
      <c r="D62" s="75"/>
      <c r="E62" s="75"/>
      <c r="F62" s="75"/>
      <c r="G62" s="75"/>
    </row>
    <row r="63" spans="1:14" s="631" customFormat="1">
      <c r="A63" s="677"/>
      <c r="B63" s="75"/>
      <c r="C63" s="75"/>
      <c r="D63" s="75"/>
      <c r="E63" s="75"/>
      <c r="F63" s="75"/>
      <c r="G63" s="75"/>
    </row>
    <row r="64" spans="1:14" s="641" customFormat="1" ht="25.5">
      <c r="A64" s="620" t="s">
        <v>370</v>
      </c>
      <c r="B64" s="620" t="s">
        <v>392</v>
      </c>
      <c r="C64" s="620" t="s">
        <v>372</v>
      </c>
      <c r="D64" s="620" t="s">
        <v>375</v>
      </c>
      <c r="E64" s="620" t="s">
        <v>492</v>
      </c>
      <c r="F64" s="620" t="s">
        <v>374</v>
      </c>
    </row>
    <row r="65" spans="1:7" s="631" customFormat="1" ht="42.75">
      <c r="A65" s="684"/>
      <c r="B65" s="662" t="str">
        <f>"Sponsoring Partner: "&amp;S.Staff.Program.Mgr.FirstName</f>
        <v>Sponsoring Partner: DavidC</v>
      </c>
      <c r="C65" s="684" t="s">
        <v>406</v>
      </c>
      <c r="D65" s="683" t="s">
        <v>387</v>
      </c>
      <c r="E65" s="671" t="s">
        <v>388</v>
      </c>
      <c r="F65" s="678" t="s">
        <v>206</v>
      </c>
    </row>
    <row r="66" spans="1:7" s="631" customFormat="1" ht="34.5" customHeight="1">
      <c r="A66" s="679"/>
      <c r="B66" s="681" t="str">
        <f>"Rules Group Partner: "&amp;S.Staff.RG.Lead.FirstName</f>
        <v>Rules Group Partner: AndreaG</v>
      </c>
      <c r="C66" s="681" t="s">
        <v>506</v>
      </c>
      <c r="D66" s="681" t="s">
        <v>500</v>
      </c>
      <c r="E66" s="680" t="str">
        <f>S.Staff.Program.Mgr.FirstName</f>
        <v>DavidC</v>
      </c>
      <c r="F66" s="679" t="s">
        <v>206</v>
      </c>
    </row>
    <row r="67" spans="1:7" s="631" customFormat="1" ht="27.75" customHeight="1">
      <c r="A67" s="643"/>
      <c r="B67" s="643" t="s">
        <v>407</v>
      </c>
      <c r="C67" s="643" t="s">
        <v>506</v>
      </c>
      <c r="D67" s="643" t="s">
        <v>504</v>
      </c>
      <c r="E67" s="643" t="str">
        <f>S.Staff.Program.Mgr.FirstName</f>
        <v>DavidC</v>
      </c>
      <c r="F67" s="625" t="s">
        <v>206</v>
      </c>
    </row>
    <row r="68" spans="1:7" s="631" customFormat="1" ht="28.5">
      <c r="A68" s="684"/>
      <c r="B68" s="662" t="str">
        <f>"Sponsoring Partner: "&amp;S.Staff.Program.Mgr.FirstName</f>
        <v>Sponsoring Partner: DavidC</v>
      </c>
      <c r="C68" s="684" t="s">
        <v>408</v>
      </c>
      <c r="D68" s="684" t="s">
        <v>395</v>
      </c>
      <c r="E68" s="684" t="str">
        <f>S.Staff.Assistant.DA.ShortName</f>
        <v>Uri</v>
      </c>
      <c r="F68" s="678" t="s">
        <v>206</v>
      </c>
    </row>
    <row r="69" spans="1:7" s="631" customFormat="1" ht="32.25" customHeight="1">
      <c r="A69" s="643"/>
      <c r="B69" s="643" t="str">
        <f>"Division Administrator: "&amp;S.Staff.DA.ForProgram.FirstName</f>
        <v>Division Administrator: DavidL</v>
      </c>
      <c r="C69" s="643" t="s">
        <v>422</v>
      </c>
      <c r="D69" s="643" t="s">
        <v>393</v>
      </c>
      <c r="E69" s="643" t="str">
        <f>S.Staff.Program.Mgr.FirstName</f>
        <v>DavidC</v>
      </c>
      <c r="F69" s="625" t="s">
        <v>206</v>
      </c>
    </row>
    <row r="70" spans="1:7" s="631" customFormat="1" ht="28.5">
      <c r="A70" s="684"/>
      <c r="B70" s="662" t="str">
        <f>"Sponsoring Partner: "&amp;S.Staff.Program.Mgr.FirstName</f>
        <v>Sponsoring Partner: DavidC</v>
      </c>
      <c r="C70" s="684" t="s">
        <v>409</v>
      </c>
      <c r="D70" s="684" t="s">
        <v>397</v>
      </c>
      <c r="E70" s="671" t="str">
        <f>S.Staff.RG.Lead.FirstName</f>
        <v>AndreaG</v>
      </c>
      <c r="F70" s="678" t="s">
        <v>206</v>
      </c>
    </row>
    <row r="71" spans="1:7" s="631" customFormat="1" ht="28.5">
      <c r="A71" s="680"/>
      <c r="B71" s="681" t="str">
        <f>"Rules Group Partner: "&amp;S.Staff.RG.Lead.FirstName</f>
        <v>Rules Group Partner: AndreaG</v>
      </c>
      <c r="C71" s="680" t="s">
        <v>398</v>
      </c>
      <c r="D71" s="680" t="s">
        <v>410</v>
      </c>
      <c r="E71" s="680" t="str">
        <f>S.Staff.EQCAssistant</f>
        <v>StephanieC</v>
      </c>
      <c r="F71" s="679" t="s">
        <v>206</v>
      </c>
    </row>
    <row r="72" spans="1:7" s="631" customFormat="1">
      <c r="A72" s="75"/>
      <c r="B72" s="75"/>
      <c r="C72" s="75"/>
      <c r="D72" s="75"/>
      <c r="E72" s="75"/>
      <c r="F72" s="75"/>
      <c r="G72" s="75"/>
    </row>
    <row r="73" spans="1:7" s="631" customFormat="1">
      <c r="A73" s="75"/>
      <c r="B73" s="75"/>
      <c r="C73" s="75"/>
      <c r="D73" s="75"/>
      <c r="E73" s="75"/>
      <c r="F73" s="75"/>
      <c r="G73" s="75"/>
    </row>
    <row r="74" spans="1:7" s="631" customFormat="1" ht="15">
      <c r="A74" s="612" t="s">
        <v>411</v>
      </c>
      <c r="B74" s="75"/>
      <c r="C74" s="75"/>
      <c r="D74" s="75"/>
      <c r="E74" s="75"/>
      <c r="F74" s="75"/>
      <c r="G74" s="75"/>
    </row>
    <row r="75" spans="1:7" s="631" customFormat="1">
      <c r="A75" s="677"/>
      <c r="B75" s="75"/>
      <c r="C75" s="75"/>
      <c r="D75" s="75"/>
      <c r="E75" s="75"/>
      <c r="F75" s="75"/>
      <c r="G75" s="75"/>
    </row>
    <row r="76" spans="1:7" s="631" customFormat="1" ht="25.5">
      <c r="A76" s="620" t="s">
        <v>370</v>
      </c>
      <c r="B76" s="620" t="s">
        <v>392</v>
      </c>
      <c r="C76" s="620" t="s">
        <v>372</v>
      </c>
      <c r="D76" s="620" t="s">
        <v>375</v>
      </c>
      <c r="E76" s="620" t="s">
        <v>373</v>
      </c>
      <c r="F76" s="620" t="s">
        <v>374</v>
      </c>
    </row>
    <row r="77" spans="1:7" s="631" customFormat="1" ht="85.5">
      <c r="A77" s="671"/>
      <c r="B77" s="662" t="str">
        <f>"Sponsoring Partner: "&amp;S.Staff.Program.Mgr.FirstName</f>
        <v>Sponsoring Partner: DavidC</v>
      </c>
      <c r="C77" s="671" t="s">
        <v>417</v>
      </c>
      <c r="D77" s="671" t="s">
        <v>500</v>
      </c>
      <c r="E77" s="671" t="str">
        <f>S.Staff.RG.Lead.FirstName</f>
        <v>AndreaG</v>
      </c>
      <c r="F77" s="678" t="s">
        <v>206</v>
      </c>
    </row>
    <row r="78" spans="1:7" s="631" customFormat="1" ht="32.25" customHeight="1">
      <c r="A78" s="670"/>
      <c r="B78" s="661" t="str">
        <f>"Rules Group Partner: "&amp;S.Staff.RG.Lead.FirstName</f>
        <v>Rules Group Partner: AndreaG</v>
      </c>
      <c r="C78" s="670" t="s">
        <v>499</v>
      </c>
      <c r="D78" s="670" t="s">
        <v>410</v>
      </c>
      <c r="E78" s="680" t="str">
        <f>S.Staff.EQCAssistant</f>
        <v>StephanieC</v>
      </c>
      <c r="F78" s="679" t="s">
        <v>206</v>
      </c>
    </row>
    <row r="79" spans="1:7" s="631" customFormat="1" ht="75" customHeight="1">
      <c r="A79" s="670"/>
      <c r="B79" s="661" t="str">
        <f>"Rules Group Partner: "&amp;S.Staff.RG.Lead.FirstName</f>
        <v>Rules Group Partner: AndreaG</v>
      </c>
      <c r="C79" s="670" t="s">
        <v>505</v>
      </c>
      <c r="D79" s="670" t="s">
        <v>412</v>
      </c>
      <c r="E79" s="670" t="s">
        <v>418</v>
      </c>
      <c r="F79" s="679" t="s">
        <v>206</v>
      </c>
    </row>
    <row r="80" spans="1:7" s="631" customFormat="1">
      <c r="A80" s="633"/>
    </row>
    <row r="81" spans="1:14" s="631" customFormat="1">
      <c r="A81" s="632"/>
    </row>
    <row r="82" spans="1:14" s="631" customFormat="1" ht="15">
      <c r="A82" s="612" t="s">
        <v>413</v>
      </c>
    </row>
    <row r="83" spans="1:14" s="631" customFormat="1">
      <c r="A83" s="633"/>
    </row>
    <row r="84" spans="1:14" s="631" customFormat="1" ht="25.5">
      <c r="A84" s="620" t="s">
        <v>370</v>
      </c>
      <c r="B84" s="620" t="s">
        <v>392</v>
      </c>
      <c r="C84" s="620" t="s">
        <v>372</v>
      </c>
      <c r="D84" s="620" t="s">
        <v>375</v>
      </c>
      <c r="E84" s="620" t="s">
        <v>373</v>
      </c>
      <c r="F84" s="620" t="s">
        <v>374</v>
      </c>
    </row>
    <row r="85" spans="1:14" s="631" customFormat="1" ht="71.25">
      <c r="A85" s="684"/>
      <c r="B85" s="662" t="str">
        <f>"Sponsoring Partner: "&amp;S.Staff.Program.Mgr.FirstName</f>
        <v>Sponsoring Partner: DavidC</v>
      </c>
      <c r="C85" s="662" t="s">
        <v>510</v>
      </c>
      <c r="D85" s="684" t="s">
        <v>98</v>
      </c>
      <c r="E85" s="671" t="str">
        <f>S.Staff.RG.Lead.FirstName</f>
        <v>AndreaG</v>
      </c>
      <c r="F85" s="678" t="s">
        <v>206</v>
      </c>
    </row>
    <row r="86" spans="1:14" s="631" customFormat="1" ht="71.25">
      <c r="A86" s="681"/>
      <c r="B86" s="661" t="str">
        <f>"Rules Group Partner: "&amp;S.Staff.RG.Lead.FirstName</f>
        <v>Rules Group Partner: AndreaG</v>
      </c>
      <c r="C86" s="670" t="s">
        <v>509</v>
      </c>
      <c r="D86" s="670" t="s">
        <v>511</v>
      </c>
      <c r="E86" s="670" t="s">
        <v>284</v>
      </c>
      <c r="F86" s="679" t="s">
        <v>206</v>
      </c>
    </row>
    <row r="87" spans="1:14" s="631" customFormat="1" ht="15.75">
      <c r="A87" s="634"/>
    </row>
    <row r="88" spans="1:14" s="23" customFormat="1" ht="20.25">
      <c r="A88" s="628"/>
    </row>
    <row r="89" spans="1:14" ht="184.5" customHeight="1">
      <c r="A89" s="629" t="s">
        <v>0</v>
      </c>
    </row>
    <row r="92" spans="1:14">
      <c r="A92" s="630"/>
    </row>
    <row r="94" spans="1:14" s="23" customFormat="1" ht="15">
      <c r="A94" s="612" t="s">
        <v>419</v>
      </c>
      <c r="B94" s="644"/>
      <c r="C94" s="644"/>
      <c r="D94" s="644"/>
      <c r="E94" s="644"/>
      <c r="F94" s="644"/>
      <c r="G94" s="75"/>
      <c r="H94" s="342"/>
      <c r="I94" s="75"/>
      <c r="J94" s="75"/>
      <c r="K94" s="75"/>
      <c r="L94" s="75"/>
      <c r="M94" s="75"/>
      <c r="N94" s="75"/>
    </row>
    <row r="95" spans="1:14" s="23" customFormat="1" ht="15">
      <c r="A95" s="612"/>
      <c r="B95" s="644"/>
      <c r="C95" s="644"/>
      <c r="D95" s="644"/>
      <c r="E95" s="644"/>
      <c r="F95" s="644"/>
      <c r="G95" s="75"/>
      <c r="H95" s="652"/>
      <c r="I95" s="75"/>
      <c r="J95" s="75"/>
      <c r="K95" s="75"/>
      <c r="L95" s="75"/>
      <c r="M95" s="75"/>
      <c r="N95" s="75"/>
    </row>
    <row r="96" spans="1:14" s="23" customFormat="1" ht="25.5">
      <c r="A96" s="619" t="s">
        <v>370</v>
      </c>
      <c r="B96" s="620" t="s">
        <v>371</v>
      </c>
      <c r="C96" s="619" t="s">
        <v>372</v>
      </c>
      <c r="D96" s="619" t="s">
        <v>375</v>
      </c>
      <c r="E96" s="621" t="s">
        <v>373</v>
      </c>
      <c r="F96" s="621" t="s">
        <v>374</v>
      </c>
      <c r="G96" s="75"/>
      <c r="H96" s="342"/>
      <c r="I96" s="75"/>
      <c r="J96" s="75"/>
      <c r="K96" s="75"/>
      <c r="L96" s="75"/>
      <c r="M96" s="75"/>
      <c r="N96" s="75"/>
    </row>
    <row r="97" spans="1:14" s="23" customFormat="1">
      <c r="A97" s="626"/>
      <c r="B97" s="627"/>
      <c r="C97" s="626"/>
      <c r="D97" s="626"/>
      <c r="E97" s="626"/>
      <c r="F97" s="626"/>
      <c r="G97" s="75"/>
      <c r="H97" s="652"/>
      <c r="I97" s="75"/>
      <c r="J97" s="75"/>
      <c r="K97" s="75"/>
      <c r="L97" s="75"/>
      <c r="M97" s="75"/>
      <c r="N97" s="75"/>
    </row>
    <row r="98" spans="1:14" s="23" customFormat="1">
      <c r="A98" s="626"/>
      <c r="B98" s="622"/>
      <c r="C98" s="626"/>
      <c r="D98" s="626"/>
      <c r="E98" s="626"/>
      <c r="F98" s="626"/>
      <c r="G98" s="75"/>
      <c r="H98" s="652"/>
      <c r="I98" s="75"/>
      <c r="J98" s="75"/>
      <c r="K98" s="75"/>
      <c r="L98" s="75"/>
      <c r="M98" s="75"/>
      <c r="N98" s="75"/>
    </row>
    <row r="99" spans="1:14" s="23" customFormat="1">
      <c r="A99" s="626"/>
      <c r="B99" s="626"/>
      <c r="C99" s="626"/>
      <c r="D99" s="626"/>
      <c r="E99" s="626"/>
      <c r="F99" s="626"/>
      <c r="G99" s="75"/>
      <c r="H99" s="75"/>
      <c r="I99" s="75"/>
      <c r="J99" s="75"/>
      <c r="K99" s="75"/>
      <c r="L99" s="75"/>
      <c r="M99" s="75"/>
      <c r="N99" s="75"/>
    </row>
    <row r="100" spans="1:14" s="23" customFormat="1">
      <c r="A100" s="626"/>
      <c r="B100" s="626"/>
      <c r="C100" s="626"/>
      <c r="D100" s="626"/>
      <c r="E100" s="626"/>
      <c r="F100" s="626"/>
      <c r="G100" s="75"/>
      <c r="H100" s="75"/>
      <c r="I100" s="75"/>
      <c r="J100" s="75"/>
      <c r="K100" s="75"/>
      <c r="L100" s="75"/>
      <c r="M100" s="75"/>
      <c r="N100" s="75"/>
    </row>
    <row r="101" spans="1:14" s="23" customFormat="1">
      <c r="A101" s="644"/>
      <c r="B101" s="644"/>
      <c r="C101" s="644"/>
      <c r="D101" s="644"/>
      <c r="E101" s="644"/>
      <c r="F101" s="644"/>
      <c r="G101" s="75"/>
      <c r="H101" s="75"/>
      <c r="I101" s="75"/>
      <c r="J101" s="75"/>
      <c r="K101" s="75"/>
      <c r="L101" s="75"/>
      <c r="M101" s="75"/>
      <c r="N101" s="75"/>
    </row>
    <row r="103" spans="1:14" s="23" customFormat="1" ht="15" thickBot="1">
      <c r="A103" s="1064" t="s">
        <v>360</v>
      </c>
      <c r="B103" s="1064"/>
      <c r="C103" s="615"/>
      <c r="D103" s="615"/>
      <c r="E103" s="615"/>
      <c r="F103" s="75"/>
      <c r="G103" s="75"/>
      <c r="H103" s="75"/>
      <c r="I103" s="75"/>
      <c r="J103" s="75"/>
      <c r="K103" s="75"/>
      <c r="L103" s="75"/>
      <c r="M103" s="75"/>
      <c r="N103" s="75"/>
    </row>
    <row r="104" spans="1:14" s="23" customFormat="1" ht="20.25">
      <c r="A104" s="616"/>
      <c r="B104" s="75"/>
      <c r="C104" s="1065" t="str">
        <f>S.Staff.Program.Mgr.FullName&amp;", "&amp;S.Staff.Program.Mgr.Div&amp;": "&amp;S.Staff.Program.Mgr.SectionName&amp;"     DATE"</f>
        <v>David Collier, OP: Air Quality Planning     DATE</v>
      </c>
      <c r="D104" s="1065"/>
      <c r="E104" s="1065"/>
      <c r="F104" s="75"/>
      <c r="G104" s="75"/>
      <c r="H104" s="75"/>
      <c r="I104" s="75"/>
      <c r="J104" s="75"/>
      <c r="K104" s="75"/>
      <c r="L104" s="75"/>
      <c r="M104" s="75"/>
      <c r="N104" s="75"/>
    </row>
    <row r="105" spans="1:14" s="23" customFormat="1" ht="33" customHeight="1">
      <c r="A105" s="75"/>
      <c r="B105" s="75"/>
      <c r="C105" s="75"/>
      <c r="D105" s="75"/>
      <c r="E105" s="75"/>
      <c r="F105" s="75"/>
      <c r="G105" s="75"/>
      <c r="H105" s="75"/>
      <c r="I105" s="75"/>
      <c r="J105" s="75"/>
      <c r="K105" s="75"/>
      <c r="L105" s="75"/>
      <c r="M105" s="75"/>
      <c r="N105" s="75"/>
    </row>
    <row r="106" spans="1:14" s="23" customFormat="1" ht="15" thickBot="1">
      <c r="A106" s="1064" t="s">
        <v>479</v>
      </c>
      <c r="B106" s="1064"/>
      <c r="C106" s="615"/>
      <c r="D106" s="615"/>
      <c r="E106" s="615"/>
      <c r="F106" s="75"/>
      <c r="G106" s="75"/>
      <c r="H106" s="75"/>
      <c r="I106" s="75"/>
      <c r="J106" s="75"/>
      <c r="K106" s="75"/>
      <c r="L106" s="75"/>
      <c r="M106" s="75"/>
      <c r="N106" s="75"/>
    </row>
    <row r="107" spans="1:14" s="23" customFormat="1" ht="30.75" customHeight="1">
      <c r="A107" s="75"/>
      <c r="B107" s="75"/>
      <c r="C107" s="1066" t="str">
        <f>S.Staff.RG.Lead.Full.Name&amp;", "&amp;S.Staff.RG.Lead.Div&amp;": "&amp;S.Staff.RG.Lead.SectionName&amp;"     DATE"</f>
        <v>Andrea Gartenbaum, OP: Agency Rules     DATE</v>
      </c>
      <c r="D107" s="1066"/>
      <c r="E107" s="1066"/>
      <c r="F107" s="75"/>
      <c r="G107" s="75"/>
      <c r="H107" s="75"/>
      <c r="I107" s="75"/>
      <c r="J107" s="75"/>
      <c r="K107" s="75"/>
      <c r="L107" s="75"/>
      <c r="M107" s="75"/>
      <c r="N107" s="75"/>
    </row>
  </sheetData>
  <mergeCells count="10">
    <mergeCell ref="B2:E2"/>
    <mergeCell ref="C17:E17"/>
    <mergeCell ref="C19:E19"/>
    <mergeCell ref="B15:F15"/>
    <mergeCell ref="C18:E18"/>
    <mergeCell ref="B20:E20"/>
    <mergeCell ref="A103:B103"/>
    <mergeCell ref="C104:E104"/>
    <mergeCell ref="A106:B106"/>
    <mergeCell ref="C107:E107"/>
  </mergeCells>
  <conditionalFormatting sqref="E31 A31:A32">
    <cfRule type="expression" dxfId="10" priority="22">
      <formula>IF($B31="Sponsoring Partner",TRUE)</formula>
    </cfRule>
  </conditionalFormatting>
  <conditionalFormatting sqref="E32">
    <cfRule type="expression" dxfId="9" priority="18">
      <formula>IF($B32="Sponsoring Partner",TRUE)</formula>
    </cfRule>
  </conditionalFormatting>
  <conditionalFormatting sqref="H94:H98">
    <cfRule type="expression" dxfId="8" priority="15" stopIfTrue="1">
      <formula>IF($AAE94=0,TRUE)</formula>
    </cfRule>
  </conditionalFormatting>
  <conditionalFormatting sqref="A24:E24">
    <cfRule type="expression" dxfId="7" priority="11">
      <formula>IF($B24="Sponsoring Partner",TRUE)</formula>
    </cfRule>
  </conditionalFormatting>
  <conditionalFormatting sqref="B44:C44">
    <cfRule type="expression" dxfId="6" priority="10">
      <formula>IF($B44="Sponsoring Partner",TRUE)</formula>
    </cfRule>
  </conditionalFormatting>
  <conditionalFormatting sqref="B27">
    <cfRule type="expression" dxfId="5" priority="9">
      <formula>IF($B27="Sponsoring Partner",TRUE)</formula>
    </cfRule>
  </conditionalFormatting>
  <conditionalFormatting sqref="B28">
    <cfRule type="expression" dxfId="4" priority="8">
      <formula>IF($B28="Sponsoring Partner",TRUE)</formula>
    </cfRule>
  </conditionalFormatting>
  <conditionalFormatting sqref="B24">
    <cfRule type="expression" dxfId="3" priority="7">
      <formula>IF($B24="Sponsoring Partner",TRUE)</formula>
    </cfRule>
  </conditionalFormatting>
  <conditionalFormatting sqref="B78">
    <cfRule type="expression" dxfId="2" priority="3">
      <formula>IF($B78="Sponsoring Partner",TRUE)</formula>
    </cfRule>
  </conditionalFormatting>
  <conditionalFormatting sqref="B79">
    <cfRule type="expression" dxfId="1" priority="2">
      <formula>IF($B79="Sponsoring Partner",TRUE)</formula>
    </cfRule>
  </conditionalFormatting>
  <conditionalFormatting sqref="B86">
    <cfRule type="expression" dxfId="0" priority="1">
      <formula>IF($B86="Sponsoring Partner",TRUE)</formula>
    </cfRule>
  </conditionalFormatting>
  <dataValidations count="1">
    <dataValidation type="list" allowBlank="1" showInputMessage="1" showErrorMessage="1" sqref="F85:F86 F57:F58 F65:F71 F77:F79 F31:F32 F24:F28 F41:F46">
      <formula1>"N, Y"</formula1>
    </dataValidation>
  </dataValidations>
  <pageMargins left="0.25" right="0.25" top="0.75" bottom="0.5" header="0.3" footer="0.3"/>
  <pageSetup orientation="portrait" r:id="rId1"/>
  <rowBreaks count="1" manualBreakCount="1">
    <brk id="20" max="16383" man="1"/>
  </rowBreaks>
  <drawing r:id="rId2"/>
</worksheet>
</file>

<file path=xl/worksheets/sheet9.xml><?xml version="1.0" encoding="utf-8"?>
<worksheet xmlns="http://schemas.openxmlformats.org/spreadsheetml/2006/main" xmlns:r="http://schemas.openxmlformats.org/officeDocument/2006/relationships">
  <dimension ref="A1:A19"/>
  <sheetViews>
    <sheetView workbookViewId="0">
      <selection activeCell="A9" sqref="A9:A19"/>
    </sheetView>
  </sheetViews>
  <sheetFormatPr defaultRowHeight="14.25"/>
  <sheetData>
    <row r="1" spans="1:1">
      <c r="A1" t="s">
        <v>512</v>
      </c>
    </row>
    <row r="2" spans="1:1">
      <c r="A2" t="s">
        <v>513</v>
      </c>
    </row>
    <row r="3" spans="1:1">
      <c r="A3" t="s">
        <v>514</v>
      </c>
    </row>
    <row r="4" spans="1:1">
      <c r="A4" t="s">
        <v>515</v>
      </c>
    </row>
    <row r="5" spans="1:1">
      <c r="A5" t="s">
        <v>516</v>
      </c>
    </row>
    <row r="6" spans="1:1">
      <c r="A6" t="s">
        <v>517</v>
      </c>
    </row>
    <row r="7" spans="1:1">
      <c r="A7" t="s">
        <v>518</v>
      </c>
    </row>
    <row r="9" spans="1:1">
      <c r="A9" t="s">
        <v>520</v>
      </c>
    </row>
    <row r="10" spans="1:1">
      <c r="A10" t="s">
        <v>521</v>
      </c>
    </row>
    <row r="11" spans="1:1">
      <c r="A11" t="s">
        <v>522</v>
      </c>
    </row>
    <row r="12" spans="1:1">
      <c r="A12" t="s">
        <v>523</v>
      </c>
    </row>
    <row r="13" spans="1:1">
      <c r="A13" t="s">
        <v>524</v>
      </c>
    </row>
    <row r="14" spans="1:1">
      <c r="A14" t="s">
        <v>525</v>
      </c>
    </row>
    <row r="15" spans="1:1">
      <c r="A15" t="s">
        <v>526</v>
      </c>
    </row>
    <row r="16" spans="1:1">
      <c r="A16" t="s">
        <v>527</v>
      </c>
    </row>
    <row r="17" spans="1:1">
      <c r="A17" t="s">
        <v>528</v>
      </c>
    </row>
    <row r="18" spans="1:1">
      <c r="A18" t="s">
        <v>529</v>
      </c>
    </row>
    <row r="19" spans="1:1">
      <c r="A19" t="s">
        <v>530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Category xmlns="$ListId:docs;">Rough Draft</Category>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7F9F9BD673498439FA3C6522570CBC3" ma:contentTypeVersion="" ma:contentTypeDescription="Create a new document." ma:contentTypeScope="" ma:versionID="2bbcae92bdd4b5314f689cab36adb54b">
  <xsd:schema xmlns:xsd="http://www.w3.org/2001/XMLSchema" xmlns:xs="http://www.w3.org/2001/XMLSchema" xmlns:p="http://schemas.microsoft.com/office/2006/metadata/properties" xmlns:ns2="$ListId:docs;" targetNamespace="http://schemas.microsoft.com/office/2006/metadata/properties" ma:root="true" ma:fieldsID="3d9add8d7f66833ac2ce47954ca4475e" ns2:_="">
    <xsd:import namespace="$ListId:docs;"/>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nillable="true" ma:displayName="Category" ma:default="Select..." ma:format="Dropdown" ma:internalName="Category">
      <xsd:simpleType>
        <xsd:restriction base="dms:Choice">
          <xsd:enumeration value="Select..."/>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C33C1E-8DEB-4FB9-85EE-E1D6884B1580}">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ListId:docs;"/>
    <ds:schemaRef ds:uri="http://schemas.openxmlformats.org/package/2006/metadata/core-properties"/>
    <ds:schemaRef ds:uri="http://schemas.microsoft.com/office/infopath/2007/PartnerControls"/>
  </ds:schemaRefs>
</ds:datastoreItem>
</file>

<file path=customXml/itemProps2.xml><?xml version="1.0" encoding="utf-8"?>
<ds:datastoreItem xmlns:ds="http://schemas.openxmlformats.org/officeDocument/2006/customXml" ds:itemID="{7746A714-B7C3-4CC8-9D8B-86AD77EABF42}">
  <ds:schemaRefs>
    <ds:schemaRef ds:uri="http://schemas.microsoft.com/sharepoint/v3/contenttype/forms"/>
  </ds:schemaRefs>
</ds:datastoreItem>
</file>

<file path=customXml/itemProps3.xml><?xml version="1.0" encoding="utf-8"?>
<ds:datastoreItem xmlns:ds="http://schemas.openxmlformats.org/officeDocument/2006/customXml" ds:itemID="{AC2F10D1-4645-4724-8989-DBFB5A2E7F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228</vt:i4>
      </vt:variant>
    </vt:vector>
  </HeadingPairs>
  <TitlesOfParts>
    <vt:vector size="237" baseType="lpstr">
      <vt:lpstr>CodeName.ScheduleOfTasks</vt:lpstr>
      <vt:lpstr>ConditionalFormat</vt:lpstr>
      <vt:lpstr>AddToPlan</vt:lpstr>
      <vt:lpstr>AQ.CFPp2.Calendar</vt:lpstr>
      <vt:lpstr>GetStarted</vt:lpstr>
      <vt:lpstr>HearingAndAdDates</vt:lpstr>
      <vt:lpstr>DDLs</vt:lpstr>
      <vt:lpstr>PartnershipAgreement</vt:lpstr>
      <vt:lpstr>OwnConsultInform</vt:lpstr>
      <vt:lpstr>AQ.CFPp2.Calendar!Print_Area</vt:lpstr>
      <vt:lpstr>CodeName.ScheduleOfTasks!Print_Area</vt:lpstr>
      <vt:lpstr>S.AC.BANNER.Begin</vt:lpstr>
      <vt:lpstr>S.AC.BANNER.End</vt:lpstr>
      <vt:lpstr>S.AC.Charter</vt:lpstr>
      <vt:lpstr>S.AC.CommitteeInvolved</vt:lpstr>
      <vt:lpstr>S.AC.DateMeeting1</vt:lpstr>
      <vt:lpstr>S.AC.DateMeeting2</vt:lpstr>
      <vt:lpstr>S.AC.DateMeeting3</vt:lpstr>
      <vt:lpstr>S.AC.DateMeeting4</vt:lpstr>
      <vt:lpstr>S.AC.DateMeeting5</vt:lpstr>
      <vt:lpstr>S.AC.InvolveMeeting1</vt:lpstr>
      <vt:lpstr>S.AC.InvolveMeeting2</vt:lpstr>
      <vt:lpstr>S.AC.InvolveMeeting3</vt:lpstr>
      <vt:lpstr>S.AC.InvolveMeeting4</vt:lpstr>
      <vt:lpstr>S.AC.InvolveMeeting5</vt:lpstr>
      <vt:lpstr>S.AC.Presentation1</vt:lpstr>
      <vt:lpstr>S.AC.Presentation2</vt:lpstr>
      <vt:lpstr>S.AC.Presentation3</vt:lpstr>
      <vt:lpstr>S.AC.Presentation4</vt:lpstr>
      <vt:lpstr>S.AC.Presentation5</vt:lpstr>
      <vt:lpstr>S.AC.SendInvitation</vt:lpstr>
      <vt:lpstr>S.AC.WebPage</vt:lpstr>
      <vt:lpstr>S.Comment.ApproveResponseLoop2</vt:lpstr>
      <vt:lpstr>S.Comment.ApproveResponseLoop3</vt:lpstr>
      <vt:lpstr>S.Comment.ApproveResponseLoop4</vt:lpstr>
      <vt:lpstr>S.DDL.BudgetAnalyst</vt:lpstr>
      <vt:lpstr>S.DDL.EQC.Cell1</vt:lpstr>
      <vt:lpstr>S.DDL.LegLiason</vt:lpstr>
      <vt:lpstr>S.DDL.MediaManager</vt:lpstr>
      <vt:lpstr>S.DDL_Bulletin</vt:lpstr>
      <vt:lpstr>S.DDL_DEQClosed</vt:lpstr>
      <vt:lpstr>S.DDL_EQCMeeting</vt:lpstr>
      <vt:lpstr>S.Default6</vt:lpstr>
      <vt:lpstr>S.DIRECTOR.Approves.ForDEQRulemakingPlan</vt:lpstr>
      <vt:lpstr>S.EndOfRulemaking</vt:lpstr>
      <vt:lpstr>S.EQC.1on1Briefing</vt:lpstr>
      <vt:lpstr>S.EQC.ApprovePacketLoop1</vt:lpstr>
      <vt:lpstr>S.EQC.ApprovePacketLoop2</vt:lpstr>
      <vt:lpstr>S.EQC.ApprovePacketLoop3</vt:lpstr>
      <vt:lpstr>S.EQC.ApprovePacketLoop4</vt:lpstr>
      <vt:lpstr>S.EQC.ApprovePresentationLoop2</vt:lpstr>
      <vt:lpstr>S.EQC.ApprovePresentationLoop3</vt:lpstr>
      <vt:lpstr>S.EQC.ApprovePresentationLoop4</vt:lpstr>
      <vt:lpstr>S.EQC.BANNER.Begin</vt:lpstr>
      <vt:lpstr>S.EQC.BANNER.End</vt:lpstr>
      <vt:lpstr>S.EQC.DirectorsReport1</vt:lpstr>
      <vt:lpstr>S.EQC.DirectorsReport2</vt:lpstr>
      <vt:lpstr>S.EQC.DirReport</vt:lpstr>
      <vt:lpstr>S.EQC.FacHearing</vt:lpstr>
      <vt:lpstr>S.EQC.FacHearing1</vt:lpstr>
      <vt:lpstr>S.EQC.FacHearing2</vt:lpstr>
      <vt:lpstr>S.EQC.FacHearingDates</vt:lpstr>
      <vt:lpstr>S.EQC.InfoItem</vt:lpstr>
      <vt:lpstr>S.EQC.InfoItem1</vt:lpstr>
      <vt:lpstr>S.EQC.InfoItem2</vt:lpstr>
      <vt:lpstr>S.EQC.Meeting</vt:lpstr>
      <vt:lpstr>S.EQC.MeetingNEXT</vt:lpstr>
      <vt:lpstr>S.EQC.PacketBeginReview</vt:lpstr>
      <vt:lpstr>S.EQC.PacketEndReview</vt:lpstr>
      <vt:lpstr>S.EQC.SubmitStaffRpt</vt:lpstr>
      <vt:lpstr>S.Fee.ApproveDASdenialResponseLoop1</vt:lpstr>
      <vt:lpstr>S.Fee.ApproveDASdenialResponseLoop2</vt:lpstr>
      <vt:lpstr>S.Fee.ApproveDASdenialResponseLoop4</vt:lpstr>
      <vt:lpstr>S.Fee.ApprovePacketLoop2</vt:lpstr>
      <vt:lpstr>S.Fee.ApprovePacketLoop3</vt:lpstr>
      <vt:lpstr>S.Fee.ApprovePacketLoop4</vt:lpstr>
      <vt:lpstr>S.Fee.BANNER.Begin</vt:lpstr>
      <vt:lpstr>S.Fee.BANNER.End</vt:lpstr>
      <vt:lpstr>S.Fee.DASApprovalRequired</vt:lpstr>
      <vt:lpstr>S.Fee.Involved</vt:lpstr>
      <vt:lpstr>S.Fee.SubmitToDAS</vt:lpstr>
      <vt:lpstr>S.General.CodeName</vt:lpstr>
      <vt:lpstr>S.General.Complexity</vt:lpstr>
      <vt:lpstr>S.General.DaysRecommended</vt:lpstr>
      <vt:lpstr>S.General.LastCellSchedule</vt:lpstr>
      <vt:lpstr>S.General.RulemakingTitle</vt:lpstr>
      <vt:lpstr>S.General.RuleType</vt:lpstr>
      <vt:lpstr>S.Hearing.1stCity</vt:lpstr>
      <vt:lpstr>S.Hearing.1stDate</vt:lpstr>
      <vt:lpstr>S.Hearing.1stInvolve</vt:lpstr>
      <vt:lpstr>S.Hearing.1stTime</vt:lpstr>
      <vt:lpstr>S.Hearing.2ndCity</vt:lpstr>
      <vt:lpstr>S.Hearing.2ndDate</vt:lpstr>
      <vt:lpstr>S.Hearing.2ndInvolve</vt:lpstr>
      <vt:lpstr>S.Hearing.2ndTime</vt:lpstr>
      <vt:lpstr>S.Hearing.3rdCity</vt:lpstr>
      <vt:lpstr>S.Hearing.3rdDate</vt:lpstr>
      <vt:lpstr>S.Hearing.3rdInvolve</vt:lpstr>
      <vt:lpstr>S.Hearing.3rdTime</vt:lpstr>
      <vt:lpstr>S.Hearing.4thCity</vt:lpstr>
      <vt:lpstr>S.Hearing.4thDate</vt:lpstr>
      <vt:lpstr>S.Hearing.4thInvolve</vt:lpstr>
      <vt:lpstr>S.Hearing.4thTime</vt:lpstr>
      <vt:lpstr>S.Hearing.5thCity</vt:lpstr>
      <vt:lpstr>S.Hearing.5thDate</vt:lpstr>
      <vt:lpstr>S.Hearing.5thInvolve</vt:lpstr>
      <vt:lpstr>S.Hearing.5thTime</vt:lpstr>
      <vt:lpstr>S.Hearing.6thCity</vt:lpstr>
      <vt:lpstr>S.Hearing.6thDate</vt:lpstr>
      <vt:lpstr>S.Hearing.6thInvolve</vt:lpstr>
      <vt:lpstr>S.Hearing.6thTime</vt:lpstr>
      <vt:lpstr>S.Hearing.7thCity</vt:lpstr>
      <vt:lpstr>S.Hearing.7thDate</vt:lpstr>
      <vt:lpstr>S.Hearing.7thInvolve</vt:lpstr>
      <vt:lpstr>S.Hearing.7thTime</vt:lpstr>
      <vt:lpstr>S.Hearing.8thCity</vt:lpstr>
      <vt:lpstr>S.Hearing.8thDate</vt:lpstr>
      <vt:lpstr>S.Hearing.8thTime</vt:lpstr>
      <vt:lpstr>S.Hearing.8thtInvolve</vt:lpstr>
      <vt:lpstr>S.Hearing.BANNER.Begin</vt:lpstr>
      <vt:lpstr>S.Hearing.BANNER.End</vt:lpstr>
      <vt:lpstr>S.HearingsOfficers</vt:lpstr>
      <vt:lpstr>S.Newspapers</vt:lpstr>
      <vt:lpstr>S.Notice.AD.Involved</vt:lpstr>
      <vt:lpstr>S.Notice.AD.PubDate1</vt:lpstr>
      <vt:lpstr>S.Notice.AD.PubDate2</vt:lpstr>
      <vt:lpstr>S.Notice.AD.PubDate3</vt:lpstr>
      <vt:lpstr>S.Notice.AD.PubDate4</vt:lpstr>
      <vt:lpstr>S.Notice.AD.PubDate5</vt:lpstr>
      <vt:lpstr>S.Notice.AD.PubDate6</vt:lpstr>
      <vt:lpstr>S.Notice.AD.PubDate7</vt:lpstr>
      <vt:lpstr>S.Notice.AD.PubDate8</vt:lpstr>
      <vt:lpstr>S.Notice.AD.PubID1</vt:lpstr>
      <vt:lpstr>S.Notice.AD.PubID2</vt:lpstr>
      <vt:lpstr>S.Notice.AD.PubID3</vt:lpstr>
      <vt:lpstr>S.Notice.AD.PubID4</vt:lpstr>
      <vt:lpstr>S.Notice.AD.PubID5</vt:lpstr>
      <vt:lpstr>S.Notice.AD.PubID6</vt:lpstr>
      <vt:lpstr>S.Notice.AD.PubID7</vt:lpstr>
      <vt:lpstr>S.Notice.AD.PubID8</vt:lpstr>
      <vt:lpstr>S.Notice.AD.ToContractServices</vt:lpstr>
      <vt:lpstr>S.Notice.ADABriefing</vt:lpstr>
      <vt:lpstr>S.Notice.ApprovePacketLoop2</vt:lpstr>
      <vt:lpstr>S.Notice.ApprovePacketLoop3</vt:lpstr>
      <vt:lpstr>S.Notice.ApprovePacketLoop4</vt:lpstr>
      <vt:lpstr>S.Notice.BANNER.Begin</vt:lpstr>
      <vt:lpstr>S.Notice.BANNER.End</vt:lpstr>
      <vt:lpstr>S.Notice.CloseComment</vt:lpstr>
      <vt:lpstr>S.Notice.CustomReviewLoop1</vt:lpstr>
      <vt:lpstr>S.Notice.CustomReviewLoop2</vt:lpstr>
      <vt:lpstr>S.Notice.CustomReviewLoop3</vt:lpstr>
      <vt:lpstr>S.Notice.DASNotification</vt:lpstr>
      <vt:lpstr>S.Notice.EPA.180days</vt:lpstr>
      <vt:lpstr>S.Notice.HearingInvolved</vt:lpstr>
      <vt:lpstr>S.Notice.InformationMeeting</vt:lpstr>
      <vt:lpstr>S.Notice.InOregonBulletin</vt:lpstr>
      <vt:lpstr>S.Notice.Involved</vt:lpstr>
      <vt:lpstr>S.Notice.LA.BriefingMeeting</vt:lpstr>
      <vt:lpstr>S.Notice.LastHearingDate</vt:lpstr>
      <vt:lpstr>S.Notice.MgrNoticeApproval</vt:lpstr>
      <vt:lpstr>S.Notice.NewsRelease</vt:lpstr>
      <vt:lpstr>S.Notice.OK.ToPublish</vt:lpstr>
      <vt:lpstr>S.Notice.OpenComment</vt:lpstr>
      <vt:lpstr>S.Notice.PreviewBegin</vt:lpstr>
      <vt:lpstr>S.Notice.PreviewEnd</vt:lpstr>
      <vt:lpstr>S.Notice.StartDraft</vt:lpstr>
      <vt:lpstr>S.Notice.Submit.ToADA</vt:lpstr>
      <vt:lpstr>S.Notice.Submit.ToRG</vt:lpstr>
      <vt:lpstr>S.Notice.Submit.ToSponsoringMgr</vt:lpstr>
      <vt:lpstr>S.Notice.SubmitToEPA</vt:lpstr>
      <vt:lpstr>S.Notice.SubmitToSOS</vt:lpstr>
      <vt:lpstr>S.Overview.BANNER.End</vt:lpstr>
      <vt:lpstr>S.Overview.BANNER.Start</vt:lpstr>
      <vt:lpstr>S.Planning.AddConceptToPlanDate</vt:lpstr>
      <vt:lpstr>S.Planning.ApproveCommunicationsLoop2</vt:lpstr>
      <vt:lpstr>S.Planning.ApproveCommunicationsLoop3</vt:lpstr>
      <vt:lpstr>S.Planning.ApproveCommunicationsLoop4</vt:lpstr>
      <vt:lpstr>S.Planning.BANNER.Begin</vt:lpstr>
      <vt:lpstr>S.Planning.BANNER.End</vt:lpstr>
      <vt:lpstr>S.Planning.CommunicationMeeting</vt:lpstr>
      <vt:lpstr>S.Planning.CommunicationsPlan</vt:lpstr>
      <vt:lpstr>S.Planning.DecisionToAddToPlan</vt:lpstr>
      <vt:lpstr>S.Planning.DraftWorkbooksEnd</vt:lpstr>
      <vt:lpstr>S.Planning.DraftWorkbooksStart</vt:lpstr>
      <vt:lpstr>S.Planning.ExpandTeam</vt:lpstr>
      <vt:lpstr>S.Planning.MessageMap</vt:lpstr>
      <vt:lpstr>S.Planning.ProgramWebPage</vt:lpstr>
      <vt:lpstr>S.PlanningKickoff</vt:lpstr>
      <vt:lpstr>S.PlanningWorkbooksStart</vt:lpstr>
      <vt:lpstr>S.PostEQC.BANNER.Begin</vt:lpstr>
      <vt:lpstr>S.PostEQC.BANNER.End</vt:lpstr>
      <vt:lpstr>S.PostEQC.EffectiveUponFiling</vt:lpstr>
      <vt:lpstr>S.PostEQC.FileRuleWithSOS</vt:lpstr>
      <vt:lpstr>S.PostEQC.NotifyStakeholders</vt:lpstr>
      <vt:lpstr>S.PostEQC.RuleEffective</vt:lpstr>
      <vt:lpstr>S.PostEQC.SubmitDASPart2</vt:lpstr>
      <vt:lpstr>S.PostEQC.SubmitSIPToEPA</vt:lpstr>
      <vt:lpstr>S.PublicInformartionOfficer.Involved</vt:lpstr>
      <vt:lpstr>S.QtimeEnd</vt:lpstr>
      <vt:lpstr>S.QtimeStart</vt:lpstr>
      <vt:lpstr>S.SIP.Involved</vt:lpstr>
      <vt:lpstr>S.Staff.AAG</vt:lpstr>
      <vt:lpstr>S.Staff.AgencyRulesCoordinator</vt:lpstr>
      <vt:lpstr>S.Staff.Assistant.DA.Div</vt:lpstr>
      <vt:lpstr>S.Staff.Assistant.DA.LongName</vt:lpstr>
      <vt:lpstr>S.Staff.Assistant.DA.Pronoun</vt:lpstr>
      <vt:lpstr>S.Staff.Assistant.DA.ShortName</vt:lpstr>
      <vt:lpstr>S.Staff.Assistant.DA.Title</vt:lpstr>
      <vt:lpstr>S.Staff.Budget</vt:lpstr>
      <vt:lpstr>S.Staff.DA.ForProgram.FirstName</vt:lpstr>
      <vt:lpstr>S.Staff.DA.ForRulesGroup.FirstName</vt:lpstr>
      <vt:lpstr>S.Staff.DA.Support.ForProgram.FirstName</vt:lpstr>
      <vt:lpstr>S.Staff.Director</vt:lpstr>
      <vt:lpstr>S.Staff.EQCAssistant</vt:lpstr>
      <vt:lpstr>S.Staff.FiscalReviewer</vt:lpstr>
      <vt:lpstr>S.Staff.LegislativeLiason</vt:lpstr>
      <vt:lpstr>S.Staff.Program.Mgr.Div</vt:lpstr>
      <vt:lpstr>S.Staff.Program.Mgr.FirstName</vt:lpstr>
      <vt:lpstr>S.Staff.Program.Mgr.FullName</vt:lpstr>
      <vt:lpstr>S.Staff.Program.Mgr.Pronoun</vt:lpstr>
      <vt:lpstr>S.Staff.Program.Mgr.SectionName</vt:lpstr>
      <vt:lpstr>S.Staff.PublicAffairsOfficer</vt:lpstr>
      <vt:lpstr>S.Staff.RG.Lead.Div</vt:lpstr>
      <vt:lpstr>S.Staff.RG.Lead.FirstName</vt:lpstr>
      <vt:lpstr>S.Staff.RG.Lead.Full.Name</vt:lpstr>
      <vt:lpstr>S.Staff.RG.Lead.Pronoun</vt:lpstr>
      <vt:lpstr>S.Staff.RG.Lead.SectionName</vt:lpstr>
      <vt:lpstr>S.Staff.SIPCo</vt:lpstr>
      <vt:lpstr>S.Staff.Subject.Expert.FirstName</vt:lpstr>
      <vt:lpstr>S.Staff.Subject.Expert.FullName</vt:lpstr>
      <vt:lpstr>S.Staff.Subject.Expert.Pronoun</vt:lpstr>
      <vt:lpstr>S.Staff.Support</vt:lpstr>
      <vt:lpstr>S.Staff.TimeAccounting</vt:lpstr>
      <vt:lpstr>S.Staff.WebMaster</vt:lpstr>
      <vt:lpstr>S.StartYear</vt:lpstr>
      <vt:lpstr>VL_Bulletin</vt:lpstr>
      <vt:lpstr>VL_EQCActivities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VANDEHEY Maggie</dc:creator>
  <cp:lastModifiedBy>AGarten</cp:lastModifiedBy>
  <cp:lastPrinted>2014-05-14T17:00:39Z</cp:lastPrinted>
  <dcterms:created xsi:type="dcterms:W3CDTF">2012-04-11T21:44:01Z</dcterms:created>
  <dcterms:modified xsi:type="dcterms:W3CDTF">2014-05-14T19:04:17Z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0x01010077F9F9BD673498439FA3C6522570CBC3</vt:lpwstr>
  </property>
</Properties>
</file>