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221" i="94"/>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H762"/>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<sst xmlns="http://schemas.openxmlformats.org/spreadsheetml/2006/main" count="1998" uniqueCount="793">
  <si>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</si>
  <si>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</si>
  <si>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</si>
  <si>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</si>
  <si>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</si>
  <si>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</si>
  <si>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</si>
  <si>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</si>
  <si>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</si>
  <si>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</si>
  <si>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</si>
  <si>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</si>
  <si>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</si>
  <si>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</si>
  <si>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</si>
  <si>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</si>
  <si>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</si>
  <si>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</si>
  <si>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</si>
  <si>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</si>
  <si>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</si>
  <si>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</si>
  <si>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</si>
  <si>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</si>
  <si>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</si>
  <si>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</si>
  <si>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</si>
  <si>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</si>
  <si>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</si>
  <si>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</si>
  <si>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</si>
  <si>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</si>
  <si>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</si>
  <si>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</si>
  <si>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</si>
  <si>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</si>
  <si>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</si>
  <si>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</si>
  <si>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</si>
  <si>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</si>
  <si>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</si>
  <si>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</si>
  <si>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</si>
  <si>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</si>
  <si>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</si>
  <si>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</si>
  <si>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</si>
  <si>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</si>
  <si>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</si>
  <si>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</si>
  <si>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</si>
  <si>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</si>
  <si>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</si>
  <si>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</si>
  <si>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</si>
  <si>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</si>
  <si>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</si>
  <si>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</si>
  <si>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</si>
  <si>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</si>
  <si>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</si>
  <si>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</si>
  <si>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</si>
  <si>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</si>
  <si>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</si>
  <si>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</si>
  <si>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</si>
  <si>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</si>
  <si>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</si>
  <si>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</si>
  <si>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</si>
  <si>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</si>
  <si>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</si>
  <si>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</si>
  <si>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</si>
  <si>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</si>
  <si>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</si>
  <si>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</si>
  <si>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</si>
  <si>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</si>
  <si>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</si>
  <si>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</si>
  <si>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</si>
  <si>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</si>
  <si>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</si>
  <si>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</si>
  <si>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</si>
  <si>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</si>
  <si>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</si>
  <si>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</si>
  <si>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</si>
  <si>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</si>
  <si>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</si>
  <si>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</si>
  <si>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</si>
  <si>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</si>
  <si>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</si>
  <si>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</si>
  <si>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</si>
  <si>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</si>
  <si>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</si>
  <si>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</si>
  <si>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</si>
  <si>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</si>
  <si>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</si>
  <si>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</si>
  <si>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</si>
  <si>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</si>
  <si>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</si>
  <si>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</si>
  <si>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</si>
  <si>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</si>
  <si>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</si>
  <si>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</si>
  <si>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</si>
  <si>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</si>
  <si>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</si>
  <si>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</si>
  <si>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</si>
  <si>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</si>
  <si>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</si>
  <si>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</si>
  <si>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</si>
  <si>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</si>
  <si>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</si>
  <si>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</si>
  <si>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</si>
  <si>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</si>
  <si>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</si>
  <si>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</si>
  <si>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</si>
  <si>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</si>
  <si>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</si>
  <si>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</si>
  <si>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</si>
  <si>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</si>
  <si>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</si>
  <si>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</si>
  <si>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</si>
  <si>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</si>
  <si>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</si>
  <si>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</si>
  <si>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</si>
  <si>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</si>
  <si>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</si>
  <si>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</si>
  <si>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</si>
  <si>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</si>
  <si>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</si>
  <si>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</si>
  <si>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</si>
  <si>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</si>
  <si>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</si>
  <si>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</si>
  <si>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</si>
  <si>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</si>
  <si>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</si>
  <si>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</si>
  <si>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</si>
  <si>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</si>
  <si>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</si>
  <si>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</si>
  <si>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</si>
  <si>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</si>
  <si>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</si>
  <si>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</si>
  <si>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</si>
  <si>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</si>
  <si>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</si>
  <si>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</si>
  <si>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</si>
  <si>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</si>
  <si>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</si>
  <si>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</si>
  <si>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</si>
  <si>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</si>
  <si>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</si>
  <si>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</si>
  <si>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</si>
  <si>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</si>
  <si>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</si>
  <si>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</si>
  <si>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</si>
  <si>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</si>
  <si>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</si>
  <si>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</si>
  <si>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</si>
  <si>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</si>
  <si>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</si>
  <si>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</si>
  <si>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</si>
  <si>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</si>
  <si>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</si>
  <si>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</si>
  <si>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</si>
  <si>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</si>
  <si>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</si>
  <si>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</si>
  <si>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</si>
  <si>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</si>
  <si>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</si>
  <si>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</si>
  <si>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</si>
  <si>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</si>
  <si>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</si>
  <si>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</si>
  <si>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</si>
  <si>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</si>
  <si>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</si>
  <si>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</si>
  <si>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</si>
  <si>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</si>
  <si>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</si>
  <si>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</si>
  <si>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</si>
  <si>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</si>
  <si>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</si>
  <si>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</si>
  <si>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</si>
  <si>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</si>
  <si>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</si>
  <si>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</si>
  <si>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</si>
  <si>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</si>
  <si>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</si>
  <si>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</si>
  <si>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</si>
  <si>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</si>
  <si>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</si>
  <si>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</si>
  <si>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</si>
  <si>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</si>
  <si>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</si>
  <si>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</si>
  <si>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</si>
  <si>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</si>
  <si>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</si>
  <si>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</si>
  <si>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</si>
  <si>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</si>
  <si>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</si>
  <si>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</si>
  <si>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</si>
  <si>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</si>
  <si>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</si>
  <si>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</si>
  <si>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</si>
  <si>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</si>
  <si>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</si>
  <si>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</si>
  <si>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</si>
  <si>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</si>
  <si>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</si>
  <si>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</si>
  <si>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</si>
  <si>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</si>
  <si>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</si>
  <si>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</si>
  <si>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</si>
  <si>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</si>
  <si>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</si>
  <si>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</si>
  <si>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</si>
  <si>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</si>
  <si>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</si>
  <si>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</si>
  <si>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</si>
  <si>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</si>
  <si>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</si>
  <si>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</si>
  <si>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</si>
  <si>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</si>
  <si>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</si>
  <si>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</si>
  <si>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</si>
  <si>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</si>
  <si>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</si>
  <si>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</si>
  <si>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</si>
  <si>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</si>
  <si>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</si>
  <si>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</si>
  <si>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</si>
  <si>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</si>
  <si>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</si>
  <si>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</si>
  <si>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</si>
  <si>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</si>
  <si>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</si>
  <si>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</si>
  <si>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</si>
  <si>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</si>
  <si>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</si>
  <si>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</si>
  <si>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</si>
  <si>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</si>
  <si>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</si>
  <si>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</si>
  <si>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</si>
  <si>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</si>
  <si>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</si>
  <si>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</si>
  <si>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</si>
  <si>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</si>
  <si>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</si>
  <si>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</si>
  <si>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</si>
  <si>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</si>
  <si>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</si>
  <si>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</si>
  <si>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</si>
  <si>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</si>
  <si>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</si>
  <si>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</si>
  <si>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</si>
  <si>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</si>
  <si>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</si>
  <si>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</si>
  <si>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</si>
  <si>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</si>
  <si>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</si>
  <si>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</si>
  <si>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</si>
  <si>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</si>
  <si>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</si>
  <si>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</si>
  <si>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</si>
  <si>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</si>
  <si>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</si>
  <si>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</si>
  <si>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</si>
  <si>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</si>
  <si>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</si>
  <si>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</si>
  <si>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</si>
  <si>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</si>
  <si>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</si>
  <si>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</si>
  <si>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</si>
  <si>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</si>
  <si>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</si>
  <si>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</si>
  <si>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</si>
  <si>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</si>
  <si>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</si>
  <si>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</si>
  <si>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</si>
  <si>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</si>
  <si>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</si>
  <si>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</si>
  <si>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</si>
  <si>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</si>
  <si>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</si>
  <si>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</si>
  <si>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</si>
  <si>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</si>
  <si>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</si>
  <si>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</si>
  <si>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</si>
  <si>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</si>
  <si>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</si>
  <si>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</si>
  <si>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</si>
  <si>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</si>
  <si>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</si>
  <si>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</si>
  <si>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</si>
  <si>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</si>
  <si>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</si>
  <si>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</si>
  <si>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</si>
  <si>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</si>
  <si>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</si>
  <si>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</si>
  <si>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</si>
  <si>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</si>
  <si>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</si>
  <si>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</si>
  <si>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</si>
  <si>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</si>
  <si>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</si>
  <si>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</si>
  <si>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</si>
  <si>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</si>
  <si>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</si>
  <si>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</si>
  <si>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</si>
  <si>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</si>
  <si>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</si>
  <si>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</si>
  <si>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</si>
  <si>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</si>
  <si>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</si>
  <si>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</si>
  <si>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</si>
  <si>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</si>
  <si>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</si>
  <si>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</si>
  <si>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</si>
  <si>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</si>
  <si>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</si>
  <si>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</si>
  <si>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</si>
  <si>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</si>
  <si>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</si>
  <si>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</si>
  <si>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</si>
  <si>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</si>
  <si>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</si>
  <si>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</si>
  <si>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</si>
  <si>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</si>
  <si>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</si>
  <si>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</si>
  <si>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</si>
  <si>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</si>
  <si>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</si>
  <si>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</si>
  <si>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</si>
  <si>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</si>
  <si>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</si>
  <si>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</si>
  <si>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</si>
  <si>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</si>
  <si>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</si>
  <si>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</si>
  <si>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</si>
  <si>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</si>
  <si>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</si>
  <si>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</si>
  <si>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</si>
  <si>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</si>
  <si>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</si>
  <si>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</si>
  <si>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</si>
  <si>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</si>
  <si>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</si>
  <si>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</si>
  <si>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</si>
  <si>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</si>
  <si>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</si>
  <si>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</si>
  <si>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</si>
  <si>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</si>
  <si>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</si>
  <si>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</si>
  <si>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</si>
  <si>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</si>
  <si>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</si>
  <si>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</si>
  <si>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</si>
  <si>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</si>
  <si>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</si>
  <si>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</si>
  <si>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</si>
  <si>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</si>
  <si>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</si>
  <si>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</si>
  <si>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</si>
  <si>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</si>
  <si>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</si>
  <si>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</si>
  <si>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</si>
  <si>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</si>
  <si>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</si>
  <si>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</si>
  <si>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</si>
  <si>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</si>
  <si>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</si>
  <si>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</si>
  <si>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</si>
  <si>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</si>
  <si>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</si>
  <si>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</si>
  <si>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</si>
  <si>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</si>
  <si>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</si>
  <si>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</si>
  <si>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</si>
  <si>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</si>
  <si>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</si>
  <si>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</si>
  <si>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</si>
  <si>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</si>
  <si>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</si>
  <si>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</si>
  <si>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</si>
  <si>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</si>
  <si>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</si>
  <si>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</si>
  <si>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</si>
  <si>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</si>
  <si>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</si>
  <si>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</si>
  <si>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</si>
  <si>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</si>
  <si>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</si>
  <si>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</si>
  <si>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</si>
  <si>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</si>
  <si>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</si>
  <si>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</si>
  <si>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</si>
  <si>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</si>
  <si>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</si>
  <si>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</si>
  <si>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</si>
  <si>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</si>
  <si>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</si>
  <si>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</si>
  <si>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</si>
  <si>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</si>
  <si>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</si>
  <si>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</si>
  <si>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</si>
  <si>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</si>
  <si>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</si>
  <si>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</si>
  <si>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</si>
  <si>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</si>
  <si>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</si>
  <si>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</si>
  <si>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</si>
  <si>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</si>
  <si>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</si>
  <si>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</si>
  <si>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</si>
  <si>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</si>
  <si>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</si>
  <si>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</si>
  <si>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</si>
  <si>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</si>
  <si>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</si>
  <si>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</si>
  <si>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</si>
  <si>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</si>
  <si>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</si>
  <si>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</si>
  <si>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</si>
  <si>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</si>
  <si>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</si>
  <si>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</si>
  <si>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</si>
  <si>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</si>
  <si>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</si>
  <si>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</si>
  <si>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</si>
  <si>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</si>
  <si>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</si>
  <si>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</si>
  <si>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</si>
  <si>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</si>
  <si>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</si>
  <si>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</si>
  <si>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</si>
  <si>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</si>
  <si>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</si>
  <si>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</si>
  <si>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</si>
  <si>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</si>
  <si>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</si>
  <si>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</si>
  <si>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</si>
  <si>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</si>
  <si>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</si>
  <si>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</si>
  <si>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</si>
  <si>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</si>
  <si>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</si>
  <si>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</si>
  <si>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</si>
  <si>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</si>
  <si>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</si>
  <si>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</si>
  <si>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</si>
  <si>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</si>
  <si>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</si>
  <si>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</si>
  <si>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</si>
  <si>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</si>
  <si>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</si>
  <si>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</si>
  <si>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</si>
  <si>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</si>
  <si>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</si>
  <si>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</si>
  <si>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</si>
  <si>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</si>
  <si>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</si>
  <si>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</si>
  <si>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</si>
  <si>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</si>
  <si>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</si>
  <si>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</si>
  <si>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</si>
  <si>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</si>
  <si>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</si>
  <si>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</si>
  <si>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</si>
  <si>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</si>
  <si>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</si>
  <si>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</si>
  <si>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</si>
  <si>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</si>
  <si>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</si>
  <si>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</si>
  <si>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</si>
  <si>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</si>
  <si>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</si>
  <si>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</si>
  <si>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</si>
  <si>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</si>
  <si>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</si>
  <si>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</si>
  <si>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</si>
  <si>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</si>
  <si>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</si>
  <si>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</si>
  <si>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</si>
  <si>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</si>
  <si>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</si>
  <si>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</si>
  <si>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</si>
  <si>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</si>
  <si>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</si>
  <si>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</si>
  <si>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</si>
  <si>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</si>
  <si>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</si>
  <si>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</si>
  <si>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</si>
  <si>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</si>
  <si>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</si>
  <si>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</si>
  <si>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</si>
  <si>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</si>
  <si>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</si>
  <si>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</si>
  <si>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</si>
  <si>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</si>
  <si>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</si>
  <si>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</si>
  <si>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</si>
  <si>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</si>
  <si>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</si>
  <si>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</si>
  <si>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</si>
  <si>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</si>
  <si>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</si>
  <si>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</si>
  <si>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</si>
  <si>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</si>
  <si>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</si>
  <si>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</si>
  <si>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</si>
  <si>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</si>
  <si>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</si>
  <si>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</si>
  <si>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</si>
  <si>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</si>
  <si>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</si>
  <si>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</si>
  <si>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</si>
  <si>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</si>
  <si>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</si>
  <si>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</si>
  <si>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</si>
  <si>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</si>
  <si>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</si>
  <si>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</si>
  <si>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</si>
  <si>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</si>
  <si>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</si>
  <si>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</si>
  <si>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</si>
  <si>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</si>
  <si>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</si>
  <si>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</si>
  <si>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</si>
  <si>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</si>
  <si>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</si>
  <si>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</si>
  <si>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</si>
  <si>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</si>
  <si>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</si>
  <si>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</si>
  <si>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</si>
  <si>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</si>
  <si>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</si>
  <si>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</si>
  <si>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</si>
  <si>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</si>
  <si>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</si>
  <si>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</si>
  <si>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</si>
  <si>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</si>
  <si>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</si>
  <si>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</si>
  <si>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</si>
  <si>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</si>
  <si>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</si>
  <si>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</si>
  <si>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</si>
  <si>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</si>
  <si>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</si>
  <si>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</si>
  <si>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</si>
  <si>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</si>
  <si>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</si>
  <si>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</si>
  <si>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</si>
  <si>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</si>
  <si>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</si>
  <si>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</si>
  <si>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</si>
  <si>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</si>
  <si>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</si>
  <si>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</si>
  <si>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</si>
  <si>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</si>
  <si>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</si>
  <si>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</si>
  <si>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</si>
  <si>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</si>
  <si>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</si>
  <si>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</si>
  <si>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</si>
  <si>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</si>
  <si>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</si>
  <si>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</si>
  <si>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</si>
  <si>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</si>
  <si>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</si>
  <si>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</si>
  <si>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</si>
  <si>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</si>
  <si>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</si>
  <si>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</si>
  <si>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</si>
  <si>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</si>
  <si>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</si>
  <si>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</si>
  <si>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</si>
  <si>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</si>
  <si>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</si>
  <si>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</si>
  <si>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</si>
  <si>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</si>
  <si>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</si>
  <si>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</si>
  <si>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</si>
  <si>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</si>
  <si>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</si>
  <si>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</si>
  <si>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</si>
  <si>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</si>
  <si>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</si>
  <si>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</si>
  <si>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</si>
  <si>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</si>
  <si>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</si>
  <si>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</si>
  <si>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</si>
  <si>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</si>
  <si>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</si>
  <si>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</si>
  <si>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</si>
  <si>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</si>
  <si>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</si>
  <si>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</si>
  <si>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</si>
  <si>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</si>
  <si>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</si>
  <si>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</si>
  <si>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</si>
  <si>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</si>
  <si>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</si>
  <si>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</si>
  <si>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</si>
  <si>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</si>
  <si>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</si>
  <si>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</si>
  <si>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</si>
  <si>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</si>
  <si>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</si>
  <si>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</si>
  <si>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</si>
  <si>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Update Grants Pass Limited Maintenance Plan</t>
  </si>
  <si>
    <t>David Collier</t>
  </si>
  <si>
    <t>Q-Time number = ?????</t>
  </si>
  <si>
    <t>\\deqhq1\Rule_Development\Currrent Plan\AQ-RM-GrantsPassLMP-Brian Finneran\1-Planning</t>
  </si>
  <si>
    <t>GPLMP</t>
  </si>
  <si>
    <t>Grants Pass</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</si>
</sst>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i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20" zoomScaleNormal="120" workbookViewId="0">
      <selection activeCell="B26" sqref="B26"/>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19" t="s">
        <v>0</v>
      </c>
      <c r="H1" s="1019"/>
      <c r="I1" s="745"/>
      <c r="AF1" s="361" t="s">
        <v>21</v>
      </c>
      <c r="AG1" s="59"/>
      <c r="AH1" s="76"/>
      <c r="AI1" s="816"/>
      <c r="AJ1" s="1017"/>
      <c r="AK1" s="1017"/>
      <c r="AL1" s="1017"/>
      <c r="AM1" s="1017"/>
      <c r="AN1" s="1017"/>
      <c r="AO1" s="1017"/>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4" t="s">
        <v>0</v>
      </c>
      <c r="D3" s="1034"/>
      <c r="E3" s="1034"/>
      <c r="F3" s="1034"/>
      <c r="G3" s="799">
        <f ca="1">AG3</f>
        <v>41768</v>
      </c>
      <c r="H3" s="800">
        <f>AH3</f>
        <v>42080</v>
      </c>
      <c r="I3" s="745"/>
      <c r="J3"/>
      <c r="K3"/>
      <c r="L3"/>
      <c r="M3"/>
      <c r="N3"/>
      <c r="O3"/>
      <c r="P3"/>
      <c r="Q3"/>
      <c r="R3"/>
      <c r="S3"/>
      <c r="T3"/>
      <c r="U3"/>
      <c r="X3"/>
      <c r="AB3"/>
      <c r="AC3"/>
      <c r="AF3" s="361" t="s">
        <v>59</v>
      </c>
      <c r="AG3" s="60">
        <f ca="1">TODAY()</f>
        <v>41768</v>
      </c>
      <c r="AH3" s="60">
        <f>S.EndOfRulemaking</f>
        <v>42080</v>
      </c>
      <c r="AI3" s="479" t="s">
        <v>0</v>
      </c>
      <c r="AJ3" s="380"/>
      <c r="AK3" s="348" t="str">
        <f>"Last row = "&amp;ROW(S.General.LastCellSchedule)</f>
        <v>Last row = 866</v>
      </c>
      <c r="AL3" s="76"/>
      <c r="AS3" s="1028"/>
      <c r="AT3" s="1028"/>
      <c r="AU3" s="1028"/>
      <c r="AV3" s="1028"/>
      <c r="AW3" s="1028"/>
      <c r="AX3" s="1028"/>
      <c r="AY3" s="1028"/>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1" t="s">
        <v>647</v>
      </c>
      <c r="C5" s="1031"/>
      <c r="D5" s="1031"/>
      <c r="E5" s="1031"/>
      <c r="F5" s="1031"/>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41792</v>
      </c>
      <c r="I6" s="920"/>
      <c r="AF6" s="362">
        <f>IF(C6="N",0,1)</f>
        <v>1</v>
      </c>
      <c r="AG6" s="58"/>
      <c r="AH6" s="809">
        <f>IF(C6="N",S.Overview.BANNER.Start,G6)</f>
        <v>41792</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3" t="s">
        <v>0</v>
      </c>
      <c r="G10"/>
      <c r="H10"/>
      <c r="I10" s="923">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1032"/>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103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41688</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3">
        <f>IF(S.SIP.Involved="N",,IF(S.General.Complexity=1,0,45))</f>
        <v>45</v>
      </c>
      <c r="G20" s="843" t="s">
        <v>0</v>
      </c>
      <c r="H20" s="265">
        <f>AH20</f>
        <v>41803</v>
      </c>
      <c r="I20" s="923">
        <f>IF(S.SIP.Involved="N",,IF(S.General.Complexity=1,0,45))</f>
        <v>45</v>
      </c>
      <c r="AF20" s="362">
        <f>IF(S.SIP.Involved="Y",1,0)</f>
        <v>1</v>
      </c>
      <c r="AG20" s="48"/>
      <c r="AH20" s="917">
        <f>IF(S.SIP.Involved="N",,IF(S.Notice.Involved="N","ERROR",WORKDAY(S.Notice.SubmitToSOS-60,-1,S.DDL_DEQClosed)))</f>
        <v>41803</v>
      </c>
      <c r="AI20" s="869"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41792</v>
      </c>
      <c r="H22" s="979">
        <f>AH22</f>
        <v>41904</v>
      </c>
      <c r="I22" s="923"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3">
        <v>5</v>
      </c>
      <c r="G23" s="291">
        <f>AG23</f>
        <v>41803</v>
      </c>
      <c r="H23" s="291">
        <f>AH23</f>
        <v>41810</v>
      </c>
      <c r="I23" s="923">
        <f>IF(S.Notice.Involved="N",0,10)</f>
        <v>10</v>
      </c>
      <c r="AF23" s="361">
        <f>IF(S.Notice.Involved="Y",1,0)</f>
        <v>1</v>
      </c>
      <c r="AG23" s="60">
        <f>IF(S.Notice.Involved="N",,WORKDAY(H23-F23+1,-1,S.DDL_DEQClosed))</f>
        <v>41803</v>
      </c>
      <c r="AH23" s="60">
        <f>IF(S.Notice.Involved="N",,WORKDAY(G24-9,-1,S.DDL_DEQClosed))</f>
        <v>41810</v>
      </c>
      <c r="AI23" s="952">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3">
        <v>10</v>
      </c>
      <c r="G24" s="914">
        <f>AG24</f>
        <v>41821</v>
      </c>
      <c r="H24" s="309">
        <f t="shared" ref="H24" si="1">AH24</f>
        <v>41831</v>
      </c>
      <c r="I24" s="923">
        <f>IF(S.Notice.Involved="N",0,IF(S.General.Complexity=1,7,IF(S.General.Complexity=2,14,21)))</f>
        <v>14</v>
      </c>
      <c r="AF24" s="361">
        <f>IF(S.Notice.Involved="Y",1,0)</f>
        <v>1</v>
      </c>
      <c r="AG24" s="60">
        <f>IF(S.Notice.Involved="N",,WORKDAY(H24-F24+1,-1,S.DDL_DEQClosed))</f>
        <v>41821</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41845</v>
      </c>
      <c r="H25" s="309">
        <f>AH25</f>
        <v>41852</v>
      </c>
      <c r="I25" s="923">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5" t="s">
        <v>687</v>
      </c>
      <c r="D27" s="1035"/>
      <c r="E27" s="1035"/>
      <c r="F27" s="1035"/>
      <c r="G27" s="1036"/>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41866</v>
      </c>
      <c r="H29" s="978">
        <f>AH29</f>
        <v>41955</v>
      </c>
      <c r="I29" s="925">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41869</v>
      </c>
      <c r="I30" s="926"/>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41899</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41904</v>
      </c>
      <c r="I32" s="926"/>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41866</v>
      </c>
      <c r="H34" s="978">
        <f>AH34</f>
        <v>41955</v>
      </c>
      <c r="I34" s="926"/>
      <c r="J34"/>
      <c r="K34"/>
      <c r="L34"/>
      <c r="M34"/>
      <c r="N34"/>
      <c r="O34"/>
      <c r="P34"/>
      <c r="Q34"/>
      <c r="R34"/>
      <c r="S34"/>
      <c r="T34"/>
      <c r="U34"/>
      <c r="X34"/>
      <c r="AB34"/>
      <c r="AC34"/>
      <c r="AF34" s="361">
        <v>1</v>
      </c>
      <c r="AG34" s="60">
        <f>S.Notice.SubmitToSOS</f>
        <v>41866</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41821</v>
      </c>
      <c r="H37" s="863">
        <v>41821</v>
      </c>
      <c r="I37" s="928"/>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5" t="s">
        <v>687</v>
      </c>
      <c r="D42" s="1035"/>
      <c r="E42" s="1035"/>
      <c r="F42" s="1035"/>
      <c r="G42" s="1036"/>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41990</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9" t="s">
        <v>0</v>
      </c>
      <c r="H43" s="1039"/>
      <c r="I43" s="929">
        <v>-55</v>
      </c>
      <c r="J43"/>
      <c r="K43"/>
      <c r="L43"/>
      <c r="M43"/>
      <c r="N43"/>
      <c r="O43"/>
      <c r="P43"/>
      <c r="Q43"/>
      <c r="R43"/>
      <c r="S43"/>
      <c r="T43"/>
      <c r="U43"/>
      <c r="X43"/>
      <c r="AB43"/>
      <c r="AC43"/>
      <c r="AF43" s="361">
        <v>1</v>
      </c>
      <c r="AG43" s="1033" t="s">
        <v>760</v>
      </c>
      <c r="AH43" s="1033"/>
      <c r="AI43" s="1033"/>
      <c r="AJ43" s="1033"/>
      <c r="AK43" s="1033"/>
      <c r="AL43" s="76"/>
    </row>
    <row r="44" spans="1:39" s="23" customFormat="1" ht="14.1" hidden="1" customHeight="1" thickTop="1">
      <c r="A44" s="145"/>
      <c r="C44" s="335"/>
      <c r="D44"/>
      <c r="G44" s="1039"/>
      <c r="H44" s="1039"/>
      <c r="I44" s="925">
        <f>SUM(I8:I42)</f>
        <v>320</v>
      </c>
      <c r="J44"/>
      <c r="K44"/>
      <c r="L44"/>
      <c r="M44"/>
      <c r="N44"/>
      <c r="O44"/>
      <c r="P44"/>
      <c r="Q44"/>
      <c r="R44"/>
      <c r="S44"/>
      <c r="T44"/>
      <c r="U44"/>
      <c r="X44"/>
      <c r="AB44"/>
      <c r="AC44"/>
      <c r="AF44" s="361">
        <v>1</v>
      </c>
      <c r="AG44" s="1033" t="s">
        <v>761</v>
      </c>
      <c r="AH44" s="1033"/>
      <c r="AI44" s="1033"/>
      <c r="AJ44" s="1033"/>
      <c r="AK44" s="103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25" t="s">
        <v>753</v>
      </c>
      <c r="C91" s="1026"/>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789</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3" t="s">
        <v>790</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7"/>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8"/>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7"/>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7"/>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7"/>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7"/>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7"/>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7"/>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80"/>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80"/>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80"/>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80"/>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1"/>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0" t="s">
        <v>586</v>
      </c>
      <c r="E217" s="1020"/>
      <c r="F217" s="1020"/>
      <c r="G217" s="1020"/>
      <c r="H217" s="102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9" t="s">
        <v>585</v>
      </c>
      <c r="E218" s="1030"/>
      <c r="F218" s="1030"/>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2" t="s">
        <v>16</v>
      </c>
      <c r="D219" s="1021">
        <v>1</v>
      </c>
      <c r="E219" s="1022"/>
      <c r="F219" s="1022"/>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792</v>
      </c>
      <c r="C220" s="963" t="s">
        <v>16</v>
      </c>
      <c r="D220" s="1021">
        <v>2</v>
      </c>
      <c r="E220" s="1022"/>
      <c r="F220" s="1022"/>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3" t="s">
        <v>206</v>
      </c>
      <c r="D221" s="1021">
        <v>3</v>
      </c>
      <c r="E221" s="1022"/>
      <c r="F221" s="1022"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4" t="s">
        <v>206</v>
      </c>
      <c r="D222" s="1021">
        <v>4</v>
      </c>
      <c r="E222" s="1022"/>
      <c r="F222" s="1022"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1021">
        <v>5</v>
      </c>
      <c r="E223" s="1022"/>
      <c r="F223" s="1022"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1021">
        <v>6</v>
      </c>
      <c r="E224" s="1022"/>
      <c r="F224" s="1022"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1021">
        <v>7</v>
      </c>
      <c r="E225" s="1022"/>
      <c r="F225" s="1022"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1021" t="s">
        <v>0</v>
      </c>
      <c r="E226" s="1022"/>
      <c r="F226" s="1022"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1040" t="s">
        <v>598</v>
      </c>
      <c r="D235" s="1040"/>
      <c r="E235" s="1040"/>
      <c r="F235" s="1040"/>
      <c r="G235" s="1040"/>
      <c r="H235" s="1040"/>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96" t="s">
        <v>601</v>
      </c>
      <c r="E237" s="997"/>
      <c r="F237" s="997"/>
      <c r="G237" s="998"/>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96" t="s">
        <v>606</v>
      </c>
      <c r="E238" s="997"/>
      <c r="F238" s="997"/>
      <c r="G238" s="998"/>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96" t="s">
        <v>608</v>
      </c>
      <c r="E239" s="997"/>
      <c r="F239" s="997"/>
      <c r="G239" s="998"/>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7">
        <v>4</v>
      </c>
      <c r="D240" s="996" t="s">
        <v>608</v>
      </c>
      <c r="E240" s="997"/>
      <c r="F240" s="997"/>
      <c r="G240" s="998"/>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7">
        <v>5</v>
      </c>
      <c r="D241" s="996" t="s">
        <v>608</v>
      </c>
      <c r="E241" s="997"/>
      <c r="F241" s="997"/>
      <c r="G241" s="998"/>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7">
        <v>6</v>
      </c>
      <c r="D242" s="996" t="s">
        <v>608</v>
      </c>
      <c r="E242" s="997"/>
      <c r="F242" s="997"/>
      <c r="G242" s="998"/>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7">
        <v>7</v>
      </c>
      <c r="D243" s="996" t="s">
        <v>608</v>
      </c>
      <c r="E243" s="997"/>
      <c r="F243" s="997"/>
      <c r="G243" s="998"/>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23" t="s">
        <v>608</v>
      </c>
      <c r="E244" s="1023"/>
      <c r="F244" s="1023"/>
      <c r="G244" s="1024"/>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08" t="s">
        <v>617</v>
      </c>
      <c r="D249" s="1008"/>
      <c r="E249" s="1008"/>
      <c r="F249" s="1008"/>
      <c r="G249" s="1009"/>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1041" t="str">
        <f>AK259</f>
        <v/>
      </c>
      <c r="G257" s="104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1"/>
      <c r="G258" s="104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1"/>
      <c r="G259" s="104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1"/>
      <c r="G260" s="104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1"/>
      <c r="G261" s="104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80"/>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80"/>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2" t="str">
        <f>AK12</f>
        <v>Advisory Committee - not involved</v>
      </c>
      <c r="C287" s="1002"/>
      <c r="D287" s="1002"/>
      <c r="E287" s="1002"/>
      <c r="F287" s="1002"/>
      <c r="G287" s="1002"/>
      <c r="H287" s="1002"/>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2" t="s">
        <v>0</v>
      </c>
      <c r="D377" s="1037" t="s">
        <v>220</v>
      </c>
      <c r="E377" s="1037"/>
      <c r="F377" s="1037"/>
      <c r="G377" s="103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2" t="s">
        <v>0</v>
      </c>
      <c r="D400" s="1037" t="s">
        <v>219</v>
      </c>
      <c r="E400" s="1037"/>
      <c r="F400" s="1037"/>
      <c r="G400" s="103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7" t="s">
        <v>217</v>
      </c>
      <c r="E423" s="1037"/>
      <c r="F423" s="1037"/>
      <c r="G423" s="103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7" t="s">
        <v>218</v>
      </c>
      <c r="E446" s="1037"/>
      <c r="F446" s="1037"/>
      <c r="G446" s="103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7" t="str">
        <f>AK14</f>
        <v>Fees - not involved</v>
      </c>
      <c r="C452" s="1027"/>
      <c r="D452" s="1027"/>
      <c r="E452" s="1027"/>
      <c r="F452" s="1027"/>
      <c r="G452" s="1027"/>
      <c r="H452" s="1027"/>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1" t="str">
        <f>AK22</f>
        <v>Public Notice</v>
      </c>
      <c r="C487" s="1001"/>
      <c r="D487" s="1001"/>
      <c r="E487" s="1001"/>
      <c r="F487" s="1001"/>
      <c r="G487" s="1001"/>
      <c r="H487" s="1001"/>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8" t="s">
        <v>0</v>
      </c>
      <c r="C489" s="1018"/>
      <c r="D489" s="1018"/>
      <c r="E489" s="1018"/>
      <c r="F489" s="1018"/>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7"/>
      <c r="F493" s="23"/>
      <c r="G493" s="939">
        <f t="shared" ref="G493" si="66">AG493</f>
        <v>41792</v>
      </c>
      <c r="H493" s="940">
        <f t="shared" ref="H493" si="67">AH493</f>
        <v>41801</v>
      </c>
      <c r="I493" s="745"/>
      <c r="AF493" s="361">
        <f t="shared" si="65"/>
        <v>1</v>
      </c>
      <c r="AG493" s="566">
        <f>IF(AF493=0,,S.Notice.BANNER.Begin)</f>
        <v>41792</v>
      </c>
      <c r="AH493" s="566">
        <f>IF(AF493=0,,WORKDAY(S.Notice.Submit.ToSponsoringMgr-1,-1,S.DDL_DEQClosed))</f>
        <v>41801</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41821</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7"/>
      <c r="F507"/>
      <c r="G507" s="943">
        <f t="shared" ref="G507:G520" si="68">AG507</f>
        <v>41792</v>
      </c>
      <c r="H507" s="944">
        <f t="shared" ref="H507:H520" si="69">AH507</f>
        <v>41801</v>
      </c>
      <c r="I507" s="745"/>
      <c r="AF507" s="361">
        <f t="shared" si="65"/>
        <v>1</v>
      </c>
      <c r="AG507" s="566">
        <f>IF(AF507=0,,S.Notice.BANNER.Begin)</f>
        <v>41792</v>
      </c>
      <c r="AH507" s="566">
        <f>IF(AF507=0,,WORKDAY(S.Notice.Submit.ToSponsoringMgr-1,-1,S.DDL_DEQClosed))</f>
        <v>41801</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41792</v>
      </c>
      <c r="H509" s="948">
        <f t="shared" si="69"/>
        <v>41801</v>
      </c>
      <c r="I509" s="745"/>
      <c r="J509"/>
      <c r="K509"/>
      <c r="L509"/>
      <c r="M509"/>
      <c r="N509"/>
      <c r="O509"/>
      <c r="P509"/>
      <c r="Q509"/>
      <c r="R509"/>
      <c r="S509"/>
      <c r="T509"/>
      <c r="U509"/>
      <c r="X509"/>
      <c r="AB509"/>
      <c r="AC509"/>
      <c r="AF509" s="361">
        <f t="shared" si="65"/>
        <v>1</v>
      </c>
      <c r="AG509" s="566">
        <f>$G$507</f>
        <v>41792</v>
      </c>
      <c r="AH509" s="566">
        <f>$H$507</f>
        <v>41801</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41792</v>
      </c>
      <c r="H510" s="948">
        <f t="shared" si="69"/>
        <v>41801</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41801</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41792</v>
      </c>
      <c r="H511" s="948">
        <f t="shared" si="69"/>
        <v>41801</v>
      </c>
      <c r="I511" s="745"/>
      <c r="J511"/>
      <c r="K511"/>
      <c r="L511"/>
      <c r="M511"/>
      <c r="N511"/>
      <c r="O511"/>
      <c r="P511"/>
      <c r="Q511"/>
      <c r="R511"/>
      <c r="S511"/>
      <c r="T511"/>
      <c r="U511"/>
      <c r="X511"/>
      <c r="AB511"/>
      <c r="AC511"/>
      <c r="AF511" s="361">
        <f>IF(AND(S.SIP.Involved="Y",S.Notice.Involved="Y"),1,0)</f>
        <v>1</v>
      </c>
      <c r="AG511" s="566">
        <f t="shared" si="70"/>
        <v>41792</v>
      </c>
      <c r="AH511" s="566">
        <f t="shared" si="71"/>
        <v>41801</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7"/>
      <c r="F512"/>
      <c r="G512" s="947">
        <f t="shared" si="68"/>
        <v>41792</v>
      </c>
      <c r="H512" s="948">
        <f t="shared" si="69"/>
        <v>41801</v>
      </c>
      <c r="I512" s="745"/>
      <c r="AF512" s="361">
        <f t="shared" ref="AF512:AF538" si="73">IF(S.Notice.Involved="Y",1,0)</f>
        <v>1</v>
      </c>
      <c r="AG512" s="566">
        <f t="shared" si="70"/>
        <v>41792</v>
      </c>
      <c r="AH512" s="566">
        <f t="shared" si="71"/>
        <v>41801</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41792</v>
      </c>
      <c r="H515" s="948">
        <f t="shared" si="69"/>
        <v>41801</v>
      </c>
      <c r="I515" s="745"/>
      <c r="AF515" s="361">
        <f t="shared" si="73"/>
        <v>1</v>
      </c>
      <c r="AG515" s="566">
        <f t="shared" ref="AG515:AG530" si="75">$G$507</f>
        <v>41792</v>
      </c>
      <c r="AH515" s="566">
        <f t="shared" ref="AH515:AH530" si="76">$H$507</f>
        <v>41801</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41792</v>
      </c>
      <c r="H516" s="948">
        <f t="shared" si="69"/>
        <v>41801</v>
      </c>
      <c r="I516" s="745"/>
      <c r="AF516" s="361">
        <f t="shared" si="73"/>
        <v>1</v>
      </c>
      <c r="AG516" s="566">
        <f t="shared" si="75"/>
        <v>41792</v>
      </c>
      <c r="AH516" s="566">
        <f t="shared" si="76"/>
        <v>41801</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41792</v>
      </c>
      <c r="H517" s="948">
        <f t="shared" si="69"/>
        <v>41801</v>
      </c>
      <c r="I517" s="745"/>
      <c r="AF517" s="361">
        <f t="shared" si="73"/>
        <v>1</v>
      </c>
      <c r="AG517" s="566">
        <f t="shared" si="75"/>
        <v>41792</v>
      </c>
      <c r="AH517" s="566">
        <f t="shared" si="76"/>
        <v>41801</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41792</v>
      </c>
      <c r="H518" s="948">
        <f t="shared" si="69"/>
        <v>41801</v>
      </c>
      <c r="I518" s="745"/>
      <c r="J518"/>
      <c r="K518"/>
      <c r="L518"/>
      <c r="M518"/>
      <c r="N518"/>
      <c r="O518"/>
      <c r="P518"/>
      <c r="Q518"/>
      <c r="R518"/>
      <c r="S518"/>
      <c r="T518"/>
      <c r="U518"/>
      <c r="X518"/>
      <c r="AB518"/>
      <c r="AC518"/>
      <c r="AF518" s="361">
        <f t="shared" si="73"/>
        <v>1</v>
      </c>
      <c r="AG518" s="566">
        <f t="shared" si="75"/>
        <v>41792</v>
      </c>
      <c r="AH518" s="566">
        <f t="shared" si="76"/>
        <v>41801</v>
      </c>
      <c r="AI518" s="59"/>
      <c r="AJ518" s="59"/>
      <c r="AK518" s="44"/>
      <c r="AL518" s="76"/>
    </row>
    <row r="519" spans="1:38" s="23" customFormat="1" ht="14.1" hidden="1" customHeight="1" outlineLevel="1">
      <c r="A519" s="145"/>
      <c r="B519" s="743" t="s">
        <v>576</v>
      </c>
      <c r="C519" s="545" t="s">
        <v>0</v>
      </c>
      <c r="D519" s="713"/>
      <c r="E519" s="888"/>
      <c r="F519"/>
      <c r="G519" s="947">
        <f t="shared" si="68"/>
        <v>41792</v>
      </c>
      <c r="H519" s="948">
        <f t="shared" si="69"/>
        <v>41801</v>
      </c>
      <c r="I519" s="745"/>
      <c r="J519"/>
      <c r="K519"/>
      <c r="L519"/>
      <c r="M519"/>
      <c r="N519"/>
      <c r="O519"/>
      <c r="P519"/>
      <c r="Q519"/>
      <c r="R519"/>
      <c r="S519"/>
      <c r="T519"/>
      <c r="U519"/>
      <c r="X519"/>
      <c r="AB519"/>
      <c r="AC519"/>
      <c r="AF519" s="361">
        <f t="shared" si="73"/>
        <v>1</v>
      </c>
      <c r="AG519" s="566">
        <f t="shared" si="75"/>
        <v>41792</v>
      </c>
      <c r="AH519" s="566">
        <f t="shared" si="76"/>
        <v>41801</v>
      </c>
      <c r="AI519" s="59"/>
      <c r="AJ519" s="59"/>
      <c r="AK519" s="44"/>
      <c r="AL519" s="76"/>
    </row>
    <row r="520" spans="1:38" s="23" customFormat="1" ht="14.1" hidden="1" customHeight="1" outlineLevel="1">
      <c r="A520" s="145"/>
      <c r="B520" s="743" t="s">
        <v>576</v>
      </c>
      <c r="C520" s="545" t="s">
        <v>0</v>
      </c>
      <c r="D520" s="713"/>
      <c r="E520" s="888"/>
      <c r="F520"/>
      <c r="G520" s="947">
        <f t="shared" si="68"/>
        <v>41792</v>
      </c>
      <c r="H520" s="948">
        <f t="shared" si="69"/>
        <v>41801</v>
      </c>
      <c r="I520" s="745"/>
      <c r="J520"/>
      <c r="K520"/>
      <c r="L520"/>
      <c r="M520"/>
      <c r="N520"/>
      <c r="O520"/>
      <c r="P520"/>
      <c r="Q520"/>
      <c r="R520"/>
      <c r="S520"/>
      <c r="T520"/>
      <c r="U520"/>
      <c r="X520"/>
      <c r="AB520"/>
      <c r="AC520"/>
      <c r="AF520" s="361">
        <f t="shared" si="73"/>
        <v>1</v>
      </c>
      <c r="AG520" s="566">
        <f t="shared" si="75"/>
        <v>41792</v>
      </c>
      <c r="AH520" s="566">
        <f t="shared" si="76"/>
        <v>41801</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7"/>
      <c r="F521"/>
      <c r="G521" s="949">
        <f>AG521</f>
        <v>41792</v>
      </c>
      <c r="H521" s="950">
        <f t="shared" ref="H521" si="79">AH521</f>
        <v>41801</v>
      </c>
      <c r="I521" s="745"/>
      <c r="AF521" s="361">
        <f t="shared" ref="AF521:AF572" si="80">IF(S.Notice.Involved="Y",1,0)</f>
        <v>1</v>
      </c>
      <c r="AG521" s="566">
        <f t="shared" si="75"/>
        <v>41792</v>
      </c>
      <c r="AH521" s="566">
        <f t="shared" si="76"/>
        <v>41801</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7"/>
      <c r="G530" s="949">
        <f>AG530</f>
        <v>41792</v>
      </c>
      <c r="H530" s="950">
        <f t="shared" ref="H530" si="83">AH530</f>
        <v>41801</v>
      </c>
      <c r="I530" s="745"/>
      <c r="AF530" s="361">
        <f t="shared" si="80"/>
        <v>1</v>
      </c>
      <c r="AG530" s="566">
        <f t="shared" si="75"/>
        <v>41792</v>
      </c>
      <c r="AH530" s="566">
        <f t="shared" si="76"/>
        <v>41801</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4" t="s">
        <v>629</v>
      </c>
      <c r="D539" s="984"/>
      <c r="E539" s="984"/>
      <c r="F539" s="984"/>
      <c r="G539" s="985"/>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4" t="s">
        <v>628</v>
      </c>
      <c r="D540" s="1010"/>
      <c r="E540" s="1010"/>
      <c r="F540" s="1010"/>
      <c r="G540" s="1011"/>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4" t="s">
        <v>627</v>
      </c>
      <c r="D541" s="984"/>
      <c r="E541" s="984"/>
      <c r="F541" s="984"/>
      <c r="G541" s="985"/>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4" t="s">
        <v>627</v>
      </c>
      <c r="D543" s="984"/>
      <c r="E543" s="984"/>
      <c r="F543" s="984"/>
      <c r="G543" s="985"/>
      <c r="H543" s="263">
        <f>AH543</f>
        <v>41803</v>
      </c>
      <c r="I543" s="745"/>
      <c r="AF543" s="361">
        <f t="shared" si="87"/>
        <v>1</v>
      </c>
      <c r="AG543" s="58"/>
      <c r="AH543" s="60">
        <f>IF(AF543=0,,S.Notice.Submit.ToSponsoringMgr)</f>
        <v>41803</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3" t="s">
        <v>688</v>
      </c>
      <c r="H562" s="1004"/>
      <c r="I562" s="745"/>
      <c r="AE562" s="860"/>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3">
        <f>AG563</f>
        <v>41803</v>
      </c>
      <c r="H563" s="934">
        <f>AH563</f>
        <v>41810</v>
      </c>
      <c r="I563" s="745"/>
      <c r="AE563" s="860"/>
      <c r="AF563" s="361">
        <f t="shared" si="80"/>
        <v>1</v>
      </c>
      <c r="AG563" s="60">
        <f>S.Notice.Submit.ToSponsoringMgr</f>
        <v>41803</v>
      </c>
      <c r="AH563" s="60">
        <f>H23</f>
        <v>41810</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DavidC:</v>
      </c>
      <c r="C566" s="282" t="s">
        <v>0</v>
      </c>
      <c r="H566" s="953"/>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41813</v>
      </c>
      <c r="H569" s="954">
        <f>AH569</f>
        <v>41820</v>
      </c>
      <c r="I569" s="745"/>
      <c r="AF569" s="361">
        <f t="shared" si="80"/>
        <v>1</v>
      </c>
      <c r="AG569" s="60">
        <f>WORKDAY(H563,1,S.DDL_DEQClosed)</f>
        <v>41813</v>
      </c>
      <c r="AH569" s="60">
        <f>IF(AF569=0,,WORKDAY(S.Notice.Submit.ToRG,-1,S.DDL_DEQClosed))</f>
        <v>41820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9" t="s">
        <v>613</v>
      </c>
      <c r="H572" s="1000"/>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41821</v>
      </c>
      <c r="H573" s="934">
        <f>AH573</f>
        <v>41831</v>
      </c>
      <c r="I573" s="745"/>
      <c r="AF573" s="361">
        <f t="shared" ref="AF573:AF580" si="94">IF(S.Notice.Involved="Y",1,0)</f>
        <v>1</v>
      </c>
      <c r="AG573" s="566">
        <f>S.Notice.Submit.ToRG</f>
        <v>41821</v>
      </c>
      <c r="AH573" s="566">
        <f>H24</f>
        <v>41831</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90"/>
      <c r="F579"/>
      <c r="G579" s="256">
        <f t="shared" ref="G579" si="96">AG579</f>
        <v>41834</v>
      </c>
      <c r="H579" s="256">
        <f t="shared" ref="H579:H584" si="97">AH579</f>
        <v>41837</v>
      </c>
      <c r="I579" s="931"/>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8"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2" t="s">
        <v>636</v>
      </c>
      <c r="H591" s="101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41845</v>
      </c>
      <c r="H593" s="958">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14" t="s">
        <v>637</v>
      </c>
      <c r="H594" s="101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3" t="s">
        <v>0</v>
      </c>
      <c r="D605" s="993"/>
      <c r="E605" s="993"/>
      <c r="F605" s="993"/>
      <c r="G605" s="993"/>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6"/>
      <c r="E609" s="1016"/>
      <c r="F609" s="1016"/>
      <c r="G609" s="101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1" t="s">
        <v>691</v>
      </c>
      <c r="D610" s="991"/>
      <c r="E610" s="991"/>
      <c r="F610" s="991"/>
      <c r="G610" s="992"/>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06" t="s">
        <v>654</v>
      </c>
      <c r="E626" s="1006"/>
      <c r="F626" s="1006"/>
      <c r="G626" s="1007"/>
      <c r="H626" s="974">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05" t="s">
        <v>0</v>
      </c>
      <c r="E630" s="1006"/>
      <c r="F630" s="1006"/>
      <c r="G630" s="1007"/>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5" t="str">
        <f>AK29</f>
        <v>Public Comment and Testimony</v>
      </c>
      <c r="C649" s="995"/>
      <c r="D649" s="995"/>
      <c r="E649" s="995"/>
      <c r="F649" s="995"/>
      <c r="G649" s="995"/>
      <c r="H649" s="995"/>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41955</v>
      </c>
      <c r="I651" s="745"/>
      <c r="AF651" s="361" t="s">
        <v>59</v>
      </c>
      <c r="AG651" s="60">
        <f>IF(S.Notice.Involved="N",,S.Notice.BANNER.Begin)</f>
        <v>41792</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40</v>
      </c>
      <c r="G687" s="299">
        <f t="shared" ref="G687" si="130">AG687</f>
        <v>41899</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41899</v>
      </c>
      <c r="AH687" s="60">
        <f>S.Hearing.BANNER.End</f>
        <v>41955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987" t="s">
        <v>714</v>
      </c>
      <c r="E691" s="987"/>
      <c r="F691" s="987"/>
      <c r="G691" s="988"/>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80" t="s">
        <v>49</v>
      </c>
      <c r="D700" s="283"/>
      <c r="E700" s="892"/>
      <c r="F700" s="875" t="s">
        <v>0</v>
      </c>
      <c r="G700" s="876"/>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f>AH718</f>
        <v>41955</v>
      </c>
      <c r="I718" s="745"/>
      <c r="AF718" s="361" t="s">
        <v>59</v>
      </c>
      <c r="AG718" s="60">
        <f>S.EQC.BANNER.Begin</f>
        <v>41866</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41866</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41866</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f t="shared" si="143"/>
        <v>41955</v>
      </c>
      <c r="I725" s="745"/>
      <c r="AF725" s="361">
        <v>1</v>
      </c>
      <c r="AG725" s="60">
        <f>S.EQC.BANNER.Begin</f>
        <v>41866</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f t="shared" ref="H736" si="146">AH736</f>
        <v>41955</v>
      </c>
      <c r="I736" s="745"/>
      <c r="J736"/>
      <c r="K736"/>
      <c r="L736"/>
      <c r="M736"/>
      <c r="N736"/>
      <c r="O736"/>
      <c r="P736"/>
      <c r="Q736"/>
      <c r="R736"/>
      <c r="S736"/>
      <c r="T736"/>
      <c r="U736"/>
      <c r="X736"/>
      <c r="AB736"/>
      <c r="AC736"/>
      <c r="AF736" s="361">
        <v>1</v>
      </c>
      <c r="AG736" s="60">
        <f>S.EQC.BANNER.Begin</f>
        <v>41866</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f>AH749</f>
        <v>41955</v>
      </c>
      <c r="I749" s="745"/>
      <c r="J749"/>
      <c r="K749"/>
      <c r="L749"/>
      <c r="M749"/>
      <c r="N749"/>
      <c r="O749"/>
      <c r="P749"/>
      <c r="Q749"/>
      <c r="R749"/>
      <c r="S749"/>
      <c r="T749"/>
      <c r="U749"/>
      <c r="X749"/>
      <c r="AB749"/>
      <c r="AC749"/>
      <c r="AF749" s="361">
        <v>1</v>
      </c>
      <c r="AG749" s="60">
        <f>S.EQC.BANNER.Begin</f>
        <v>41866</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9" t="s">
        <v>613</v>
      </c>
      <c r="H754" s="990"/>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41821</v>
      </c>
      <c r="H755" s="982">
        <f>AH755</f>
        <v>41831</v>
      </c>
      <c r="I755" s="745"/>
      <c r="AF755" s="361">
        <v>1</v>
      </c>
      <c r="AG755" s="566">
        <f>S.Notice.Submit.ToRG</f>
        <v>41821</v>
      </c>
      <c r="AH755" s="566">
        <f>WORKDAY(G755,7,S.DDL_DEQClosed)</f>
        <v>41831</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90"/>
      <c r="F761" s="23"/>
      <c r="G761" s="256">
        <f t="shared" ref="G761" si="149">AG761</f>
        <v>41866</v>
      </c>
      <c r="H761" s="256">
        <f t="shared" ref="H761" si="150">AH761</f>
        <v>41955</v>
      </c>
      <c r="I761" s="931"/>
      <c r="AF761" s="361">
        <v>1</v>
      </c>
      <c r="AG761" s="775">
        <f>S.EQC.BANNER.Begin</f>
        <v>41866</v>
      </c>
      <c r="AH761" s="775">
        <f>S.EQC.SubmitStaffRpt</f>
        <v>41955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f t="shared" ref="H762" si="152">AH762</f>
        <v>41955</v>
      </c>
      <c r="I762" s="745"/>
      <c r="J762"/>
      <c r="K762"/>
      <c r="L762"/>
      <c r="M762"/>
      <c r="N762"/>
      <c r="O762"/>
      <c r="P762"/>
      <c r="Q762"/>
      <c r="R762"/>
      <c r="S762"/>
      <c r="T762"/>
      <c r="U762"/>
      <c r="X762"/>
      <c r="AB762"/>
      <c r="AC762"/>
      <c r="AF762" s="361">
        <v>1</v>
      </c>
      <c r="AG762" s="60">
        <f>S.EQC.BANNER.Begin</f>
        <v>41866</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f t="shared" ref="H763" si="154">AH763</f>
        <v>41955</v>
      </c>
      <c r="I763" s="745"/>
      <c r="J763"/>
      <c r="K763"/>
      <c r="L763"/>
      <c r="M763"/>
      <c r="N763"/>
      <c r="O763"/>
      <c r="P763"/>
      <c r="Q763"/>
      <c r="R763"/>
      <c r="S763"/>
      <c r="T763"/>
      <c r="U763"/>
      <c r="X763"/>
      <c r="AB763"/>
      <c r="AC763"/>
      <c r="AF763" s="361">
        <v>1</v>
      </c>
      <c r="AG763" s="60">
        <f>S.EQC.BANNER.Begin</f>
        <v>41866</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f t="shared" ref="H764" si="156">AH764</f>
        <v>41955</v>
      </c>
      <c r="I764" s="745"/>
      <c r="J764"/>
      <c r="K764"/>
      <c r="L764"/>
      <c r="M764"/>
      <c r="N764"/>
      <c r="O764"/>
      <c r="P764"/>
      <c r="Q764"/>
      <c r="R764"/>
      <c r="S764"/>
      <c r="T764"/>
      <c r="U764"/>
      <c r="X764"/>
      <c r="AB764"/>
      <c r="AC764"/>
      <c r="AF764" s="361">
        <v>1</v>
      </c>
      <c r="AG764" s="60">
        <f>S.EQC.BANNER.Begin</f>
        <v>41866</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f t="shared" ref="H765" si="158">AH765</f>
        <v>41955</v>
      </c>
      <c r="I765" s="745"/>
      <c r="J765"/>
      <c r="K765"/>
      <c r="L765"/>
      <c r="M765"/>
      <c r="N765"/>
      <c r="O765"/>
      <c r="P765"/>
      <c r="Q765"/>
      <c r="R765"/>
      <c r="S765"/>
      <c r="T765"/>
      <c r="U765"/>
      <c r="X765"/>
      <c r="AB765"/>
      <c r="AC765"/>
      <c r="AF765" s="361">
        <v>1</v>
      </c>
      <c r="AG765" s="60">
        <f>S.EQC.BANNER.Begin</f>
        <v>41866</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7" t="s">
        <v>723</v>
      </c>
      <c r="C780" s="986" t="s">
        <v>349</v>
      </c>
      <c r="D780" s="986"/>
      <c r="E780" s="986"/>
      <c r="F780" s="986"/>
      <c r="G780" s="986"/>
      <c r="H780" s="986"/>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986" t="s">
        <v>296</v>
      </c>
      <c r="D781" s="986"/>
      <c r="E781" s="986"/>
      <c r="F781" s="986"/>
      <c r="G781" s="986"/>
      <c r="H781" s="986"/>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986" t="s">
        <v>297</v>
      </c>
      <c r="D782" s="986"/>
      <c r="E782" s="986"/>
      <c r="F782" s="986"/>
      <c r="G782" s="986"/>
      <c r="H782" s="986"/>
      <c r="I782" s="986"/>
      <c r="J782" s="986"/>
      <c r="K782" s="986"/>
      <c r="L782" s="986"/>
      <c r="M782" s="986"/>
      <c r="N782" s="986"/>
      <c r="O782" s="986"/>
      <c r="P782" s="986"/>
      <c r="Q782" s="986"/>
      <c r="R782" s="986"/>
      <c r="S782" s="986"/>
      <c r="T782" s="986"/>
      <c r="U782" s="986"/>
      <c r="V782" s="986"/>
      <c r="W782" s="986"/>
      <c r="X782" s="986"/>
      <c r="Y782" s="986"/>
      <c r="Z782" s="986"/>
      <c r="AA782" s="986"/>
      <c r="AB782" s="986"/>
      <c r="AC782" s="986"/>
      <c r="AD782" s="986"/>
      <c r="AF782" s="361">
        <f t="shared" si="167"/>
        <v>0</v>
      </c>
      <c r="AG782" s="80"/>
      <c r="AH782" s="80"/>
      <c r="AI782" s="59"/>
      <c r="AJ782" s="44"/>
      <c r="AK782" s="44"/>
      <c r="AL782" s="76"/>
    </row>
    <row r="783" spans="1:39" s="23" customFormat="1" ht="14.1" hidden="1" customHeight="1" outlineLevel="2">
      <c r="A783" s="145"/>
      <c r="B783" s="897" t="s">
        <v>723</v>
      </c>
      <c r="C783" s="986" t="s">
        <v>298</v>
      </c>
      <c r="D783" s="986"/>
      <c r="E783" s="986"/>
      <c r="F783" s="986"/>
      <c r="G783" s="986"/>
      <c r="H783" s="986"/>
      <c r="I783" s="986"/>
      <c r="J783" s="986"/>
      <c r="K783" s="986"/>
      <c r="L783" s="986"/>
      <c r="M783" s="986"/>
      <c r="N783" s="986"/>
      <c r="O783" s="986"/>
      <c r="P783" s="986"/>
      <c r="Q783" s="986"/>
      <c r="R783" s="986"/>
      <c r="S783" s="986"/>
      <c r="T783" s="986"/>
      <c r="U783" s="986"/>
      <c r="V783" s="986"/>
      <c r="W783" s="986"/>
      <c r="X783" s="986"/>
      <c r="Y783" s="986"/>
      <c r="Z783" s="986"/>
      <c r="AA783" s="986"/>
      <c r="AB783" s="986"/>
      <c r="AC783" s="986"/>
      <c r="AD783" s="986"/>
      <c r="AF783" s="361">
        <f t="shared" si="167"/>
        <v>0</v>
      </c>
      <c r="AG783" s="80"/>
      <c r="AH783" s="80"/>
      <c r="AI783" s="59"/>
      <c r="AJ783" s="44"/>
      <c r="AK783" s="44"/>
      <c r="AL783" s="76"/>
    </row>
    <row r="784" spans="1:39" s="23" customFormat="1" ht="14.1" hidden="1" customHeight="1" outlineLevel="2">
      <c r="A784" s="145"/>
      <c r="B784" s="897" t="s">
        <v>723</v>
      </c>
      <c r="C784" s="986" t="s">
        <v>299</v>
      </c>
      <c r="D784" s="986"/>
      <c r="E784" s="986"/>
      <c r="F784" s="986"/>
      <c r="G784" s="986"/>
      <c r="H784" s="986"/>
      <c r="I784" s="986"/>
      <c r="J784" s="986"/>
      <c r="K784" s="986"/>
      <c r="L784" s="986"/>
      <c r="M784" s="986"/>
      <c r="N784" s="986"/>
      <c r="O784" s="986"/>
      <c r="P784" s="986"/>
      <c r="Q784" s="986"/>
      <c r="R784" s="986"/>
      <c r="S784" s="986"/>
      <c r="T784" s="986"/>
      <c r="U784" s="986"/>
      <c r="V784" s="986"/>
      <c r="W784" s="986"/>
      <c r="X784" s="986"/>
      <c r="Y784" s="986"/>
      <c r="Z784" s="986"/>
      <c r="AA784" s="986"/>
      <c r="AB784" s="986"/>
      <c r="AC784" s="986"/>
      <c r="AD784" s="986"/>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f t="shared" ref="H786:H787" si="169">AH786</f>
        <v>41955</v>
      </c>
      <c r="I786" s="745"/>
      <c r="J786"/>
      <c r="K786"/>
      <c r="L786"/>
      <c r="M786"/>
      <c r="N786"/>
      <c r="O786"/>
      <c r="P786"/>
      <c r="Q786"/>
      <c r="R786"/>
      <c r="S786"/>
      <c r="T786"/>
      <c r="U786"/>
      <c r="X786"/>
      <c r="AB786"/>
      <c r="AC786"/>
      <c r="AF786" s="361">
        <v>1</v>
      </c>
      <c r="AG786" s="60">
        <f>S.EQC.BANNER.Begin</f>
        <v>41866</v>
      </c>
      <c r="AH786" s="60">
        <f>S.EQC.SubmitStaffRpt</f>
        <v>41955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f t="shared" si="169"/>
        <v>41955</v>
      </c>
      <c r="I787" s="745"/>
      <c r="J787"/>
      <c r="K787"/>
      <c r="L787"/>
      <c r="M787"/>
      <c r="N787"/>
      <c r="O787"/>
      <c r="P787"/>
      <c r="Q787"/>
      <c r="R787"/>
      <c r="S787"/>
      <c r="T787"/>
      <c r="U787"/>
      <c r="X787"/>
      <c r="AB787"/>
      <c r="AC787"/>
      <c r="AF787" s="361">
        <v>1</v>
      </c>
      <c r="AG787" s="60">
        <f>S.EQC.BANNER.Begin</f>
        <v>41866</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4" t="s">
        <v>200</v>
      </c>
      <c r="C801" s="994"/>
      <c r="D801" s="994"/>
      <c r="E801" s="994"/>
      <c r="F801" s="994"/>
      <c r="G801" s="994"/>
      <c r="H801" s="994"/>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Update Grants Pass Limited Maintenance Plan</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41768</v>
      </c>
      <c r="G2" s="1046"/>
      <c r="H2" s="1046"/>
      <c r="I2" s="1046"/>
      <c r="J2" s="1046"/>
      <c r="K2" s="1046"/>
      <c r="L2" s="1046"/>
      <c r="M2" s="1046">
        <f ca="1">M4</f>
        <v>41771</v>
      </c>
      <c r="N2" s="1046"/>
      <c r="O2" s="1046"/>
      <c r="P2" s="1046"/>
      <c r="Q2" s="1046"/>
      <c r="R2" s="1046"/>
      <c r="S2" s="1046"/>
      <c r="T2" s="1046">
        <f ca="1">T4</f>
        <v>41778</v>
      </c>
      <c r="U2" s="1046"/>
      <c r="V2" s="1046"/>
      <c r="W2" s="1046"/>
      <c r="X2" s="1046"/>
      <c r="Y2" s="1046"/>
      <c r="Z2" s="1046"/>
      <c r="AA2" s="1046">
        <f ca="1">AA4</f>
        <v>41785</v>
      </c>
      <c r="AB2" s="1046"/>
      <c r="AC2" s="1046"/>
      <c r="AD2" s="1046"/>
      <c r="AE2" s="1046"/>
      <c r="AF2" s="1046"/>
      <c r="AG2" s="1046"/>
      <c r="AH2" s="1046">
        <f ca="1">AH4</f>
        <v>41792</v>
      </c>
      <c r="AI2" s="1046"/>
      <c r="AJ2" s="1046"/>
      <c r="AK2" s="1046"/>
      <c r="AL2" s="1046"/>
      <c r="AM2" s="1046"/>
      <c r="AN2" s="1046"/>
      <c r="AO2" s="1046">
        <f ca="1">AO4</f>
        <v>41799</v>
      </c>
      <c r="AP2" s="1046"/>
      <c r="AQ2" s="1046"/>
      <c r="AR2" s="1046"/>
      <c r="AS2" s="1046"/>
      <c r="AT2" s="1046"/>
      <c r="AU2" s="1046"/>
      <c r="AV2" s="1046">
        <f ca="1">AV4</f>
        <v>41806</v>
      </c>
      <c r="AW2" s="1046"/>
      <c r="AX2" s="1046"/>
      <c r="AY2" s="1046"/>
      <c r="AZ2" s="1046"/>
      <c r="BA2" s="1046"/>
      <c r="BB2" s="1046"/>
      <c r="BC2" s="1046">
        <f ca="1">BC4</f>
        <v>41813</v>
      </c>
      <c r="BD2" s="1046"/>
      <c r="BE2" s="1046"/>
      <c r="BF2" s="1046"/>
      <c r="BG2" s="1046"/>
      <c r="BH2" s="1046"/>
      <c r="BI2" s="1046"/>
    </row>
    <row r="3" spans="1:61" ht="18.75" thickBot="1">
      <c r="A3" s="1052">
        <f ca="1">TODAY()+E4</f>
        <v>41768</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t="str">
        <f ca="1">IF(WEEKDAY($A$3,3)&lt;&gt;0,"-",$A$3)</f>
        <v>-</v>
      </c>
      <c r="G4" s="590" t="str">
        <f ca="1">IF(WEEKDAY($A$3,3)=1,$A$3,IF(WEEKDAY($A$3,3)&lt;1,F4+1,"-"))</f>
        <v>-</v>
      </c>
      <c r="H4" s="590" t="str">
        <f ca="1">IF(WEEKDAY($A$3,3)=2,$A$3,IF(WEEKDAY($A$3,3)&lt;2,G4+1,"-"))</f>
        <v>-</v>
      </c>
      <c r="I4" s="590" t="str">
        <f ca="1">IF(WEEKDAY($A$3,3)=3,$A$3,IF(WEEKDAY($A$3,3)&lt;3,H4+1,"-"))</f>
        <v>-</v>
      </c>
      <c r="J4" s="590">
        <f ca="1">IF(WEEKDAY($A$3,3)=4,$A$3,IF(WEEKDAY($A$3,3)&lt;4,I4+1,"-"))</f>
        <v>41768</v>
      </c>
      <c r="K4" s="591">
        <f ca="1">IF(WEEKDAY($A$3,3)=5,$A$3,IF(WEEKDAY($A$3,3)&lt;5,J4+1,"-"))</f>
        <v>41769</v>
      </c>
      <c r="L4" s="591">
        <f ca="1">IF(WEEKDAY($A$3,3)=6,$A$3,IF(WEEKDAY($A$3,3)&lt;6,K4+1,"-"))</f>
        <v>41770</v>
      </c>
      <c r="M4" s="592">
        <f ca="1">L4+1</f>
        <v>41771</v>
      </c>
      <c r="N4" s="592">
        <f t="shared" ref="N4:AG4" ca="1" si="0">M4+1</f>
        <v>41772</v>
      </c>
      <c r="O4" s="592">
        <f t="shared" ca="1" si="0"/>
        <v>41773</v>
      </c>
      <c r="P4" s="592">
        <f t="shared" ca="1" si="0"/>
        <v>41774</v>
      </c>
      <c r="Q4" s="592">
        <f t="shared" ca="1" si="0"/>
        <v>41775</v>
      </c>
      <c r="R4" s="593">
        <f t="shared" ca="1" si="0"/>
        <v>41776</v>
      </c>
      <c r="S4" s="593">
        <f t="shared" ca="1" si="0"/>
        <v>41777</v>
      </c>
      <c r="T4" s="592">
        <f t="shared" ca="1" si="0"/>
        <v>41778</v>
      </c>
      <c r="U4" s="592">
        <f t="shared" ca="1" si="0"/>
        <v>41779</v>
      </c>
      <c r="V4" s="592">
        <f t="shared" ca="1" si="0"/>
        <v>41780</v>
      </c>
      <c r="W4" s="592">
        <f t="shared" ca="1" si="0"/>
        <v>41781</v>
      </c>
      <c r="X4" s="592">
        <f t="shared" ca="1" si="0"/>
        <v>41782</v>
      </c>
      <c r="Y4" s="593">
        <f t="shared" ca="1" si="0"/>
        <v>41783</v>
      </c>
      <c r="Z4" s="593">
        <f t="shared" ca="1" si="0"/>
        <v>41784</v>
      </c>
      <c r="AA4" s="592">
        <f t="shared" ca="1" si="0"/>
        <v>41785</v>
      </c>
      <c r="AB4" s="592">
        <f t="shared" ca="1" si="0"/>
        <v>41786</v>
      </c>
      <c r="AC4" s="592">
        <f t="shared" ca="1" si="0"/>
        <v>41787</v>
      </c>
      <c r="AD4" s="592">
        <f t="shared" ca="1" si="0"/>
        <v>41788</v>
      </c>
      <c r="AE4" s="592">
        <f t="shared" ca="1" si="0"/>
        <v>41789</v>
      </c>
      <c r="AF4" s="593">
        <f t="shared" ca="1" si="0"/>
        <v>41790</v>
      </c>
      <c r="AG4" s="593">
        <f t="shared" ca="1" si="0"/>
        <v>41791</v>
      </c>
      <c r="AH4" s="592">
        <f t="shared" ref="AH4:BI4" ca="1" si="1">AG4+1</f>
        <v>41792</v>
      </c>
      <c r="AI4" s="592">
        <f t="shared" ca="1" si="1"/>
        <v>41793</v>
      </c>
      <c r="AJ4" s="592">
        <f t="shared" ca="1" si="1"/>
        <v>41794</v>
      </c>
      <c r="AK4" s="592">
        <f t="shared" ca="1" si="1"/>
        <v>41795</v>
      </c>
      <c r="AL4" s="592">
        <f t="shared" ca="1" si="1"/>
        <v>41796</v>
      </c>
      <c r="AM4" s="593">
        <f t="shared" ca="1" si="1"/>
        <v>41797</v>
      </c>
      <c r="AN4" s="593">
        <f t="shared" ca="1" si="1"/>
        <v>41798</v>
      </c>
      <c r="AO4" s="592">
        <f t="shared" ca="1" si="1"/>
        <v>41799</v>
      </c>
      <c r="AP4" s="592">
        <f t="shared" ca="1" si="1"/>
        <v>41800</v>
      </c>
      <c r="AQ4" s="592">
        <f t="shared" ca="1" si="1"/>
        <v>41801</v>
      </c>
      <c r="AR4" s="592">
        <f t="shared" ca="1" si="1"/>
        <v>41802</v>
      </c>
      <c r="AS4" s="592">
        <f t="shared" ca="1" si="1"/>
        <v>41803</v>
      </c>
      <c r="AT4" s="593">
        <f t="shared" ca="1" si="1"/>
        <v>41804</v>
      </c>
      <c r="AU4" s="593">
        <f t="shared" ca="1" si="1"/>
        <v>41805</v>
      </c>
      <c r="AV4" s="592">
        <f t="shared" ca="1" si="1"/>
        <v>41806</v>
      </c>
      <c r="AW4" s="592">
        <f t="shared" ca="1" si="1"/>
        <v>41807</v>
      </c>
      <c r="AX4" s="592">
        <f t="shared" ca="1" si="1"/>
        <v>41808</v>
      </c>
      <c r="AY4" s="592">
        <f t="shared" ca="1" si="1"/>
        <v>41809</v>
      </c>
      <c r="AZ4" s="592">
        <f t="shared" ca="1" si="1"/>
        <v>41810</v>
      </c>
      <c r="BA4" s="593">
        <f t="shared" ca="1" si="1"/>
        <v>41811</v>
      </c>
      <c r="BB4" s="593">
        <f t="shared" ca="1" si="1"/>
        <v>41812</v>
      </c>
      <c r="BC4" s="592">
        <f t="shared" ca="1" si="1"/>
        <v>41813</v>
      </c>
      <c r="BD4" s="592">
        <f t="shared" ca="1" si="1"/>
        <v>41814</v>
      </c>
      <c r="BE4" s="592">
        <f t="shared" ca="1" si="1"/>
        <v>41815</v>
      </c>
      <c r="BF4" s="592">
        <f t="shared" ca="1" si="1"/>
        <v>41816</v>
      </c>
      <c r="BG4" s="592">
        <f t="shared" ca="1" si="1"/>
        <v>41817</v>
      </c>
      <c r="BH4" s="593">
        <f t="shared" ca="1" si="1"/>
        <v>41818</v>
      </c>
      <c r="BI4" s="593">
        <f t="shared" ca="1" si="1"/>
        <v>41819</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C3" sqref="C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787</v>
      </c>
      <c r="C2" s="210" t="s">
        <v>791</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788</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Update Grants Pass Limited Maintenance Plan</v>
      </c>
      <c r="C2" s="1060"/>
      <c r="D2" s="1060"/>
      <c r="E2" s="1060"/>
      <c r="F2" s="75"/>
      <c r="G2" s="526">
        <f ca="1">TODAY()</f>
        <v>41768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3" t="s">
        <v>363</v>
      </c>
      <c r="C2" s="1063"/>
      <c r="D2" s="1063"/>
      <c r="E2" s="1063"/>
      <c r="F2" s="640"/>
      <c r="G2" s="609"/>
      <c r="H2" s="609"/>
      <c r="I2" s="609"/>
      <c r="J2" s="609"/>
      <c r="K2" s="609"/>
      <c r="L2" s="75"/>
      <c r="M2" s="75"/>
      <c r="N2" s="75"/>
    </row>
    <row r="3" spans="1:14" ht="27" customHeight="1">
      <c r="A3" s="610" t="str">
        <f>S.General.RulemakingTitle</f>
        <v>Update Grants Pass Limited Maintenance Plan</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5" t="s">
        <v>414</v>
      </c>
      <c r="C15" s="1065"/>
      <c r="D15" s="1065"/>
      <c r="E15" s="1065"/>
      <c r="F15" s="1065"/>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4" t="str">
        <f>S.Staff.Program.Mgr.FullName&amp;", "&amp;S.Staff.Program.Mgr.Div&amp;": "&amp;S.Staff.Program.Mgr.SectionName&amp;""</f>
        <v>David Collier, OP: Air Quality Planning</v>
      </c>
      <c r="D17" s="1064"/>
      <c r="E17" s="1064"/>
      <c r="F17" s="75"/>
      <c r="G17" s="75"/>
      <c r="H17" s="75"/>
      <c r="I17" s="75"/>
      <c r="J17" s="75"/>
      <c r="K17" s="75"/>
      <c r="L17" s="75"/>
      <c r="M17" s="75"/>
      <c r="N17" s="75"/>
    </row>
    <row r="18" spans="1:14" ht="25.5" customHeight="1">
      <c r="B18" s="612" t="s">
        <v>478</v>
      </c>
      <c r="C18" s="1064" t="str">
        <f>S.Staff.Subject.Expert.FullName&amp;", "&amp;S.Staff.Program.Mgr.Div&amp;": "&amp;S.Staff.Program.Mgr.SectionName&amp;""</f>
        <v>Brian Finneran, OP: Air Quality Planning</v>
      </c>
      <c r="D18" s="1064"/>
      <c r="E18" s="1064"/>
      <c r="F18" s="75"/>
      <c r="G18" s="75"/>
      <c r="H18" s="75"/>
      <c r="I18" s="75"/>
      <c r="J18" s="75"/>
      <c r="K18" s="75"/>
      <c r="L18" s="75"/>
      <c r="M18" s="75"/>
      <c r="N18" s="75"/>
    </row>
    <row r="19" spans="1:14" ht="25.5" customHeight="1">
      <c r="B19" s="612" t="s">
        <v>479</v>
      </c>
      <c r="C19" s="1064" t="str">
        <f>S.Staff.RG.Lead.Full.Name&amp;", "&amp;S.Staff.RG.Lead.Div&amp;": "&amp;S.Staff.RG.Lead.SectionName&amp;""</f>
        <v>Andrea Gartenbaum, OP: Agency Rules</v>
      </c>
      <c r="D19" s="1064"/>
      <c r="E19" s="1064"/>
      <c r="F19" s="75"/>
      <c r="G19" s="75"/>
      <c r="H19" s="75"/>
      <c r="I19" s="75"/>
      <c r="J19" s="75"/>
      <c r="K19" s="75"/>
      <c r="L19" s="75"/>
      <c r="M19" s="75"/>
      <c r="N19" s="75"/>
    </row>
    <row r="20" spans="1:14" ht="12" customHeight="1">
      <c r="B20" s="1066" t="s">
        <v>519</v>
      </c>
      <c r="C20" s="1066"/>
      <c r="D20" s="1066"/>
      <c r="E20" s="106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7" t="s">
        <v>360</v>
      </c>
      <c r="B103" s="1067"/>
      <c r="C103" s="615"/>
      <c r="D103" s="615"/>
      <c r="E103" s="615"/>
      <c r="F103" s="75"/>
      <c r="G103" s="75"/>
      <c r="H103" s="75"/>
      <c r="I103" s="75"/>
      <c r="J103" s="75"/>
      <c r="K103" s="75"/>
      <c r="L103" s="75"/>
      <c r="M103" s="75"/>
      <c r="N103" s="75"/>
    </row>
    <row r="104" spans="1:14" s="23" customFormat="1" ht="20.25">
      <c r="A104" s="616"/>
      <c r="B104" s="75"/>
      <c r="C104" s="1068" t="str">
        <f>S.Staff.Program.Mgr.FullName&amp;", "&amp;S.Staff.Program.Mgr.Div&amp;": "&amp;S.Staff.Program.Mgr.SectionName&amp;"     DATE"</f>
        <v>David Collier, OP: Air Quality Planning     DATE</v>
      </c>
      <c r="D104" s="1068"/>
      <c r="E104" s="106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7" t="s">
        <v>479</v>
      </c>
      <c r="B106" s="1067"/>
      <c r="C106" s="615"/>
      <c r="D106" s="615"/>
      <c r="E106" s="615"/>
      <c r="F106" s="75"/>
      <c r="G106" s="75"/>
      <c r="H106" s="75"/>
      <c r="I106" s="75"/>
      <c r="J106" s="75"/>
      <c r="K106" s="75"/>
      <c r="L106" s="75"/>
      <c r="M106" s="75"/>
      <c r="N106" s="75"/>
    </row>
    <row r="107" spans="1:14" s="23" customFormat="1" ht="30.75" customHeight="1">
      <c r="A107" s="75"/>
      <c r="B107" s="75"/>
      <c r="C107" s="1069" t="str">
        <f>S.Staff.RG.Lead.Full.Name&amp;", "&amp;S.Staff.RG.Lead.Div&amp;": "&amp;S.Staff.RG.Lead.SectionName&amp;"     DATE"</f>
        <v>Andrea Gartenbaum, OP: Agency Rules     DATE</v>
      </c>
      <c r="D107" s="1069"/>
      <c r="E107" s="106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2014-05-02T15:57:37Z</cp:lastPrinted>
  <dcterms:created xsi:type="dcterms:W3CDTF">2012-04-11T21:44:01Z</dcterms:created>
  <dcterms:modified xsi:type="dcterms:W3CDTF">2014-05-09T21:00:44Z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http://deqsps/programs/rulemaking/aq/gplimited/docs/1-Planning/GPLMP.SCHEDULE.xlsx</vt:lpwstr>
  </property>
</Properties>
</file>