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15" yWindow="-15" windowWidth="9120" windowHeight="7635" tabRatio="733" firstSheet="2" activeTab="2"/>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 name="Drivers" sheetId="108" r:id="rId17"/>
    <sheet name="Sheet1" sheetId="109" r:id="rId18"/>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AH9" i="86"/>
  <c r="Y4" i="95"/>
  <c r="D30" i="86"/>
  <c r="X4" i="95"/>
  <c r="I344" i="107"/>
  <c r="I345"/>
  <c r="I347"/>
  <c r="I342"/>
  <c r="I343"/>
  <c r="I337"/>
  <c r="I340"/>
  <c r="I341"/>
  <c r="I338"/>
  <c r="I339"/>
  <c r="I336"/>
  <c r="I33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X7" i="95" l="1"/>
  <c r="H36" i="86" s="1"/>
  <c r="Z37" i="95"/>
  <c r="C100" i="106" s="1"/>
  <c r="Y35" i="95"/>
  <c r="D36" i="86" s="1"/>
  <c r="X16" i="95"/>
  <c r="D32" i="86" s="1"/>
  <c r="C61" i="106"/>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B119" i="106" s="1"/>
  <c r="AA16" i="9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20"/>
  <c r="A115"/>
  <c r="A116"/>
  <c r="A117"/>
  <c r="A118"/>
  <c r="A119"/>
  <c r="A120"/>
  <c r="A114"/>
  <c r="AA13" i="94"/>
  <c r="AA12"/>
  <c r="Y15"/>
  <c r="C109" i="106" s="1"/>
  <c r="Y14" i="94"/>
  <c r="C108" i="106" s="1"/>
  <c r="Y13" i="94"/>
  <c r="AD13" s="1"/>
  <c r="Y12"/>
  <c r="C105" i="106" s="1"/>
  <c r="Y11" i="94"/>
  <c r="C110" i="106"/>
  <c r="X19" i="95"/>
  <c r="B94" i="106" s="1"/>
  <c r="AE18" i="94"/>
  <c r="C103" i="106" s="1"/>
  <c r="Y20" i="94"/>
  <c r="B103" i="106" s="1"/>
  <c r="B100"/>
  <c r="C99"/>
  <c r="AA16" i="92"/>
  <c r="Y51"/>
  <c r="C65" i="106" s="1"/>
  <c r="B4"/>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Y30" i="92"/>
  <c r="C57" i="106" s="1"/>
  <c r="Y29" i="92"/>
  <c r="C56" i="106" s="1"/>
  <c r="Y28" i="92"/>
  <c r="C55" i="106" s="1"/>
  <c r="Y27" i="92"/>
  <c r="C54" i="106" s="1"/>
  <c r="Y26" i="92"/>
  <c r="C53" i="106" s="1"/>
  <c r="Y25" i="92"/>
  <c r="C52" i="106" s="1"/>
  <c r="Y24" i="92"/>
  <c r="C51" i="106" s="1"/>
  <c r="Y23" i="92"/>
  <c r="C50" i="106" s="1"/>
  <c r="Y22" i="92"/>
  <c r="C49" i="106" s="1"/>
  <c r="Y21" i="92"/>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Y28" s="1"/>
  <c r="D34" i="86" s="1"/>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Dcollie</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4" authorId="1">
      <text>
        <r>
          <rPr>
            <b/>
            <sz val="9"/>
            <color indexed="81"/>
            <rFont val="Tahoma"/>
            <family val="2"/>
          </rPr>
          <t>Dcollie:</t>
        </r>
        <r>
          <rPr>
            <sz val="9"/>
            <color indexed="81"/>
            <rFont val="Tahoma"/>
            <family val="2"/>
          </rPr>
          <t xml:space="preserve">
Just add that this change is easy for DEQ and local government to implemnet, no new resourdes needed.</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Dcollie</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5" authorId="1">
      <text>
        <r>
          <rPr>
            <sz val="9"/>
            <color indexed="81"/>
            <rFont val="Tahoma"/>
            <family val="2"/>
          </rPr>
          <t xml:space="preserve">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<sst xmlns="http://schemas.openxmlformats.org/spreadsheetml/2006/main" count="3140" uniqueCount="1122">
  <si>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</si>
  <si>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</si>
  <si>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</si>
  <si>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</si>
  <si>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</si>
  <si>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</si>
  <si>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</si>
  <si>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</si>
  <si>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</si>
  <si>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</si>
  <si>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</si>
  <si>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</si>
  <si>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</si>
  <si>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</si>
  <si>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</si>
  <si>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</si>
  <si>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</si>
  <si>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</si>
  <si>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</si>
  <si>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</si>
  <si>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</si>
  <si>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</si>
  <si>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</si>
  <si>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</si>
  <si>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</si>
  <si>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</si>
  <si>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</si>
  <si>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</si>
  <si>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</si>
  <si>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</si>
  <si>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</si>
  <si>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</si>
  <si>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</si>
  <si>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</si>
  <si>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</si>
  <si>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</si>
  <si>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</si>
  <si>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</si>
  <si>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</si>
  <si>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</si>
  <si>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</si>
  <si>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</si>
  <si>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</si>
  <si>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</si>
  <si>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</si>
  <si>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</si>
  <si>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</si>
  <si>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</si>
  <si>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</si>
  <si>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</si>
  <si>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</si>
  <si>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</si>
  <si>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</si>
  <si>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</si>
  <si>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</si>
  <si>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</si>
  <si>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</si>
  <si>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</si>
  <si>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</si>
  <si>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</si>
  <si>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</si>
  <si>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</si>
  <si>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</si>
  <si>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</si>
  <si>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</si>
  <si>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</si>
  <si>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</si>
  <si>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</si>
  <si>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</si>
  <si>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</si>
  <si>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</si>
  <si>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</si>
  <si>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</si>
  <si>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</si>
  <si>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</si>
  <si>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</si>
  <si>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</si>
  <si>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</si>
  <si>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</si>
  <si>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</si>
  <si>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</si>
  <si>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</si>
  <si>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</si>
  <si>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</si>
  <si>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</si>
  <si>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</si>
  <si>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</si>
  <si>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</si>
  <si>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</si>
  <si>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</si>
  <si>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</si>
  <si>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</si>
  <si>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</si>
  <si>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</si>
  <si>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</si>
  <si>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</si>
  <si>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</si>
  <si>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</si>
  <si>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</si>
  <si>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</si>
  <si>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</si>
  <si>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</si>
  <si>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</si>
  <si>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</si>
  <si>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</si>
  <si>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</si>
  <si>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</si>
  <si>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</si>
  <si>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</si>
  <si>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</si>
  <si>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</si>
  <si>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</si>
  <si>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</si>
  <si>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</si>
  <si>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</si>
  <si>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</si>
  <si>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</si>
  <si>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</si>
  <si>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</si>
  <si>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</si>
  <si>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</si>
  <si>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</si>
  <si>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</si>
  <si>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</si>
  <si>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</si>
  <si>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</si>
  <si>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</si>
  <si>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</si>
  <si>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</si>
  <si>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</si>
  <si>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</si>
  <si>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</si>
  <si>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</si>
  <si>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</si>
  <si>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</si>
  <si>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</si>
  <si>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</si>
  <si>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</si>
  <si>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</si>
  <si>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</si>
  <si>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</si>
  <si>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</si>
  <si>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</si>
  <si>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</si>
  <si>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</si>
  <si>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</si>
  <si>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</si>
  <si>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</si>
  <si>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</si>
  <si>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</si>
  <si>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</si>
  <si>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</si>
  <si>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</si>
  <si>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</si>
  <si>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</si>
  <si>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</si>
  <si>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</si>
  <si>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</si>
  <si>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</si>
  <si>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</si>
  <si>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</si>
  <si>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</si>
  <si>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</si>
  <si>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</si>
  <si>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</si>
  <si>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</si>
  <si>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</si>
  <si>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</si>
  <si>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</si>
  <si>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</si>
  <si>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</si>
  <si>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</si>
  <si>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</si>
  <si>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</si>
  <si>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</si>
  <si>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</si>
  <si>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</si>
  <si>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</si>
  <si>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</si>
  <si>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</si>
  <si>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</si>
  <si>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</si>
  <si>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</si>
  <si>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</si>
  <si>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</si>
  <si>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</si>
  <si>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</si>
  <si>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</si>
  <si>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</si>
  <si>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</si>
  <si>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</si>
  <si>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</si>
  <si>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</si>
  <si>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</si>
  <si>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</si>
  <si>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</si>
  <si>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</si>
  <si>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</si>
  <si>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</si>
  <si>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</si>
  <si>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</si>
  <si>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</si>
  <si>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</si>
  <si>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</si>
  <si>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</si>
  <si>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</si>
  <si>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</si>
  <si>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</si>
  <si>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</si>
  <si>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</si>
  <si>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</si>
  <si>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</si>
  <si>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</si>
  <si>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</si>
  <si>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</si>
  <si>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</si>
  <si>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</si>
  <si>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</si>
  <si>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</si>
  <si>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</si>
  <si>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</si>
  <si>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</si>
  <si>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</si>
  <si>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</si>
  <si>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</si>
  <si>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</si>
  <si>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</si>
  <si>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</si>
  <si>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</si>
  <si>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</si>
  <si>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</si>
  <si>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</si>
  <si>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</si>
  <si>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</si>
  <si>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</si>
  <si>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</si>
  <si>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</si>
  <si>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</si>
  <si>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</si>
  <si>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</si>
  <si>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</si>
  <si>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</si>
  <si>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</si>
  <si>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</si>
  <si>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</si>
  <si>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</si>
  <si>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</si>
  <si>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</si>
  <si>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</si>
  <si>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</si>
  <si>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</si>
  <si>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</si>
  <si>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</si>
  <si>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</si>
  <si>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</si>
  <si>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</si>
  <si>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</si>
  <si>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</si>
  <si>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</si>
  <si>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</si>
  <si>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</si>
  <si>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</si>
  <si>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</si>
  <si>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</si>
  <si>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</si>
  <si>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</si>
  <si>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</si>
  <si>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</si>
  <si>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</si>
  <si>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</si>
  <si>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</si>
  <si>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</si>
  <si>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</si>
  <si>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</si>
  <si>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</si>
  <si>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</si>
  <si>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</si>
  <si>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</si>
  <si>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</si>
  <si>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</si>
  <si>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</si>
  <si>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</si>
  <si>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</si>
  <si>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</si>
  <si>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</si>
  <si>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</si>
  <si>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</si>
  <si>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</si>
  <si>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</si>
  <si>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</si>
  <si>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</si>
  <si>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</si>
  <si>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</si>
  <si>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</si>
  <si>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</si>
  <si>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</si>
  <si>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</si>
  <si>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</si>
  <si>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</si>
  <si>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</si>
  <si>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</si>
  <si>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</si>
  <si>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</si>
  <si>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</si>
  <si>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</si>
  <si>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</si>
  <si>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</si>
  <si>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</si>
  <si>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</si>
  <si>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</si>
  <si>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</si>
  <si>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</si>
  <si>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</si>
  <si>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</si>
  <si>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</si>
  <si>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</si>
  <si>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</si>
  <si>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</si>
  <si>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</si>
  <si>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</si>
  <si>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</si>
  <si>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</si>
  <si>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</si>
  <si>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</si>
  <si>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</si>
  <si>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</si>
  <si>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</si>
  <si>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</si>
  <si>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</si>
  <si>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</si>
  <si>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</si>
  <si>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</si>
  <si>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</si>
  <si>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</si>
  <si>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</si>
  <si>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</si>
  <si>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</si>
  <si>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</si>
  <si>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</si>
  <si>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</si>
  <si>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</si>
  <si>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</si>
  <si>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</si>
  <si>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</si>
  <si>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</si>
  <si>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</si>
  <si>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</si>
  <si>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</si>
  <si>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</si>
  <si>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</si>
  <si>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</si>
  <si>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</si>
  <si>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</si>
  <si>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</si>
  <si>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</si>
  <si>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</si>
  <si>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</si>
  <si>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</si>
  <si>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</si>
  <si>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</si>
  <si>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</si>
  <si>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</si>
  <si>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</si>
  <si>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</si>
  <si>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</si>
  <si>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</si>
  <si>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</si>
  <si>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</si>
  <si>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</si>
  <si>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</si>
  <si>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The proposed rule…</t>
  </si>
  <si>
    <t>C.DDL_ScopeOfRule</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</si>
  <si>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</si>
  <si>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</si>
  <si>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</si>
  <si>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</si>
  <si>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</si>
  <si>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</si>
  <si>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</si>
  <si>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</si>
  <si>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</si>
  <si>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</si>
  <si>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</si>
  <si>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</si>
  <si>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</si>
  <si>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</si>
  <si>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</si>
  <si>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</si>
  <si>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</si>
  <si>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</si>
  <si>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</si>
  <si>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</si>
  <si>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</si>
  <si>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</si>
  <si>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</si>
  <si>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</si>
  <si>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</si>
  <si>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</si>
  <si>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</si>
  <si>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</si>
  <si>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</si>
  <si>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</si>
  <si>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</si>
  <si>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</si>
  <si>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</si>
  <si>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</si>
  <si>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</si>
  <si>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</si>
  <si>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</si>
  <si>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</si>
  <si>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</si>
  <si>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</si>
  <si>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</si>
  <si>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</si>
  <si>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</si>
  <si>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</si>
  <si>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</si>
  <si>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</si>
  <si>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</si>
  <si>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</si>
  <si>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</si>
  <si>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</si>
  <si>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</si>
  <si>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</si>
  <si>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</si>
  <si>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</si>
  <si>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</si>
  <si>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</si>
  <si>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</si>
  <si>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</si>
  <si>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</si>
  <si>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</si>
  <si>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</si>
  <si>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</si>
  <si>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</si>
  <si>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</si>
  <si>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</si>
  <si>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</si>
  <si>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</si>
  <si>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</si>
  <si>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</si>
  <si>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</si>
  <si>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</si>
  <si>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</si>
  <si>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</si>
  <si>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</si>
  <si>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</si>
  <si>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</si>
  <si>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</si>
  <si>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</si>
  <si>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</si>
  <si>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</si>
  <si>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</si>
  <si>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</si>
  <si>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</si>
  <si>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</si>
  <si>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</si>
  <si>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</si>
  <si>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</si>
  <si>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</si>
  <si>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</si>
  <si>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</si>
  <si>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</si>
  <si>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</si>
  <si>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</si>
  <si>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</si>
  <si>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</si>
  <si>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</si>
  <si>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</si>
  <si>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</si>
  <si>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</si>
  <si>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</si>
  <si>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</si>
  <si>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</si>
  <si>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</si>
  <si>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</si>
  <si>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</si>
  <si>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</si>
  <si>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</si>
  <si>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</si>
  <si>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</si>
  <si>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</si>
  <si>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</si>
  <si>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</si>
  <si>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</si>
  <si>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</si>
  <si>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</si>
  <si>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</si>
  <si>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</si>
  <si>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</si>
  <si>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</si>
  <si>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</si>
  <si>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</si>
  <si>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</si>
  <si>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</si>
  <si>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</si>
  <si>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</si>
  <si>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</si>
  <si>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</si>
  <si>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</si>
  <si>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</si>
  <si>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</si>
  <si>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</si>
  <si>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</si>
  <si>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</si>
  <si>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</si>
  <si>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</si>
  <si>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</si>
  <si>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</si>
  <si>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</si>
  <si>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</si>
  <si>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</si>
  <si>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</si>
  <si>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</si>
  <si>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</si>
  <si>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</si>
  <si>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</si>
  <si>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</si>
  <si>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</si>
  <si>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</si>
  <si>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</si>
  <si>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</si>
  <si>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</si>
  <si>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</si>
  <si>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</si>
  <si>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</si>
  <si>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</si>
  <si>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</si>
  <si>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</si>
  <si>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</si>
  <si>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</si>
  <si>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</si>
  <si>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</si>
  <si>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</si>
  <si>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</si>
  <si>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</si>
  <si>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</si>
  <si>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</si>
  <si>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</si>
  <si>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</si>
  <si>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</si>
  <si>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</si>
  <si>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</si>
  <si>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</si>
  <si>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</si>
  <si>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</si>
  <si>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</si>
  <si>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</si>
  <si>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</si>
  <si>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</si>
  <si>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</si>
  <si>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</si>
  <si>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</si>
  <si>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</si>
  <si>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</si>
  <si>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</si>
  <si>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</si>
  <si>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</si>
  <si>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</si>
  <si>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</si>
  <si>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</si>
  <si>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</si>
  <si>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</si>
  <si>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</si>
  <si>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</si>
  <si>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</si>
  <si>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</si>
  <si>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</si>
  <si>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</si>
  <si>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</si>
  <si>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</si>
  <si>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</si>
  <si>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</si>
  <si>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</si>
  <si>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</si>
  <si>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</si>
  <si>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</si>
  <si>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</si>
  <si>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</si>
  <si>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</si>
  <si>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</si>
  <si>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</si>
  <si>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</si>
  <si>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</si>
  <si>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</si>
  <si>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</si>
  <si>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</si>
  <si>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</si>
  <si>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</si>
  <si>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</si>
  <si>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</si>
  <si>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</si>
  <si>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</si>
  <si>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</si>
  <si>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</si>
  <si>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</si>
  <si>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</si>
  <si>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</si>
  <si>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</si>
  <si>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</si>
  <si>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</si>
  <si>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</si>
  <si>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</si>
  <si>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</si>
  <si>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</si>
  <si>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</si>
  <si>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</si>
  <si>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</si>
  <si>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</si>
  <si>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</si>
  <si>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</si>
  <si>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</si>
  <si>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</si>
  <si>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</si>
  <si>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</si>
  <si>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</si>
  <si>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</si>
  <si>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</si>
  <si>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</si>
  <si>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</si>
  <si>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</si>
  <si>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</si>
  <si>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</si>
  <si>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</si>
  <si>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</si>
  <si>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</si>
  <si>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</si>
  <si>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</si>
  <si>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</si>
  <si>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</si>
  <si>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</si>
  <si>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</si>
  <si>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</si>
  <si>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</si>
  <si>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</si>
  <si>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</si>
  <si>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</si>
  <si>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</si>
  <si>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</si>
  <si>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</si>
  <si>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</si>
  <si>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</si>
  <si>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</si>
  <si>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</si>
  <si>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</si>
  <si>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</si>
  <si>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</si>
  <si>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</si>
  <si>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</si>
  <si>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</si>
  <si>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</si>
  <si>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</si>
  <si>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</si>
  <si>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</si>
  <si>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</si>
  <si>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</si>
  <si>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</si>
  <si>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</si>
  <si>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</si>
  <si>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</si>
  <si>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</si>
  <si>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</si>
  <si>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</si>
  <si>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</si>
  <si>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</si>
  <si>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</si>
  <si>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</si>
  <si>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</si>
  <si>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</si>
  <si>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</si>
  <si>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</si>
  <si>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</si>
  <si>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</si>
  <si>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</si>
  <si>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</si>
  <si>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</si>
  <si>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</si>
  <si>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</si>
  <si>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</si>
  <si>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</si>
  <si>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</si>
  <si>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</si>
  <si>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</si>
  <si>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</si>
  <si>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</si>
  <si>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</si>
  <si>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</si>
  <si>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</si>
  <si>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</si>
  <si>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</si>
  <si>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</si>
  <si>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</si>
  <si>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</si>
  <si>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</si>
  <si>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</si>
  <si>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</si>
  <si>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</si>
  <si>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</si>
  <si>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</si>
  <si>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</si>
  <si>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</si>
  <si>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</si>
  <si>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</si>
  <si>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</si>
  <si>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</si>
  <si>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</si>
  <si>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</si>
  <si>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</si>
  <si>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</si>
  <si>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</si>
  <si>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</si>
  <si>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</si>
  <si>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</si>
  <si>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</si>
  <si>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</si>
  <si>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</si>
  <si>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</si>
  <si>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</si>
  <si>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</si>
  <si>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</si>
  <si>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</si>
  <si>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</si>
  <si>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</si>
  <si>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</si>
  <si>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</si>
  <si>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</si>
  <si>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</si>
  <si>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</si>
  <si>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</si>
  <si>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</si>
  <si>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</si>
  <si>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</si>
  <si>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</si>
  <si>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</si>
  <si>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</si>
  <si>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</si>
  <si>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</si>
  <si>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</si>
  <si>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</si>
  <si>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</si>
  <si>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</si>
  <si>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</si>
  <si>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</si>
  <si>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</si>
  <si>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</si>
  <si>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</si>
  <si>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</si>
  <si>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</si>
  <si>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</si>
  <si>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</si>
  <si>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</si>
  <si>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</si>
  <si>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</si>
  <si>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</si>
  <si>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</si>
  <si>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</si>
  <si>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</si>
  <si>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</si>
  <si>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</si>
  <si>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</si>
  <si>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</si>
  <si>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</si>
  <si>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</si>
  <si>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</si>
  <si>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</si>
  <si>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</si>
  <si>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</si>
  <si>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</si>
  <si>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</si>
  <si>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</si>
  <si>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</si>
  <si>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</si>
  <si>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</si>
  <si>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</si>
  <si>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</si>
  <si>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</si>
  <si>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</si>
  <si>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</si>
  <si>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</si>
  <si>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</si>
  <si>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</si>
  <si>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</si>
  <si>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</si>
  <si>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</si>
  <si>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</si>
  <si>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</si>
  <si>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</si>
  <si>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</si>
  <si>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</si>
  <si>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</si>
  <si>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</si>
  <si>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</si>
  <si>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</si>
  <si>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</si>
  <si>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</si>
  <si>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</si>
  <si>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</si>
  <si>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</si>
  <si>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</si>
  <si>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</si>
  <si>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</si>
  <si>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</si>
  <si>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</si>
  <si>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</si>
  <si>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</si>
  <si>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</si>
  <si>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</si>
  <si>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</si>
  <si>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</si>
  <si>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</si>
  <si>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</si>
  <si>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</si>
  <si>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</si>
  <si>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</si>
  <si>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</si>
  <si>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</si>
  <si>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</si>
  <si>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</si>
  <si>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</si>
  <si>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</si>
  <si>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</si>
  <si>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</si>
  <si>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</si>
  <si>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</si>
  <si>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</si>
  <si>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</si>
  <si>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</si>
  <si>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</si>
  <si>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</si>
  <si>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</si>
  <si>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</si>
  <si>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</si>
  <si>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</si>
  <si>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</si>
  <si>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</si>
  <si>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</si>
  <si>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</si>
  <si>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</si>
  <si>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</si>
  <si>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</si>
  <si>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</si>
  <si>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</si>
  <si>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</si>
  <si>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</si>
  <si>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</si>
  <si>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</si>
  <si>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</si>
  <si>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</si>
  <si>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</si>
  <si>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</si>
  <si>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</si>
  <si>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</si>
  <si>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</si>
  <si>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</si>
  <si>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</si>
  <si>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</si>
  <si>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</si>
  <si>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</si>
  <si>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</si>
  <si>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</si>
  <si>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</si>
  <si>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</si>
  <si>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</si>
  <si>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</si>
  <si>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</si>
  <si>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</si>
  <si>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</si>
  <si>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</si>
  <si>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</si>
  <si>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</si>
  <si>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</si>
  <si>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</si>
  <si>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</si>
  <si>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</si>
  <si>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</si>
  <si>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</si>
  <si>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</si>
  <si>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</si>
  <si>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</si>
  <si>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</si>
  <si>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</si>
  <si>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</si>
  <si>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</si>
  <si>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</si>
  <si>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</si>
  <si>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</si>
  <si>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</si>
  <si>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</si>
  <si>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</si>
  <si>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</si>
  <si>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</si>
  <si>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</si>
  <si>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</si>
  <si>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</si>
  <si>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</si>
  <si>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</si>
  <si>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</si>
  <si>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</si>
  <si>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</si>
  <si>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</si>
  <si>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</si>
  <si>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</si>
  <si>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</si>
  <si>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</si>
  <si>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</si>
  <si>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</si>
  <si>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</si>
  <si>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</si>
  <si>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</si>
  <si>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</si>
  <si>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</si>
  <si>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</si>
  <si>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</si>
  <si>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</si>
  <si>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</si>
  <si>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</si>
  <si>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</si>
  <si>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</si>
  <si>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</si>
  <si>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</si>
  <si>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</si>
  <si>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</si>
  <si>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</si>
  <si>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</si>
  <si>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</si>
  <si>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</si>
  <si>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</si>
  <si>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</si>
  <si>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</si>
  <si>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</si>
  <si>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</si>
  <si>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</si>
  <si>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</si>
  <si>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</si>
  <si>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</si>
  <si>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</si>
  <si>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</si>
  <si>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</si>
  <si>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</si>
  <si>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</si>
  <si>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</si>
  <si>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</si>
  <si>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</si>
  <si>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</si>
  <si>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</si>
  <si>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</si>
  <si>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</si>
  <si>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</si>
  <si>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</si>
  <si>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</si>
  <si>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</si>
  <si>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</si>
  <si>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</si>
  <si>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</si>
  <si>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</si>
  <si>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</si>
  <si>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</si>
  <si>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</si>
  <si>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</si>
  <si>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</si>
  <si>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</si>
  <si>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</si>
  <si>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</si>
  <si>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</si>
  <si>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</si>
  <si>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</si>
  <si>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</si>
  <si>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</si>
  <si>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</si>
  <si>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</si>
  <si>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</si>
  <si>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</si>
  <si>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</si>
  <si>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</si>
  <si>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</si>
  <si>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</si>
  <si>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</si>
  <si>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</si>
  <si>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</si>
  <si>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</si>
  <si>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</si>
  <si>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</si>
  <si>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</si>
  <si>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</si>
  <si>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</si>
  <si>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</si>
  <si>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</si>
  <si>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</si>
  <si>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</si>
  <si>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</si>
  <si>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</si>
  <si>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</si>
  <si>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</si>
  <si>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</si>
  <si>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</si>
  <si>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</si>
  <si>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</si>
  <si>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</si>
  <si>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</si>
  <si>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</si>
  <si>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</si>
  <si>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</si>
  <si>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</si>
  <si>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</si>
  <si>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</si>
  <si>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</si>
  <si>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</si>
  <si>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</si>
  <si>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</si>
  <si>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</si>
  <si>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</si>
  <si>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</si>
  <si>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</si>
  <si>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</si>
  <si>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</si>
  <si>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</si>
  <si>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</si>
  <si>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</si>
  <si>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</si>
  <si>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</si>
  <si>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</si>
  <si>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</si>
  <si>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</si>
  <si>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</si>
  <si>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</si>
  <si>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</si>
  <si>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</si>
  <si>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</si>
  <si>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</si>
  <si>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</si>
  <si>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</si>
  <si>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</si>
  <si>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</si>
  <si>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</si>
  <si>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</si>
  <si>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</si>
  <si>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</si>
  <si>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</si>
  <si>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</si>
  <si>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</si>
  <si>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</si>
  <si>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</si>
  <si>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</si>
  <si>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</si>
  <si>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</si>
  <si>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</si>
  <si>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</si>
  <si>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</si>
  <si>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</si>
  <si>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</si>
  <si>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</si>
  <si>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</si>
  <si>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</si>
  <si>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</si>
  <si>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</si>
  <si>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</si>
  <si>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</si>
  <si>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</si>
  <si>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</si>
  <si>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</si>
  <si>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Optional long</t>
  </si>
  <si>
    <t>Implements a court order</t>
  </si>
  <si>
    <t xml:space="preserve">Implements recent legislations </t>
  </si>
  <si>
    <t>Implements Oregon law</t>
  </si>
  <si>
    <t>Aligns with federal regulations</t>
  </si>
  <si>
    <t>Keeps a commitment in PPA</t>
  </si>
  <si>
    <t>Keeps an advisory committee commitment</t>
  </si>
  <si>
    <t>Addresses science applicable to Oregon</t>
  </si>
  <si>
    <t>Aligns with current science</t>
  </si>
  <si>
    <t>Supports DEQ business processes</t>
  </si>
  <si>
    <t>Implements a program business decision</t>
  </si>
  <si>
    <t>Implements a DEQ business decision</t>
  </si>
  <si>
    <t>Implements an Oregon business decision</t>
  </si>
  <si>
    <t>Implements an advisory committee recommendation</t>
  </si>
  <si>
    <t>Implements an EQC direction</t>
  </si>
  <si>
    <t>Address EPA concerns</t>
  </si>
  <si>
    <t>Aligns with DEQ strategic directions</t>
  </si>
  <si>
    <t>Reduces DEQ workload</t>
  </si>
  <si>
    <t>Reduces workload for regulated parties</t>
  </si>
  <si>
    <t>Repeals obsolete rules</t>
  </si>
  <si>
    <t>Enhances agency coordination</t>
  </si>
  <si>
    <t>Provides a stable funding source</t>
  </si>
  <si>
    <t>Provides a sustainable funding model</t>
  </si>
  <si>
    <t>Annual fee change allowed in statute</t>
  </si>
  <si>
    <t xml:space="preserve">Political response to environmental group </t>
  </si>
  <si>
    <t>Noncompliance with ORS</t>
  </si>
  <si>
    <t>Noncompliance with federal regulations</t>
  </si>
  <si>
    <t>Failure to keep commitment to legislature</t>
  </si>
  <si>
    <t>Addresses a problem we suspect will occur</t>
  </si>
  <si>
    <t>Has no direct correlation to the environment</t>
  </si>
  <si>
    <t>Address an environmental problem directly</t>
  </si>
  <si>
    <t>Address an environmental problem indirectly</t>
  </si>
  <si>
    <t>Prevents a known environmental problem</t>
  </si>
  <si>
    <t>Prevents a suspected environmental problem</t>
  </si>
  <si>
    <t>Solves a known environmental problem</t>
  </si>
  <si>
    <t>severity</t>
  </si>
  <si>
    <t>time</t>
  </si>
  <si>
    <t>complexity</t>
  </si>
  <si>
    <t>h</t>
  </si>
  <si>
    <t xml:space="preserve">Content Expert Capacity </t>
  </si>
  <si>
    <t>Topic expert</t>
  </si>
  <si>
    <t>constraints on EQC adoption/effective date</t>
  </si>
  <si>
    <t>200</t>
  </si>
  <si>
    <t>DEQ and other states have developed similar plans that can be used as models for this rulemaking.</t>
  </si>
  <si>
    <t>X</t>
  </si>
  <si>
    <t>CAA</t>
  </si>
  <si>
    <t>Grants Pass Limited Maintenance Plans for CO and PM10</t>
  </si>
  <si>
    <t xml:space="preserve">We are using  existing emissions inventory and monitoring data. </t>
  </si>
  <si>
    <t>There are no alternatives because the updating the plans is required by Clean Air Act.</t>
  </si>
  <si>
    <t>Local government strongly supports eliminating modeling requirement for conformity analysis</t>
  </si>
  <si>
    <t>Continuation of existing standards. Implementation eliminates modeling requirements for local government to perform conformity analysis</t>
  </si>
  <si>
    <t>doing nothing would have fiscal impact on local government due to cost of modeling for conformity analysis</t>
  </si>
  <si>
    <t>general fund</t>
  </si>
  <si>
    <t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t>
  </si>
  <si>
    <t>We are updating Grants Pass's 10-year maintenance plans for CO and PM10 as required by the Clean Air Act.</t>
  </si>
  <si>
    <t>Maintenance plans help keep CO and PM10 levels in Grants Pass below harmful levels and help prevent the community from exceeding federal health standards.</t>
  </si>
  <si>
    <t>dependencies</t>
  </si>
  <si>
    <t>Doing nothing will continue to require modeling for conformity analysis, which is expensive for Grants Pass</t>
  </si>
  <si>
    <t>DEQ collaborating with EPA on plan development</t>
  </si>
  <si>
    <t xml:space="preserve">Grants Pass meets the federal air quality standards for PM10 and CO. The Clean Air Act requires 10-year maintenance plans for these pollutants. This rulemaking is the second maintenance plan, which applies until 2024.  A major consideration is the urgency to complete this rulemaking by the end of the year.  This will remove the requirement for costly computer modeling for the transportation conformity analysis, which is not needed  due to the low pollution levels in this community.  This also allows the option of adopting a "limited" maintenance plan, which are simpler and easier plans to adopt for communities which have improved air quality.  Both will require a State Implementation Plan revision and submittal to EPA.   </t>
  </si>
  <si>
    <t>The second maintenance plan renews the commitment to keep the CO and PM10 below the health standards.</t>
  </si>
  <si>
    <t>Worksheets:
Warm up</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</si>
</sst>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4">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
      <sz val="12"/>
      <color rgb="FF000000"/>
      <name val="Cambria"/>
      <family val="1"/>
    </font>
    <font>
      <b/>
      <i/>
      <sz val="10"/>
      <color theme="4" tint="-0.499984740745262"/>
      <name val="Tahoma"/>
      <family val="2"/>
    </font>
    <font>
      <b/>
      <sz val="10"/>
      <name val="Cambria"/>
      <family val="1"/>
      <scheme val="minor"/>
    </font>
  </fonts>
  <fills count="3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
      <patternFill patternType="solid">
        <fgColor theme="1" tint="4.9989318521683403E-2"/>
        <bgColor indexed="64"/>
      </patternFill>
    </fill>
    <fill>
      <patternFill patternType="solid">
        <fgColor rgb="FF0E7A56"/>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22">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59"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7"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2"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69" fillId="0" borderId="0" xfId="0" applyFont="1" applyFill="1" applyAlignment="1"/>
    <xf numFmtId="164" fontId="170" fillId="0" borderId="0" xfId="0" applyNumberFormat="1" applyFont="1" applyFill="1" applyBorder="1" applyAlignment="1" applyProtection="1">
      <alignment horizontal="center" vertical="top"/>
    </xf>
    <xf numFmtId="164" fontId="169" fillId="0" borderId="0" xfId="0" applyFont="1" applyFill="1" applyAlignment="1">
      <alignment horizontal="center" vertical="top" wrapText="1"/>
    </xf>
    <xf numFmtId="1" fontId="170" fillId="0" borderId="0" xfId="0" applyNumberFormat="1" applyFont="1" applyFill="1" applyAlignment="1">
      <alignment horizontal="right" vertical="center"/>
    </xf>
    <xf numFmtId="0" fontId="171"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78"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0"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0" fillId="0" borderId="0" xfId="0" applyFont="1" applyFill="1"/>
    <xf numFmtId="1" fontId="181" fillId="0" borderId="0" xfId="0" applyNumberFormat="1" applyFont="1" applyFill="1" applyAlignment="1">
      <alignment horizontal="right" vertical="top"/>
    </xf>
    <xf numFmtId="0" fontId="182" fillId="0" borderId="0" xfId="0" applyNumberFormat="1" applyFont="1" applyFill="1" applyBorder="1" applyAlignment="1">
      <alignment horizontal="left"/>
    </xf>
    <xf numFmtId="164" fontId="184" fillId="2" borderId="0" xfId="0" applyFont="1" applyFill="1" applyAlignment="1"/>
    <xf numFmtId="164" fontId="180" fillId="0" borderId="0" xfId="0" applyFont="1"/>
    <xf numFmtId="164" fontId="185" fillId="0" borderId="0" xfId="0" applyFont="1" applyFill="1"/>
    <xf numFmtId="164" fontId="185" fillId="0" borderId="0" xfId="0" applyFont="1" applyFill="1" applyAlignment="1">
      <alignment vertical="top"/>
    </xf>
    <xf numFmtId="164" fontId="185" fillId="0" borderId="0" xfId="0" applyFont="1" applyFill="1" applyAlignment="1" applyProtection="1">
      <alignment vertical="top"/>
    </xf>
    <xf numFmtId="164" fontId="185" fillId="0" borderId="0" xfId="0" applyFont="1" applyFill="1" applyAlignment="1">
      <alignment vertical="center"/>
    </xf>
    <xf numFmtId="0" fontId="182" fillId="0" borderId="0" xfId="0" applyNumberFormat="1" applyFont="1" applyFill="1" applyBorder="1" applyAlignment="1">
      <alignment horizontal="left" vertical="center"/>
    </xf>
    <xf numFmtId="164" fontId="185" fillId="0" borderId="0" xfId="0" applyFont="1" applyAlignment="1">
      <alignment vertical="center"/>
    </xf>
    <xf numFmtId="164" fontId="185" fillId="0" borderId="0" xfId="0" applyFont="1"/>
    <xf numFmtId="0" fontId="183" fillId="0" borderId="0" xfId="0" applyNumberFormat="1" applyFont="1" applyFill="1" applyBorder="1" applyAlignment="1">
      <alignment horizontal="left" vertical="center"/>
    </xf>
    <xf numFmtId="164" fontId="179" fillId="2" borderId="0" xfId="0" applyFont="1" applyFill="1" applyAlignment="1" applyProtection="1">
      <alignment wrapText="1"/>
    </xf>
    <xf numFmtId="164" fontId="186" fillId="27" borderId="0" xfId="1" applyFont="1" applyFill="1" applyAlignment="1" applyProtection="1">
      <alignment vertical="center"/>
    </xf>
    <xf numFmtId="164" fontId="174"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7" fillId="0" borderId="0" xfId="1" applyFont="1" applyAlignment="1" applyProtection="1">
      <alignment horizontal="center" vertical="center"/>
    </xf>
    <xf numFmtId="164" fontId="188"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1" fillId="0" borderId="0" xfId="0" applyFont="1" applyFill="1" applyAlignment="1">
      <alignment horizontal="center" vertical="center"/>
    </xf>
    <xf numFmtId="164" fontId="188" fillId="0" borderId="0" xfId="0" applyFont="1" applyFill="1" applyAlignment="1">
      <alignment horizontal="center" vertical="center"/>
    </xf>
    <xf numFmtId="164" fontId="188" fillId="0" borderId="0" xfId="0" applyFont="1" applyAlignment="1">
      <alignment horizontal="center" vertical="top"/>
    </xf>
    <xf numFmtId="164" fontId="188" fillId="0" borderId="0" xfId="0" applyFont="1" applyAlignment="1">
      <alignment horizontal="center" vertical="center"/>
    </xf>
    <xf numFmtId="164" fontId="188"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0"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5"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1"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88"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59"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7"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199"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0" fillId="0" borderId="0" xfId="0" applyNumberFormat="1" applyFont="1" applyFill="1" applyBorder="1" applyAlignment="1" applyProtection="1">
      <alignment horizontal="left" vertical="top"/>
    </xf>
    <xf numFmtId="164" fontId="199"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0"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0" fillId="13" borderId="23" xfId="0" applyNumberFormat="1" applyFont="1" applyFill="1" applyBorder="1" applyAlignment="1">
      <alignment horizontal="center" vertical="center" wrapText="1"/>
    </xf>
    <xf numFmtId="1" fontId="190"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3"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3" fillId="0" borderId="4" xfId="1" applyNumberFormat="1" applyFont="1" applyBorder="1" applyAlignment="1" applyProtection="1">
      <alignment horizontal="center" vertical="center"/>
    </xf>
    <xf numFmtId="164" fontId="204"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0" fillId="27" borderId="0" xfId="1" applyFont="1" applyFill="1" applyAlignment="1" applyProtection="1">
      <alignment vertical="center"/>
    </xf>
    <xf numFmtId="164" fontId="188" fillId="0" borderId="0" xfId="0" applyFont="1" applyAlignment="1">
      <alignment horizontal="center" vertical="center"/>
    </xf>
    <xf numFmtId="164" fontId="207" fillId="0" borderId="0" xfId="0" applyFont="1" applyBorder="1"/>
    <xf numFmtId="164" fontId="153" fillId="0" borderId="0" xfId="0" applyFont="1" applyAlignment="1">
      <alignment horizontal="left"/>
    </xf>
    <xf numFmtId="164" fontId="207" fillId="0" borderId="0" xfId="0" applyFont="1"/>
    <xf numFmtId="164" fontId="153" fillId="0" borderId="0" xfId="0" applyFont="1" applyBorder="1" applyAlignment="1">
      <alignment horizontal="left"/>
    </xf>
    <xf numFmtId="164" fontId="205" fillId="2" borderId="0" xfId="0" applyFont="1" applyFill="1" applyBorder="1" applyAlignment="1">
      <alignment horizontal="center" vertical="top"/>
    </xf>
    <xf numFmtId="164" fontId="153" fillId="0" borderId="0" xfId="0" applyFont="1" applyAlignment="1">
      <alignment vertical="top"/>
    </xf>
    <xf numFmtId="164" fontId="207"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5"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6" fillId="10" borderId="3" xfId="0" applyFont="1" applyFill="1" applyBorder="1"/>
    <xf numFmtId="1" fontId="210"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2" fillId="0" borderId="0" xfId="0" applyFont="1" applyFill="1" applyBorder="1" applyAlignment="1">
      <alignment horizontal="center" vertical="center"/>
    </xf>
    <xf numFmtId="1" fontId="211"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4"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vertical="center"/>
    </xf>
    <xf numFmtId="1" fontId="212" fillId="0" borderId="0" xfId="0" applyNumberFormat="1" applyFont="1" applyFill="1" applyBorder="1" applyAlignment="1">
      <alignment horizontal="center"/>
    </xf>
    <xf numFmtId="1" fontId="214" fillId="0" borderId="0" xfId="0" applyNumberFormat="1" applyFont="1" applyFill="1" applyBorder="1" applyAlignment="1">
      <alignment horizontal="center"/>
    </xf>
    <xf numFmtId="1" fontId="215" fillId="0" borderId="0" xfId="0" applyNumberFormat="1" applyFont="1" applyFill="1" applyBorder="1" applyAlignment="1">
      <alignment horizontal="center"/>
    </xf>
    <xf numFmtId="1" fontId="215"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1"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3" fillId="0" borderId="0" xfId="0" applyFont="1" applyFill="1" applyBorder="1" applyAlignment="1">
      <alignment horizontal="left"/>
    </xf>
    <xf numFmtId="164" fontId="208"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08" fillId="0" borderId="0" xfId="0" applyFont="1" applyFill="1" applyBorder="1" applyAlignment="1">
      <alignment horizontal="left" vertical="top" wrapText="1" indent="4"/>
    </xf>
    <xf numFmtId="164" fontId="211"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5" fillId="0" borderId="0" xfId="0" applyFont="1" applyFill="1" applyBorder="1" applyAlignment="1">
      <alignment horizontal="left"/>
    </xf>
    <xf numFmtId="164" fontId="208"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08" fillId="0" borderId="0" xfId="0" applyFont="1" applyFill="1" applyBorder="1" applyAlignment="1">
      <alignment horizontal="left" indent="3"/>
    </xf>
    <xf numFmtId="164" fontId="0" fillId="0" borderId="0" xfId="0" applyFill="1" applyBorder="1" applyAlignment="1">
      <alignment horizontal="left" vertical="top" wrapText="1"/>
    </xf>
    <xf numFmtId="164" fontId="165" fillId="0" borderId="0" xfId="0" applyFont="1" applyFill="1" applyBorder="1" applyAlignment="1">
      <alignment horizontal="left" vertical="center"/>
    </xf>
    <xf numFmtId="164" fontId="210" fillId="0" borderId="0" xfId="0" applyFont="1" applyFill="1" applyBorder="1" applyAlignment="1">
      <alignment horizontal="left" vertical="top" indent="2"/>
    </xf>
    <xf numFmtId="1" fontId="213" fillId="0" borderId="0" xfId="0" applyNumberFormat="1" applyFont="1" applyFill="1" applyBorder="1" applyAlignment="1">
      <alignment horizontal="center" vertical="top"/>
    </xf>
    <xf numFmtId="164" fontId="164" fillId="0" borderId="0" xfId="0" applyFont="1" applyFill="1" applyBorder="1" applyAlignment="1">
      <alignment vertical="center"/>
    </xf>
    <xf numFmtId="164" fontId="0" fillId="0" borderId="0" xfId="0" applyFont="1" applyFill="1" applyBorder="1" applyAlignment="1">
      <alignment horizontal="left" vertical="center" wrapText="1"/>
    </xf>
    <xf numFmtId="1" fontId="209"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08" fillId="0" borderId="0" xfId="0" applyFont="1" applyFill="1" applyBorder="1" applyAlignment="1">
      <alignment horizontal="left" indent="2"/>
    </xf>
    <xf numFmtId="164" fontId="0" fillId="0" borderId="0" xfId="0" applyFill="1" applyBorder="1" applyAlignment="1">
      <alignment vertical="top" wrapText="1"/>
    </xf>
    <xf numFmtId="164" fontId="210" fillId="0" borderId="0" xfId="0" applyFont="1" applyFill="1" applyBorder="1" applyAlignment="1">
      <alignment horizontal="left" indent="3"/>
    </xf>
    <xf numFmtId="164" fontId="149" fillId="0" borderId="0" xfId="0" applyFont="1" applyFill="1" applyBorder="1" applyAlignment="1">
      <alignment horizontal="left" indent="3"/>
    </xf>
    <xf numFmtId="164" fontId="210" fillId="0" borderId="0" xfId="0" applyFont="1" applyFill="1" applyBorder="1" applyAlignment="1">
      <alignment horizontal="left" indent="4"/>
    </xf>
    <xf numFmtId="164" fontId="216" fillId="0" borderId="0" xfId="0" applyFont="1" applyFill="1" applyBorder="1" applyAlignment="1">
      <alignment wrapText="1"/>
    </xf>
    <xf numFmtId="164" fontId="164" fillId="0" borderId="0" xfId="0" applyFont="1" applyFill="1" applyBorder="1" applyAlignment="1">
      <alignment horizontal="left"/>
    </xf>
    <xf numFmtId="1" fontId="0" fillId="0" borderId="0" xfId="0" applyNumberFormat="1" applyFont="1" applyFill="1" applyBorder="1" applyAlignment="1">
      <alignment horizontal="left" indent="1"/>
    </xf>
    <xf numFmtId="1" fontId="212"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08" fillId="0" borderId="0" xfId="0" applyFont="1" applyFill="1" applyBorder="1" applyAlignment="1">
      <alignment horizontal="left" vertical="center" indent="3"/>
    </xf>
    <xf numFmtId="164" fontId="208" fillId="0" borderId="0" xfId="0" applyFont="1" applyFill="1" applyBorder="1" applyAlignment="1">
      <alignment horizontal="left" indent="4"/>
    </xf>
    <xf numFmtId="164" fontId="0" fillId="0" borderId="0" xfId="0" applyFont="1" applyFill="1" applyBorder="1" applyAlignment="1">
      <alignment horizontal="center" wrapText="1"/>
    </xf>
    <xf numFmtId="164" fontId="208"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08" fillId="10" borderId="0" xfId="0" applyFont="1" applyFill="1" applyBorder="1" applyAlignment="1">
      <alignment horizontal="left" vertical="top" wrapText="1" indent="4"/>
    </xf>
    <xf numFmtId="1" fontId="211"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6" fillId="2" borderId="0" xfId="0" applyFont="1" applyFill="1" applyBorder="1" applyAlignment="1">
      <alignment horizontal="left" vertical="top" wrapText="1" indent="6"/>
    </xf>
    <xf numFmtId="164" fontId="208" fillId="2" borderId="0" xfId="0" applyFont="1" applyFill="1" applyBorder="1" applyAlignment="1">
      <alignment horizontal="center" vertical="top"/>
    </xf>
    <xf numFmtId="164" fontId="208" fillId="2" borderId="0" xfId="0" applyFont="1" applyFill="1" applyBorder="1" applyAlignment="1">
      <alignment horizontal="left" vertical="top" wrapText="1"/>
    </xf>
    <xf numFmtId="164" fontId="217"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1"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0"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19"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1"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0" fillId="0" borderId="5" xfId="0" applyNumberFormat="1" applyFont="1" applyFill="1" applyBorder="1" applyAlignment="1">
      <alignment horizontal="center" vertical="center"/>
    </xf>
    <xf numFmtId="1" fontId="220" fillId="0" borderId="0" xfId="0" applyNumberFormat="1" applyFont="1" applyFill="1" applyBorder="1" applyAlignment="1">
      <alignment horizontal="center" vertical="center"/>
    </xf>
    <xf numFmtId="1" fontId="221"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2"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0"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4" fillId="0" borderId="0" xfId="0" applyFont="1" applyFill="1" applyBorder="1" applyAlignment="1">
      <alignment horizontal="left"/>
    </xf>
    <xf numFmtId="164" fontId="210" fillId="0" borderId="0" xfId="0" applyFont="1" applyFill="1" applyBorder="1" applyAlignment="1">
      <alignment horizontal="left" indent="1"/>
    </xf>
    <xf numFmtId="164" fontId="223"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7" fillId="0" borderId="0" xfId="1" applyFont="1" applyFill="1" applyBorder="1" applyAlignment="1" applyProtection="1">
      <alignment horizontal="center"/>
      <protection locked="0"/>
    </xf>
    <xf numFmtId="164" fontId="227"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29"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2" fillId="12" borderId="28" xfId="0" applyFont="1" applyFill="1" applyBorder="1" applyAlignment="1" applyProtection="1">
      <alignment wrapText="1"/>
    </xf>
    <xf numFmtId="164" fontId="193"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1"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6" fillId="10" borderId="57" xfId="0" applyNumberFormat="1" applyFont="1" applyFill="1" applyBorder="1" applyAlignment="1">
      <alignment horizontal="left" vertical="center"/>
    </xf>
    <xf numFmtId="164" fontId="235"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7" fillId="31" borderId="17" xfId="0" applyFont="1" applyFill="1" applyBorder="1" applyAlignment="1">
      <alignment horizontal="left" vertical="center" wrapText="1"/>
    </xf>
    <xf numFmtId="1" fontId="238" fillId="31" borderId="5" xfId="0" applyNumberFormat="1" applyFont="1" applyFill="1" applyBorder="1"/>
    <xf numFmtId="164" fontId="153" fillId="31" borderId="5" xfId="0" applyFont="1" applyFill="1" applyBorder="1" applyAlignment="1">
      <alignment horizontal="center"/>
    </xf>
    <xf numFmtId="1" fontId="239" fillId="31" borderId="5" xfId="0" applyNumberFormat="1" applyFont="1" applyFill="1" applyBorder="1" applyAlignment="1" applyProtection="1">
      <alignment horizontal="center"/>
    </xf>
    <xf numFmtId="164" fontId="240" fillId="0" borderId="3" xfId="1" applyFont="1" applyBorder="1" applyAlignment="1" applyProtection="1">
      <protection locked="0"/>
    </xf>
    <xf numFmtId="164" fontId="240" fillId="0" borderId="2" xfId="1" applyFont="1" applyBorder="1" applyAlignment="1" applyProtection="1">
      <protection locked="0"/>
    </xf>
    <xf numFmtId="164" fontId="0" fillId="0" borderId="0" xfId="0"/>
    <xf numFmtId="164" fontId="49" fillId="2" borderId="0" xfId="0" applyFont="1" applyFill="1" applyBorder="1" applyAlignment="1">
      <alignment horizontal="right" vertical="top" wrapText="1"/>
    </xf>
    <xf numFmtId="164" fontId="241" fillId="0" borderId="0" xfId="0" applyFont="1" applyAlignment="1">
      <alignment horizontal="left"/>
    </xf>
    <xf numFmtId="1" fontId="242" fillId="0" borderId="0" xfId="0" applyNumberFormat="1" applyFont="1" applyFill="1" applyAlignment="1">
      <alignment horizontal="right" vertical="top"/>
    </xf>
    <xf numFmtId="1" fontId="101" fillId="33" borderId="2" xfId="0" applyNumberFormat="1" applyFont="1" applyFill="1" applyBorder="1" applyAlignment="1" applyProtection="1">
      <alignment horizontal="left" vertical="top"/>
    </xf>
    <xf numFmtId="166" fontId="225" fillId="10" borderId="0" xfId="0" applyNumberFormat="1" applyFont="1" applyFill="1" applyAlignment="1">
      <alignment horizontal="left" indent="1"/>
    </xf>
    <xf numFmtId="166" fontId="226"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2"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7" fillId="2" borderId="50" xfId="0" applyNumberFormat="1" applyFont="1" applyFill="1" applyBorder="1" applyAlignment="1" applyProtection="1">
      <alignment horizontal="left" wrapText="1" indent="3"/>
    </xf>
    <xf numFmtId="0" fontId="177"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2" fillId="2" borderId="0" xfId="0" applyFont="1" applyFill="1" applyBorder="1" applyAlignment="1">
      <alignment horizontal="left" wrapText="1" indent="3"/>
    </xf>
    <xf numFmtId="164" fontId="172" fillId="0" borderId="0" xfId="0" applyFont="1" applyAlignment="1">
      <alignment horizontal="left" vertical="center" indent="3"/>
    </xf>
    <xf numFmtId="164" fontId="173"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0"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0" fillId="0" borderId="0" xfId="1" applyFont="1" applyBorder="1" applyAlignment="1" applyProtection="1">
      <alignment wrapText="1"/>
      <protection locked="0"/>
    </xf>
    <xf numFmtId="164" fontId="240" fillId="0" borderId="0" xfId="1" applyFont="1" applyBorder="1" applyAlignment="1" applyProtection="1">
      <protection locked="0"/>
    </xf>
    <xf numFmtId="164" fontId="100" fillId="2" borderId="0" xfId="0" applyFont="1" applyFill="1" applyBorder="1" applyAlignment="1" applyProtection="1">
      <alignment horizontal="center"/>
    </xf>
    <xf numFmtId="164" fontId="240" fillId="0" borderId="2" xfId="1" applyFont="1" applyBorder="1" applyAlignment="1" applyProtection="1">
      <alignment horizontal="left"/>
      <protection locked="0"/>
    </xf>
    <xf numFmtId="164" fontId="240"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18"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198" fillId="0" borderId="23" xfId="0" applyNumberFormat="1" applyFont="1" applyBorder="1" applyAlignment="1">
      <alignment horizontal="right"/>
    </xf>
    <xf numFmtId="165" fontId="198" fillId="0" borderId="16" xfId="0" applyNumberFormat="1" applyFont="1" applyBorder="1" applyAlignment="1">
      <alignment horizontal="right"/>
    </xf>
    <xf numFmtId="164" fontId="118" fillId="2" borderId="62" xfId="0" applyFont="1" applyFill="1" applyBorder="1" applyAlignment="1">
      <alignment horizontal="left" indent="1"/>
    </xf>
    <xf numFmtId="164" fontId="234" fillId="0" borderId="0" xfId="1" applyFont="1" applyFill="1" applyAlignment="1" applyProtection="1">
      <alignment horizontal="center" vertical="center" wrapText="1"/>
    </xf>
    <xf numFmtId="164" fontId="193" fillId="12" borderId="28" xfId="0" applyFont="1" applyFill="1" applyBorder="1" applyAlignment="1" applyProtection="1">
      <alignment horizontal="right"/>
      <protection locked="0"/>
    </xf>
    <xf numFmtId="165" fontId="191" fillId="2" borderId="23" xfId="0" applyNumberFormat="1" applyFont="1" applyFill="1" applyBorder="1" applyAlignment="1">
      <alignment horizontal="right"/>
    </xf>
    <xf numFmtId="165" fontId="191"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2" borderId="2" xfId="0" applyNumberFormat="1" applyFont="1" applyFill="1" applyBorder="1" applyAlignment="1" applyProtection="1">
      <alignment vertical="center" wrapText="1"/>
      <protection locked="0"/>
    </xf>
    <xf numFmtId="49" fontId="153" fillId="2" borderId="3" xfId="0" quotePrefix="1" applyNumberFormat="1" applyFont="1" applyFill="1" applyBorder="1" applyAlignment="1" applyProtection="1">
      <alignment vertical="center" wrapText="1"/>
      <protection locked="0"/>
    </xf>
    <xf numFmtId="49" fontId="153" fillId="2"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68"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76" fillId="10" borderId="7" xfId="0" applyFont="1" applyFill="1" applyBorder="1" applyAlignment="1">
      <alignment horizontal="center" vertical="top" wrapText="1"/>
    </xf>
    <xf numFmtId="164" fontId="176" fillId="10" borderId="8" xfId="0" applyFont="1" applyFill="1" applyBorder="1" applyAlignment="1">
      <alignment horizontal="center" vertical="top" wrapText="1"/>
    </xf>
    <xf numFmtId="164" fontId="176"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243" fillId="32" borderId="5" xfId="0" applyNumberFormat="1" applyFont="1" applyFill="1" applyBorder="1" applyAlignment="1" applyProtection="1">
      <alignment horizontal="center" vertical="center" wrapText="1"/>
      <protection locked="0"/>
    </xf>
    <xf numFmtId="1" fontId="243" fillId="32" borderId="2" xfId="0" applyNumberFormat="1" applyFont="1" applyFill="1" applyBorder="1" applyAlignment="1" applyProtection="1">
      <alignment horizontal="center" vertical="center" wrapText="1"/>
      <protection locked="0"/>
    </xf>
    <xf numFmtId="1" fontId="243" fillId="32" borderId="3" xfId="0" applyNumberFormat="1" applyFont="1" applyFill="1" applyBorder="1" applyAlignment="1" applyProtection="1">
      <alignment horizontal="center" vertical="center" wrapText="1"/>
      <protection locked="0"/>
    </xf>
    <xf numFmtId="1" fontId="243" fillId="32" borderId="4" xfId="0" applyNumberFormat="1" applyFont="1" applyFill="1" applyBorder="1" applyAlignment="1" applyProtection="1">
      <alignment horizontal="center" vertical="center" wrapText="1"/>
      <protection locked="0"/>
    </xf>
    <xf numFmtId="164" fontId="189" fillId="12" borderId="28" xfId="0" applyFont="1" applyFill="1" applyBorder="1" applyAlignment="1">
      <alignment horizontal="right"/>
    </xf>
    <xf numFmtId="164" fontId="12" fillId="0" borderId="0" xfId="0" applyFont="1"/>
    <xf numFmtId="49" fontId="12" fillId="0" borderId="0" xfId="0" applyNumberFormat="1" applyFont="1" applyProtection="1"/>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0" fillId="10" borderId="17" xfId="0" applyFont="1" applyFill="1" applyBorder="1" applyAlignment="1">
      <alignment horizontal="center" vertical="top" wrapText="1"/>
    </xf>
    <xf numFmtId="164" fontId="190" fillId="10" borderId="19" xfId="0" applyFont="1" applyFill="1" applyBorder="1" applyAlignment="1">
      <alignment horizontal="center" vertical="top" wrapText="1"/>
    </xf>
    <xf numFmtId="164" fontId="190"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1"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7" fillId="0" borderId="23" xfId="0" applyNumberFormat="1" applyFont="1" applyFill="1" applyBorder="1" applyAlignment="1">
      <alignment horizontal="center" wrapText="1"/>
    </xf>
    <xf numFmtId="1" fontId="157"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2" fillId="2" borderId="2" xfId="0" applyFont="1" applyFill="1" applyBorder="1" applyAlignment="1" applyProtection="1">
      <alignment horizontal="center" vertical="center" wrapText="1"/>
      <protection locked="0"/>
    </xf>
    <xf numFmtId="164" fontId="232" fillId="2" borderId="3" xfId="0" applyFont="1" applyFill="1" applyBorder="1" applyAlignment="1" applyProtection="1">
      <alignment horizontal="center" vertical="center" wrapText="1"/>
      <protection locked="0"/>
    </xf>
    <xf numFmtId="164" fontId="232"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2"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6"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239" fillId="31" borderId="5" xfId="0" applyFont="1" applyFill="1" applyBorder="1" applyAlignment="1">
      <alignment vertical="top" wrapText="1"/>
    </xf>
    <xf numFmtId="164" fontId="192"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1"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1"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5" fillId="2" borderId="2" xfId="0" applyNumberFormat="1" applyFont="1" applyFill="1" applyBorder="1" applyAlignment="1" applyProtection="1">
      <alignment horizontal="left" vertical="center" wrapText="1"/>
      <protection locked="0"/>
    </xf>
    <xf numFmtId="0" fontId="205" fillId="2" borderId="3" xfId="0" applyNumberFormat="1" applyFont="1" applyFill="1" applyBorder="1" applyAlignment="1" applyProtection="1">
      <alignment horizontal="left" vertical="center" wrapText="1"/>
      <protection locked="0"/>
    </xf>
    <xf numFmtId="0" fontId="205"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5" fillId="2" borderId="2" xfId="0" applyNumberFormat="1" applyFont="1" applyFill="1" applyBorder="1" applyAlignment="1" applyProtection="1">
      <alignment horizontal="left" vertical="center" wrapText="1"/>
      <protection locked="0"/>
    </xf>
    <xf numFmtId="1" fontId="205" fillId="2" borderId="3" xfId="0" applyNumberFormat="1" applyFont="1" applyFill="1" applyBorder="1" applyAlignment="1" applyProtection="1">
      <alignment horizontal="left" vertical="center" wrapText="1"/>
      <protection locked="0"/>
    </xf>
    <xf numFmtId="1" fontId="205"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5"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3"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6" fillId="2" borderId="2" xfId="0" applyNumberFormat="1" applyFont="1" applyFill="1" applyBorder="1" applyAlignment="1" applyProtection="1">
      <alignment vertical="top" wrapText="1"/>
      <protection locked="0"/>
    </xf>
    <xf numFmtId="0" fontId="206" fillId="2" borderId="3" xfId="0" applyNumberFormat="1" applyFont="1" applyFill="1" applyBorder="1" applyAlignment="1" applyProtection="1">
      <alignment vertical="top" wrapText="1"/>
      <protection locked="0"/>
    </xf>
    <xf numFmtId="0" fontId="206"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6"/>
    </tableStyle>
    <tableStyle name="Table Style 2" pivot="0" count="1">
      <tableStyleElement type="wholeTable" dxfId="395"/>
    </tableStyle>
    <tableStyle name="TableStyleMedium9 2" pivot="0" count="7">
      <tableStyleElement type="wholeTable" dxfId="394"/>
      <tableStyleElement type="headerRow" dxfId="393"/>
      <tableStyleElement type="totalRow" dxfId="392"/>
      <tableStyleElement type="firstColumn" dxfId="391"/>
      <tableStyleElement type="lastColumn" dxfId="390"/>
      <tableStyleElement type="firstRowStripe" dxfId="389"/>
      <tableStyleElement type="firstColumnStripe" dxfId="388"/>
    </tableStyle>
    <tableStyle name="TableStyleMedium9 3" pivot="0" count="7">
      <tableStyleElement type="wholeTable" dxfId="387"/>
      <tableStyleElement type="headerRow" dxfId="386"/>
      <tableStyleElement type="totalRow" dxfId="385"/>
      <tableStyleElement type="firstColumn" dxfId="384"/>
      <tableStyleElement type="lastColumn" dxfId="383"/>
      <tableStyleElement type="firstRowStripe" dxfId="382"/>
      <tableStyleElement type="firstColumnStripe" dxfId="381"/>
    </tableStyle>
    <tableStyle name="TimeTable" pivot="0" count="1">
      <tableStyleElement type="wholeTable" dxfId="380"/>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4285"/>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495424" y="1657350"/>
          <a:ext cx="6619876" cy="942974"/>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85900" y="3390900"/>
          <a:ext cx="6610351" cy="902328"/>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400550" y="15516226"/>
          <a:ext cx="3733800" cy="259556"/>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0730" y="5353915"/>
          <a:ext cx="6285634" cy="1062471"/>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41095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9">
  <autoFilter ref="A2:AH421"/>
  <tableColumns count="34">
    <tableColumn id="1" name="Version" dataDxfId="378"/>
    <tableColumn id="2" name="Error ID" dataDxfId="377"/>
    <tableColumn id="3" name="Date" dataDxfId="376"/>
    <tableColumn id="4" name="Staff"/>
    <tableColumn id="5" name="Worksheet"/>
    <tableColumn id="6" name="Cell" dataDxfId="375"/>
    <tableColumn id="7" name="Problem" dataDxfId="374"/>
    <tableColumn id="8" name="Solution" dataDxfId="373"/>
    <tableColumn id="9" name="Date2" dataDxfId="372"/>
    <tableColumn id="10" name="Base" dataDxfId="371"/>
    <tableColumn id="11" name="All" dataDxfId="37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9"/>
    <tableColumn id="32" name="21" dataDxfId="368"/>
    <tableColumn id="33" name="22" dataDxfId="367"/>
    <tableColumn id="34" name="23" dataDxfId="366"/>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75"/>
  <cols>
    <col min="1" max="1" width="46.375" style="103" customWidth="1"/>
    <col min="2" max="2" width="37.5" style="103" customWidth="1"/>
    <col min="3" max="3" width="43.25" style="15" customWidth="1"/>
    <col min="4" max="4" width="45" style="15" customWidth="1"/>
    <col min="5" max="5" width="52.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5">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403</v>
      </c>
      <c r="C65" s="106" t="s">
        <v>126</v>
      </c>
      <c r="D65" s="106" t="s">
        <v>127</v>
      </c>
      <c r="E65" s="106" t="s">
        <v>128</v>
      </c>
      <c r="F65" s="106" t="s">
        <v>129</v>
      </c>
      <c r="G65" s="71"/>
      <c r="H65" s="71"/>
      <c r="I65" s="71"/>
      <c r="J65" s="71"/>
      <c r="K65" s="71"/>
      <c r="L65" s="71"/>
    </row>
    <row r="66" spans="1:12">
      <c r="A66" s="105" t="s">
        <v>403</v>
      </c>
      <c r="B66" s="107" t="s">
        <v>0</v>
      </c>
      <c r="C66" s="107" t="s">
        <v>171</v>
      </c>
      <c r="D66" s="107" t="s">
        <v>381</v>
      </c>
      <c r="E66" s="107" t="s">
        <v>179</v>
      </c>
      <c r="F66" s="107" t="s">
        <v>379</v>
      </c>
      <c r="G66" s="71"/>
      <c r="H66" s="71"/>
      <c r="I66" s="71"/>
      <c r="J66" s="71"/>
      <c r="K66" s="71"/>
      <c r="L66" s="71"/>
    </row>
    <row r="67" spans="1:12">
      <c r="A67" s="105" t="str">
        <f>C.PermitType1</f>
        <v>Air quality</v>
      </c>
      <c r="B67" s="107" t="s">
        <v>0</v>
      </c>
      <c r="C67" s="107" t="s">
        <v>170</v>
      </c>
      <c r="D67" s="107" t="s">
        <v>172</v>
      </c>
      <c r="E67" s="107" t="s">
        <v>377</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380</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378</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503</v>
      </c>
      <c r="B119" s="94" t="s">
        <v>502</v>
      </c>
      <c r="C119" s="71"/>
      <c r="D119" s="71"/>
      <c r="E119" s="71"/>
      <c r="F119" s="71"/>
      <c r="G119" s="71"/>
      <c r="H119" s="71"/>
      <c r="I119" s="71"/>
      <c r="J119" s="71"/>
      <c r="K119" s="71"/>
    </row>
    <row r="120" spans="1:11">
      <c r="A120" s="88" t="s">
        <v>421</v>
      </c>
      <c r="B120" s="1026" t="s">
        <v>495</v>
      </c>
      <c r="C120" s="71"/>
      <c r="D120" s="71"/>
      <c r="E120" s="71"/>
      <c r="F120" s="71"/>
      <c r="G120" s="71"/>
      <c r="H120" s="71"/>
      <c r="I120" s="71"/>
      <c r="J120" s="71"/>
      <c r="K120" s="71"/>
    </row>
    <row r="121" spans="1:11">
      <c r="A121" s="88" t="s">
        <v>422</v>
      </c>
      <c r="B121" s="1026" t="s">
        <v>496</v>
      </c>
      <c r="C121" s="71"/>
      <c r="D121" s="71"/>
      <c r="E121" s="71"/>
      <c r="F121" s="71"/>
      <c r="G121" s="71"/>
      <c r="H121" s="71"/>
      <c r="I121" s="71"/>
      <c r="J121" s="71"/>
      <c r="K121" s="71"/>
    </row>
    <row r="122" spans="1:11">
      <c r="A122" s="88" t="s">
        <v>423</v>
      </c>
      <c r="B122" s="1026" t="s">
        <v>497</v>
      </c>
      <c r="C122" s="71"/>
      <c r="D122" s="71"/>
      <c r="E122" s="71"/>
      <c r="F122" s="71"/>
      <c r="G122" s="71"/>
      <c r="H122" s="71"/>
      <c r="I122" s="71"/>
      <c r="J122" s="71"/>
      <c r="K122" s="71"/>
    </row>
    <row r="123" spans="1:11">
      <c r="A123" s="88" t="s">
        <v>424</v>
      </c>
      <c r="B123" s="1026" t="s">
        <v>498</v>
      </c>
      <c r="C123" s="71"/>
      <c r="D123" s="71"/>
      <c r="E123" s="71"/>
      <c r="F123" s="71"/>
      <c r="G123" s="71"/>
      <c r="H123" s="71"/>
      <c r="I123" s="71"/>
      <c r="J123" s="71"/>
      <c r="K123" s="71"/>
    </row>
    <row r="124" spans="1:11">
      <c r="A124" s="88" t="s">
        <v>425</v>
      </c>
      <c r="B124" s="1026" t="s">
        <v>499</v>
      </c>
      <c r="C124" s="71"/>
      <c r="D124" s="71"/>
      <c r="E124" s="71"/>
      <c r="F124" s="71"/>
      <c r="G124" s="71"/>
      <c r="H124" s="71"/>
      <c r="I124" s="71"/>
      <c r="J124" s="71"/>
      <c r="K124" s="71"/>
    </row>
    <row r="125" spans="1:11">
      <c r="A125" s="88" t="s">
        <v>426</v>
      </c>
      <c r="B125" s="1026" t="s">
        <v>500</v>
      </c>
      <c r="C125" s="71"/>
      <c r="D125" s="71"/>
      <c r="E125" s="71"/>
      <c r="F125" s="71"/>
      <c r="G125" s="71"/>
      <c r="H125" s="71"/>
      <c r="I125" s="71"/>
      <c r="J125" s="71"/>
      <c r="K125" s="71"/>
    </row>
    <row r="126" spans="1:11">
      <c r="A126" s="88" t="s">
        <v>427</v>
      </c>
      <c r="B126" s="1026" t="s">
        <v>501</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504</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505</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506</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371</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1016</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1017</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5">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workbookViewId="0">
      <selection activeCell="G15" sqref="G15"/>
    </sheetView>
  </sheetViews>
  <sheetFormatPr defaultRowHeight="15.75" outlineLevelCol="1"/>
  <cols>
    <col min="1" max="1" width="13.75" style="601" customWidth="1"/>
    <col min="2" max="2" width="2.625" style="160" customWidth="1"/>
    <col min="3" max="3" width="2.75" style="178" customWidth="1"/>
    <col min="4" max="4" width="19.125" style="178" customWidth="1"/>
    <col min="5" max="5" width="2.625" style="178" customWidth="1"/>
    <col min="6" max="6" width="14.625" style="178" customWidth="1"/>
    <col min="7" max="7" width="2.875" style="228" customWidth="1"/>
    <col min="8" max="8" width="14.625" style="178" customWidth="1"/>
    <col min="9" max="9" width="2.875" style="178" customWidth="1"/>
    <col min="10" max="10" width="2.625" style="178" customWidth="1"/>
    <col min="11" max="20" width="1.875" style="178" customWidth="1"/>
    <col min="21" max="21" width="2.75" style="178" customWidth="1"/>
    <col min="22" max="22" width="2.625" style="160" customWidth="1"/>
    <col min="23" max="23" width="41" style="160" customWidth="1"/>
    <col min="24" max="24" width="9" style="160"/>
    <col min="25" max="25" width="8.25" style="178" hidden="1" customWidth="1" outlineLevel="1"/>
    <col min="26" max="26" width="5.375" style="1024" hidden="1" customWidth="1" outlineLevel="1"/>
    <col min="27" max="27" width="9" style="178" hidden="1" customWidth="1" outlineLevel="1"/>
    <col min="28" max="29" width="4.25" style="1024" hidden="1" customWidth="1" outlineLevel="1"/>
    <col min="30" max="30" width="23.875" style="874" hidden="1" customWidth="1" outlineLevel="1"/>
    <col min="31" max="31" width="13.75" style="178" hidden="1" customWidth="1" outlineLevel="1"/>
    <col min="32" max="32" width="9" style="178" collapsed="1"/>
    <col min="33" max="16384" width="9" style="178"/>
  </cols>
  <sheetData>
    <row r="1" spans="1:31" ht="21.75" customHeight="1">
      <c r="A1" s="1077" t="s">
        <v>415</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5" t="s">
        <v>101</v>
      </c>
      <c r="E2" s="1395"/>
      <c r="F2" s="1395"/>
      <c r="G2" s="1381" t="str">
        <f>C.2Name</f>
        <v>Grants Pass Limited Maintenance Plans for CO and PM10</v>
      </c>
      <c r="H2" s="1381"/>
      <c r="I2" s="1381"/>
      <c r="J2" s="1381"/>
      <c r="K2" s="1381"/>
      <c r="L2" s="1381"/>
      <c r="M2" s="1381"/>
      <c r="N2" s="1381"/>
      <c r="O2" s="1381"/>
      <c r="P2" s="1381"/>
      <c r="Q2" s="1381"/>
      <c r="R2" s="1381"/>
      <c r="S2" s="1381"/>
      <c r="T2" s="1381"/>
      <c r="U2" s="1103"/>
      <c r="V2" s="563"/>
      <c r="W2" s="180" t="s">
        <v>0</v>
      </c>
      <c r="X2" s="159"/>
      <c r="Y2" s="68"/>
      <c r="Z2" s="68"/>
      <c r="AA2" s="147"/>
      <c r="AB2" s="844"/>
      <c r="AC2" s="844"/>
      <c r="AD2" s="844"/>
      <c r="AE2" s="147"/>
    </row>
    <row r="3" spans="1:31" s="66" customFormat="1" ht="12.75" customHeight="1" thickTop="1">
      <c r="A3" s="601"/>
      <c r="B3" s="563"/>
      <c r="C3" s="1382"/>
      <c r="D3" s="1383"/>
      <c r="E3" s="1383"/>
      <c r="F3" s="1383"/>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15" t="s">
        <v>1024</v>
      </c>
      <c r="E4" s="1415"/>
      <c r="F4" s="1415"/>
      <c r="G4" s="1415"/>
      <c r="H4" s="1415"/>
      <c r="I4" s="1415"/>
      <c r="J4" s="1415"/>
      <c r="K4" s="1415"/>
      <c r="L4" s="1415"/>
      <c r="M4" s="1415"/>
      <c r="N4" s="1415"/>
      <c r="O4" s="1415"/>
      <c r="P4" s="1415"/>
      <c r="Q4" s="1415"/>
      <c r="R4" s="1415"/>
      <c r="S4" s="1415"/>
      <c r="T4" s="1415"/>
      <c r="U4" s="206"/>
      <c r="V4" s="563"/>
      <c r="W4" s="161"/>
      <c r="X4" s="161"/>
      <c r="Y4" s="146"/>
      <c r="Z4" s="146"/>
      <c r="AA4" s="146"/>
      <c r="AB4" s="146"/>
      <c r="AC4" s="146"/>
      <c r="AD4" s="146"/>
      <c r="AE4" s="146"/>
    </row>
    <row r="5" spans="1:31" s="66" customFormat="1" ht="15.75" customHeight="1">
      <c r="A5" s="601"/>
      <c r="B5" s="563"/>
      <c r="C5" s="202"/>
      <c r="D5" s="1416" t="s">
        <v>0</v>
      </c>
      <c r="E5" s="1417"/>
      <c r="F5" s="1417"/>
      <c r="G5" s="1417"/>
      <c r="H5" s="1417"/>
      <c r="I5" s="1417"/>
      <c r="J5" s="1417"/>
      <c r="K5" s="1417"/>
      <c r="L5" s="1417"/>
      <c r="M5" s="1417"/>
      <c r="N5" s="1417"/>
      <c r="O5" s="1417"/>
      <c r="P5" s="1417"/>
      <c r="Q5" s="1417"/>
      <c r="R5" s="1417"/>
      <c r="S5" s="1417"/>
      <c r="T5" s="1418"/>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21" t="s">
        <v>539</v>
      </c>
      <c r="G7" s="1421"/>
      <c r="H7" s="1421"/>
      <c r="I7" s="1421"/>
      <c r="J7" s="1421"/>
      <c r="K7" s="1421"/>
      <c r="L7" s="1421"/>
      <c r="M7" s="1421"/>
      <c r="N7" s="1421"/>
      <c r="O7" s="1421"/>
      <c r="P7" s="1421"/>
      <c r="Q7" s="1421"/>
      <c r="R7" s="1421"/>
      <c r="S7" s="1421"/>
      <c r="T7" s="1421"/>
      <c r="U7" s="206"/>
      <c r="V7" s="851"/>
      <c r="W7" s="1153" t="s">
        <v>1101</v>
      </c>
      <c r="X7" s="846"/>
      <c r="Y7" s="38"/>
      <c r="Z7" s="38"/>
      <c r="AA7" s="38"/>
      <c r="AB7" s="38"/>
      <c r="AC7" s="38"/>
      <c r="AD7" s="38"/>
      <c r="AE7" s="226"/>
    </row>
    <row r="8" spans="1:31" s="843" customFormat="1" ht="33.75" customHeight="1">
      <c r="A8" s="852"/>
      <c r="B8" s="851"/>
      <c r="C8" s="202"/>
      <c r="D8" s="657"/>
      <c r="E8" s="1115"/>
      <c r="F8" s="1421"/>
      <c r="G8" s="1421"/>
      <c r="H8" s="1421"/>
      <c r="I8" s="1421"/>
      <c r="J8" s="1421"/>
      <c r="K8" s="1421"/>
      <c r="L8" s="1421"/>
      <c r="M8" s="1421"/>
      <c r="N8" s="1421"/>
      <c r="O8" s="1421"/>
      <c r="P8" s="1421"/>
      <c r="Q8" s="1421"/>
      <c r="R8" s="1421"/>
      <c r="S8" s="1421"/>
      <c r="T8" s="1421"/>
      <c r="U8" s="206"/>
      <c r="V8" s="851"/>
      <c r="W8" s="1153" t="s">
        <v>1100</v>
      </c>
      <c r="X8" s="846"/>
      <c r="Y8" s="38"/>
      <c r="Z8" s="38"/>
      <c r="AA8" s="38"/>
      <c r="AB8" s="38"/>
      <c r="AC8" s="38"/>
      <c r="AD8" s="38"/>
      <c r="AE8" s="226"/>
    </row>
    <row r="9" spans="1:31" s="66" customFormat="1" ht="24" customHeight="1">
      <c r="A9" s="601"/>
      <c r="B9" s="563"/>
      <c r="C9" s="202"/>
      <c r="D9" s="120"/>
      <c r="E9" s="114"/>
      <c r="F9" s="1423" t="s">
        <v>249</v>
      </c>
      <c r="G9" s="1423"/>
      <c r="H9" s="1423" t="s">
        <v>250</v>
      </c>
      <c r="I9" s="1423"/>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11" t="s">
        <v>54</v>
      </c>
      <c r="E11" s="1411"/>
      <c r="F11" s="242">
        <v>2014</v>
      </c>
      <c r="G11" s="243">
        <v>2</v>
      </c>
      <c r="H11" s="236"/>
      <c r="I11" s="236"/>
      <c r="K11" s="373"/>
      <c r="L11" s="373"/>
      <c r="M11" s="373"/>
      <c r="N11" s="373"/>
      <c r="O11" s="373"/>
      <c r="P11" s="373"/>
      <c r="Q11" s="373"/>
      <c r="R11" s="373"/>
      <c r="S11" s="373"/>
      <c r="T11" s="373"/>
      <c r="U11" s="206"/>
      <c r="V11" s="563"/>
      <c r="W11" s="1091" t="s">
        <v>787</v>
      </c>
      <c r="X11" s="161"/>
      <c r="Y11" s="1015" t="str">
        <f>C.6SStartYr &amp;"-Q"&amp;C.6SStartQtr</f>
        <v>2014-Q2</v>
      </c>
      <c r="Z11" s="1030">
        <f>IF(AND(ISODD(C.6SStartYr),C.6SStartQtr&lt;3),7,IF(AND(ISEVEN(C.6SStartYr),C.6SStartQtr=1),7,0))</f>
        <v>0</v>
      </c>
      <c r="AA11" s="235" t="s">
        <v>0</v>
      </c>
      <c r="AB11" s="235"/>
      <c r="AC11" s="235"/>
      <c r="AD11" s="235"/>
      <c r="AE11" s="127"/>
    </row>
    <row r="12" spans="1:31" s="66" customFormat="1" ht="15.75" customHeight="1">
      <c r="A12" s="601"/>
      <c r="B12" s="563"/>
      <c r="C12" s="202"/>
      <c r="D12" s="1411" t="s">
        <v>211</v>
      </c>
      <c r="E12" s="1411"/>
      <c r="F12" s="242"/>
      <c r="G12" s="243"/>
      <c r="H12" s="1032"/>
      <c r="I12" s="243"/>
      <c r="J12" s="1406" t="str">
        <f>IF(AD12="not involved",AD12,"")</f>
        <v>not involved</v>
      </c>
      <c r="K12" s="1407"/>
      <c r="L12" s="1407"/>
      <c r="M12" s="1407"/>
      <c r="N12" s="1407"/>
      <c r="O12" s="1407"/>
      <c r="P12" s="1407"/>
      <c r="Q12" s="1407"/>
      <c r="R12" s="1407"/>
      <c r="S12" s="1407"/>
      <c r="T12" s="1407"/>
      <c r="U12" s="875"/>
      <c r="V12" s="563"/>
      <c r="W12" s="1091" t="s">
        <v>787</v>
      </c>
      <c r="X12" s="161"/>
      <c r="Y12" s="1027" t="str">
        <f>C.6SACStartYr&amp;"-Q"&amp;C.6SACStartQtr</f>
        <v>-Q</v>
      </c>
      <c r="Z12" s="1030">
        <f>IF(AND(ISODD(C.6SACStartYr),C.6SACStartQtr&lt;3),7,IF(AND(ISEVEN(C.6SACStartYr),C.6SACStartQtr=1),7,0))</f>
        <v>0</v>
      </c>
      <c r="AA12" s="1028" t="str">
        <f>C.6SACEndYr&amp;"-Q"&amp;C.7SACEndQtr</f>
        <v>-Q</v>
      </c>
      <c r="AB12" s="1030">
        <f>IF(AND(ISODD(C.6SACEndYr),C.7SACEndQtr&lt;3),7,IF(AND(ISEVEN(C.6SACEndYr),C.7SACEndQtr=1),7,0))</f>
        <v>0</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
      </c>
    </row>
    <row r="13" spans="1:31" s="66" customFormat="1" ht="15.75" customHeight="1">
      <c r="A13" s="601"/>
      <c r="B13" s="563"/>
      <c r="C13" s="202"/>
      <c r="D13" s="1411" t="s">
        <v>510</v>
      </c>
      <c r="E13" s="1411"/>
      <c r="F13" s="242">
        <v>2014</v>
      </c>
      <c r="G13" s="243">
        <v>3</v>
      </c>
      <c r="H13" s="1032">
        <v>2014</v>
      </c>
      <c r="I13" s="243">
        <v>4</v>
      </c>
      <c r="J13" s="1406" t="str">
        <f>IF(AD13="not involved",AD13,"")</f>
        <v/>
      </c>
      <c r="K13" s="1407"/>
      <c r="L13" s="1407"/>
      <c r="M13" s="1407"/>
      <c r="N13" s="1407"/>
      <c r="O13" s="1407"/>
      <c r="P13" s="1407"/>
      <c r="Q13" s="1407"/>
      <c r="R13" s="1407"/>
      <c r="S13" s="1407"/>
      <c r="T13" s="1407"/>
      <c r="U13" s="875"/>
      <c r="V13" s="563"/>
      <c r="W13" s="1091" t="s">
        <v>787</v>
      </c>
      <c r="X13" s="161"/>
      <c r="Y13" s="1027" t="str">
        <f>C.6SNoticeStartYr&amp;"-Q"&amp;C.6SNoticeStartQtr</f>
        <v>2014-Q3</v>
      </c>
      <c r="Z13" s="1030">
        <f>IF(AND(ISODD(C.6SNoticeStartYr),C.6SNoticeStartQtr&lt;3),7,IF(AND(ISEVEN(C.6SNoticeStartYr),C.6SNoticeStartQtr=1),7,0))</f>
        <v>0</v>
      </c>
      <c r="AA13" s="1029" t="str">
        <f>C.6SNoticeEndYr&amp;"-Q"&amp;C.6SNoticeEndQtr</f>
        <v>2014-Q4</v>
      </c>
      <c r="AB13" s="1030">
        <f>IF(AND(ISODD(C.6SNoticeEndYr),C.6SNoticeEndQtr&lt;3),7,IF(AND(ISEVEN(C.6SNoticeEndYr),C.6SNoticeEndQtr=1),7,0))</f>
        <v>0</v>
      </c>
      <c r="AC13" s="1030">
        <f>IF(C.6SNoticeEndYr-C.6SNoticeStartYr&gt;0,7,0)</f>
        <v>0</v>
      </c>
      <c r="AD13" s="234" t="str">
        <f>IF('3Stakeholders'!Z50=1,"not involved", C.6SNoticeStart.YrQtr&amp;" to "&amp;C.6SNoticeEnd.YrQtr)</f>
        <v>2014-Q3 to 2014-Q4</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Start date is out of sequence.</v>
      </c>
    </row>
    <row r="14" spans="1:31" s="66" customFormat="1" ht="15.75" customHeight="1">
      <c r="A14" s="601"/>
      <c r="B14" s="563"/>
      <c r="C14" s="202"/>
      <c r="D14" s="1411" t="s">
        <v>511</v>
      </c>
      <c r="E14" s="1411"/>
      <c r="F14" s="242">
        <v>2015</v>
      </c>
      <c r="G14" s="243">
        <v>1</v>
      </c>
      <c r="H14" s="237"/>
      <c r="I14" s="237"/>
      <c r="J14" s="1409" t="str">
        <f t="shared" ref="J14:J15" si="0">AE14</f>
        <v>Start date is out of sequence.</v>
      </c>
      <c r="K14" s="1409"/>
      <c r="L14" s="1409"/>
      <c r="M14" s="1409"/>
      <c r="N14" s="1409"/>
      <c r="O14" s="1409"/>
      <c r="P14" s="1409"/>
      <c r="Q14" s="1409"/>
      <c r="R14" s="1409"/>
      <c r="S14" s="1409"/>
      <c r="T14" s="1409"/>
      <c r="U14" s="1410"/>
      <c r="V14" s="563"/>
      <c r="W14" s="1091" t="s">
        <v>787</v>
      </c>
      <c r="X14" s="161"/>
      <c r="Y14" s="1027" t="str">
        <f>C.6SEQCYr&amp;"-Q"&amp;C.6SEQCQtr</f>
        <v>2015-Q1</v>
      </c>
      <c r="Z14" s="1030">
        <f>IF(AND(ISODD(C.6SEQCYr),C.6SEQCQtr&lt;3),7,IF(AND(ISEVEN(C.6SEQCYr),C.6SEQCQtr=1),7,0))</f>
        <v>7</v>
      </c>
      <c r="AA14" s="119"/>
      <c r="AB14" s="119"/>
      <c r="AC14" s="119"/>
      <c r="AD14" s="38"/>
      <c r="AE14" s="51" t="str">
        <f>IF(OR(C.6SEQC.YrQtr&lt;C.6SNoticeStart.YrQtr,C.6SEQC.YrQtr&lt;C.6SACStart.YrQtr,C.6SEQC.YrQtr&lt;C.6Start.YrQtr),"Start date is out of sequence.","")</f>
        <v>Start date is out of sequence.</v>
      </c>
    </row>
    <row r="15" spans="1:31" s="66" customFormat="1" ht="15.75" customHeight="1">
      <c r="A15" s="601"/>
      <c r="B15" s="563"/>
      <c r="C15" s="202"/>
      <c r="D15" s="1411" t="s">
        <v>55</v>
      </c>
      <c r="E15" s="1411"/>
      <c r="F15" s="242">
        <v>2015</v>
      </c>
      <c r="G15" s="243">
        <v>1</v>
      </c>
      <c r="H15" s="237"/>
      <c r="I15" s="237"/>
      <c r="J15" s="1409" t="str">
        <f t="shared" si="0"/>
        <v>Start date is out of sequence.</v>
      </c>
      <c r="K15" s="1409"/>
      <c r="L15" s="1409"/>
      <c r="M15" s="1409"/>
      <c r="N15" s="1409"/>
      <c r="O15" s="1409"/>
      <c r="P15" s="1409"/>
      <c r="Q15" s="1409"/>
      <c r="R15" s="1409"/>
      <c r="S15" s="1409"/>
      <c r="T15" s="1409"/>
      <c r="U15" s="1410"/>
      <c r="V15" s="563"/>
      <c r="W15" s="1091" t="s">
        <v>787</v>
      </c>
      <c r="X15" s="161"/>
      <c r="Y15" s="123" t="str">
        <f>C.6SEffectiveYr&amp;"-Q"&amp;C.6SEffectiveQtr</f>
        <v>2015-Q1</v>
      </c>
      <c r="Z15" s="1030">
        <f>IF(AND(ISODD(C.6SEffectiveYr),C.6SEffectiveQtr&lt;3),7,IF(AND(ISEVEN(C.6SEffectiveYr),C.6SEffectiveQtr=1),7,0))</f>
        <v>7</v>
      </c>
      <c r="AA15" s="119"/>
      <c r="AB15" s="119"/>
      <c r="AC15" s="119"/>
      <c r="AD15" s="119"/>
      <c r="AE15" s="51" t="str">
        <f>IF(OR(C.6SEffective.YrQtr&lt;C.6SEQC.YrQtr,C.6SEffective.YrQtr&lt;C.6SNoticeStart.YrQtr,C.6SEffective.YrQtr&lt;C.6SACStart.YrQtr,C.6SEffective.YrQtr&lt;C.6Start.YrQtr),"Start date is out of sequence.","")</f>
        <v>Start date is out of sequence.</v>
      </c>
    </row>
    <row r="16" spans="1:31" s="2" customFormat="1" ht="30.75" customHeight="1">
      <c r="A16" s="601"/>
      <c r="B16" s="563" t="s">
        <v>0</v>
      </c>
      <c r="C16" s="208"/>
      <c r="D16" s="1419" t="s">
        <v>242</v>
      </c>
      <c r="E16" s="1419"/>
      <c r="F16" s="1419"/>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22" t="s">
        <v>219</v>
      </c>
      <c r="G17" s="1422"/>
      <c r="H17" s="1422"/>
      <c r="I17" s="246"/>
      <c r="J17" s="215"/>
      <c r="K17" s="1420" t="s">
        <v>244</v>
      </c>
      <c r="L17" s="1420"/>
      <c r="M17" s="1420"/>
      <c r="N17" s="1420"/>
      <c r="O17" s="1420"/>
      <c r="P17" s="1420"/>
      <c r="Q17" s="1420"/>
      <c r="R17" s="1420"/>
      <c r="S17" s="1420"/>
      <c r="T17" s="1420"/>
      <c r="U17" s="209"/>
      <c r="V17" s="563"/>
      <c r="W17" s="162" t="s">
        <v>0</v>
      </c>
      <c r="X17" s="174"/>
      <c r="Y17" s="115" t="s">
        <v>0</v>
      </c>
      <c r="Z17" s="115"/>
      <c r="AA17" s="115"/>
      <c r="AB17" s="115"/>
      <c r="AC17" s="115"/>
      <c r="AD17" s="115"/>
      <c r="AE17" s="115" t="s">
        <v>0</v>
      </c>
    </row>
    <row r="18" spans="1:31" s="2" customFormat="1" ht="29.25" customHeight="1">
      <c r="A18" s="601"/>
      <c r="B18" s="563"/>
      <c r="C18" s="211"/>
      <c r="D18" s="1376" t="s">
        <v>217</v>
      </c>
      <c r="E18" s="1377"/>
      <c r="F18" s="1377"/>
      <c r="G18" s="1414"/>
      <c r="H18" s="1414"/>
      <c r="I18" s="1414"/>
      <c r="J18" s="1414"/>
      <c r="K18" s="1363"/>
      <c r="L18" s="1363"/>
      <c r="M18" s="1363"/>
      <c r="N18" s="1363"/>
      <c r="O18" s="1363"/>
      <c r="P18" s="1363"/>
      <c r="Q18" s="1363"/>
      <c r="R18" s="1363"/>
      <c r="S18" s="1363"/>
      <c r="T18" s="1363"/>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42" t="s">
        <v>413</v>
      </c>
      <c r="E20" s="1342"/>
      <c r="F20" s="230"/>
      <c r="G20" s="230"/>
      <c r="H20" s="1412" t="s">
        <v>0</v>
      </c>
      <c r="I20" s="1413"/>
      <c r="J20" s="1413"/>
      <c r="K20" s="1336" t="s">
        <v>33</v>
      </c>
      <c r="L20" s="1337"/>
      <c r="M20" s="1337"/>
      <c r="N20" s="1337"/>
      <c r="O20" s="1337"/>
      <c r="P20" s="1337"/>
      <c r="Q20" s="1337"/>
      <c r="R20" s="1337"/>
      <c r="S20" s="1337"/>
      <c r="T20" s="1338"/>
      <c r="U20" s="201"/>
      <c r="V20" s="563"/>
      <c r="W20" s="313" t="s">
        <v>757</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08" t="s">
        <v>247</v>
      </c>
      <c r="I21" s="1408"/>
      <c r="J21" s="1408"/>
      <c r="K21" s="199">
        <v>1</v>
      </c>
      <c r="L21" s="184">
        <v>2</v>
      </c>
      <c r="M21" s="185">
        <v>3</v>
      </c>
      <c r="N21" s="186">
        <v>4</v>
      </c>
      <c r="O21" s="187">
        <v>5</v>
      </c>
      <c r="P21" s="188">
        <v>6</v>
      </c>
      <c r="Q21" s="189">
        <v>7</v>
      </c>
      <c r="R21" s="190">
        <v>8</v>
      </c>
      <c r="S21" s="191">
        <v>9</v>
      </c>
      <c r="T21" s="192">
        <v>10</v>
      </c>
      <c r="U21" s="205"/>
      <c r="V21" s="563"/>
      <c r="W21" s="313" t="s">
        <v>758</v>
      </c>
      <c r="X21" s="167"/>
      <c r="Y21" s="414">
        <f>VLOOKUP($K20,C.VL_ComplexityRating,2,FALSE)</f>
        <v>6</v>
      </c>
      <c r="Z21" s="34"/>
      <c r="AA21" s="873" t="str">
        <f>K20</f>
        <v>potential for moderate complexity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52" t="s">
        <v>0</v>
      </c>
      <c r="E25" s="1253"/>
      <c r="F25" s="1253"/>
      <c r="G25" s="1253"/>
      <c r="H25" s="1253"/>
      <c r="I25" s="1253"/>
      <c r="J25" s="1253"/>
      <c r="K25" s="1253"/>
      <c r="L25" s="1253"/>
      <c r="M25" s="1253"/>
      <c r="N25" s="1253"/>
      <c r="O25" s="1253"/>
      <c r="P25" s="1253"/>
      <c r="Q25" s="1253"/>
      <c r="R25" s="1253"/>
      <c r="S25" s="1253"/>
      <c r="T25" s="1254"/>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33"/>
      <c r="E27" s="1334"/>
      <c r="F27" s="1334"/>
      <c r="G27" s="1334"/>
      <c r="H27" s="1334"/>
      <c r="I27" s="1334"/>
      <c r="J27" s="1334"/>
      <c r="K27" s="1334"/>
      <c r="L27" s="1334"/>
      <c r="M27" s="1334"/>
      <c r="N27" s="1334"/>
      <c r="O27" s="1334"/>
      <c r="P27" s="1334"/>
      <c r="Q27" s="1334"/>
      <c r="R27" s="1334"/>
      <c r="S27" s="1334"/>
      <c r="T27" s="1335"/>
      <c r="U27" s="201"/>
      <c r="V27" s="563"/>
      <c r="X27" s="161"/>
      <c r="Y27" s="122"/>
      <c r="Z27" s="122"/>
      <c r="AA27" s="147"/>
      <c r="AB27" s="844"/>
      <c r="AC27" s="844"/>
      <c r="AD27" s="844"/>
      <c r="AE27" s="147"/>
    </row>
    <row r="28" spans="1:31">
      <c r="B28" s="563"/>
      <c r="C28" s="213"/>
      <c r="D28" s="214"/>
      <c r="E28" s="214"/>
      <c r="F28" s="214"/>
      <c r="G28" s="214"/>
      <c r="H28" s="1226">
        <f ca="1">TODAY()</f>
        <v>41810</v>
      </c>
      <c r="I28" s="1226"/>
      <c r="J28" s="1226"/>
      <c r="K28" s="1226"/>
      <c r="L28" s="1226"/>
      <c r="M28" s="1226"/>
      <c r="N28" s="1226"/>
      <c r="O28" s="1226"/>
      <c r="P28" s="1226"/>
      <c r="Q28" s="1226"/>
      <c r="R28" s="1226"/>
      <c r="S28" s="1226"/>
      <c r="T28" s="1226"/>
      <c r="U28" s="1227"/>
      <c r="V28" s="563"/>
    </row>
    <row r="29" spans="1:31">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topLeftCell="A7" workbookViewId="0">
      <selection activeCell="K64" sqref="K64"/>
    </sheetView>
  </sheetViews>
  <sheetFormatPr defaultRowHeight="15.75" outlineLevelCol="1"/>
  <cols>
    <col min="1" max="1" width="13.75" style="602" customWidth="1"/>
    <col min="2" max="2" width="2.625" style="160" customWidth="1"/>
    <col min="3" max="3" width="2.75" style="178" customWidth="1"/>
    <col min="4" max="4" width="19.375" style="178" customWidth="1"/>
    <col min="5" max="5" width="2.625" style="178" customWidth="1"/>
    <col min="6" max="6" width="13" style="178" customWidth="1"/>
    <col min="7" max="7" width="15.375" style="178" customWidth="1"/>
    <col min="8" max="8" width="12" style="178" customWidth="1"/>
    <col min="9" max="9" width="2.625" style="178" customWidth="1"/>
    <col min="10" max="19" width="1.875" style="178" customWidth="1"/>
    <col min="20" max="20" width="2.75" style="178" customWidth="1"/>
    <col min="21" max="21" width="2.625" style="160" customWidth="1"/>
    <col min="22" max="22" width="31.5" style="571" customWidth="1"/>
    <col min="23" max="23" width="9" style="160"/>
    <col min="24" max="25" width="9" style="178" hidden="1" customWidth="1" outlineLevel="1"/>
    <col min="26" max="26" width="16.625" style="178" hidden="1" customWidth="1" outlineLevel="1"/>
    <col min="27" max="27" width="8.875" style="379" hidden="1" customWidth="1" outlineLevel="1"/>
    <col min="28" max="28" width="25.75" style="178" hidden="1" customWidth="1" outlineLevel="1"/>
    <col min="29" max="29" width="19.875" customWidth="1" collapsed="1"/>
    <col min="58" max="16384" width="9" style="178"/>
  </cols>
  <sheetData>
    <row r="1" spans="1:59" ht="21" customHeight="1">
      <c r="A1" s="1077" t="s">
        <v>415</v>
      </c>
      <c r="B1" s="563"/>
      <c r="C1" s="563"/>
      <c r="D1" s="563"/>
      <c r="E1" s="563"/>
      <c r="F1" s="563"/>
      <c r="G1" s="563"/>
      <c r="H1" s="563"/>
      <c r="I1" s="563"/>
      <c r="J1" s="563"/>
      <c r="K1" s="563"/>
      <c r="L1" s="563"/>
      <c r="M1" s="563"/>
      <c r="N1" s="563"/>
      <c r="O1" s="563"/>
      <c r="P1" s="563"/>
      <c r="Q1" s="563"/>
      <c r="R1" s="563"/>
      <c r="S1" s="563"/>
      <c r="T1" s="563"/>
      <c r="U1" s="563"/>
      <c r="X1" s="1454" t="s">
        <v>306</v>
      </c>
      <c r="Y1" s="1454"/>
      <c r="Z1" s="1454"/>
      <c r="AA1" s="626"/>
      <c r="AB1" s="147"/>
    </row>
    <row r="2" spans="1:59" s="74" customFormat="1" ht="30" customHeight="1" thickBot="1">
      <c r="A2" s="602"/>
      <c r="B2" s="563"/>
      <c r="C2" s="1101">
        <v>7</v>
      </c>
      <c r="D2" s="1395" t="s">
        <v>298</v>
      </c>
      <c r="E2" s="1395"/>
      <c r="F2" s="1395"/>
      <c r="G2" s="1381" t="str">
        <f>C.2Name</f>
        <v>Grants Pass Limited Maintenance Plans for CO and PM10</v>
      </c>
      <c r="H2" s="1381"/>
      <c r="I2" s="1381"/>
      <c r="J2" s="1381"/>
      <c r="K2" s="1381"/>
      <c r="L2" s="1381"/>
      <c r="M2" s="1381"/>
      <c r="N2" s="1381"/>
      <c r="O2" s="1381"/>
      <c r="P2" s="1381"/>
      <c r="Q2" s="1381"/>
      <c r="R2" s="1381"/>
      <c r="S2" s="1381"/>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16" t="s">
        <v>1112</v>
      </c>
      <c r="F5" s="1458"/>
      <c r="G5" s="1459"/>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16" t="s">
        <v>0</v>
      </c>
      <c r="F6" s="1458"/>
      <c r="G6" s="1459"/>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320" t="s">
        <v>296</v>
      </c>
      <c r="E7" s="1320"/>
      <c r="F7" s="1320"/>
      <c r="G7" s="1320"/>
      <c r="H7" s="714"/>
      <c r="I7" s="715"/>
      <c r="J7" s="1386" t="s">
        <v>284</v>
      </c>
      <c r="K7" s="1387"/>
      <c r="L7" s="1387"/>
      <c r="M7" s="1387"/>
      <c r="N7" s="1387"/>
      <c r="O7" s="1387"/>
      <c r="P7" s="1387"/>
      <c r="Q7" s="1387"/>
      <c r="R7" s="1387"/>
      <c r="S7" s="1388"/>
      <c r="T7" s="201"/>
      <c r="U7" s="563"/>
      <c r="V7" s="573" t="s">
        <v>764</v>
      </c>
      <c r="W7" s="161"/>
      <c r="X7" s="33">
        <f>VLOOKUP(J7,C.VL_SeverityRating,2,FALSE)</f>
        <v>5</v>
      </c>
      <c r="Y7" s="872" t="str">
        <f>J7</f>
        <v>medium</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320"/>
      <c r="E8" s="1320"/>
      <c r="F8" s="1320"/>
      <c r="G8" s="1320"/>
      <c r="H8" s="1460" t="s">
        <v>280</v>
      </c>
      <c r="I8" s="1461"/>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53" t="s">
        <v>141</v>
      </c>
      <c r="E10" s="1353"/>
      <c r="F10" s="1353"/>
      <c r="G10" s="1353"/>
      <c r="H10" s="1442"/>
      <c r="I10" s="1443"/>
      <c r="J10" s="1443"/>
      <c r="K10" s="1443"/>
      <c r="L10" s="1443"/>
      <c r="M10" s="1443"/>
      <c r="N10" s="1443"/>
      <c r="O10" s="1443"/>
      <c r="P10" s="1443"/>
      <c r="Q10" s="1443"/>
      <c r="R10" s="1443"/>
      <c r="S10" s="1444"/>
      <c r="T10" s="206"/>
      <c r="U10" s="563"/>
      <c r="V10" s="575"/>
      <c r="W10" s="285"/>
      <c r="X10" s="284" t="b">
        <v>0</v>
      </c>
      <c r="Y10" s="1425" t="str">
        <f>IF($X10=FALSE,"",IF(COUNTIF($X$11:$X16,TRUE)=0,LOWER($D10),IF(COUNTIF($X$11:$X16,TRUE)=1,LOWER($D10)&amp;" and ",LOWER($D10)&amp;", ")))</f>
        <v/>
      </c>
      <c r="Z10" s="1425"/>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53" t="s">
        <v>297</v>
      </c>
      <c r="E11" s="1353"/>
      <c r="F11" s="1353"/>
      <c r="G11" s="1353"/>
      <c r="H11" s="1463"/>
      <c r="I11" s="1464"/>
      <c r="J11" s="1464"/>
      <c r="K11" s="1464"/>
      <c r="L11" s="1464"/>
      <c r="M11" s="1464"/>
      <c r="N11" s="1464"/>
      <c r="O11" s="1464"/>
      <c r="P11" s="1464"/>
      <c r="Q11" s="1464"/>
      <c r="R11" s="1464"/>
      <c r="S11" s="1465"/>
      <c r="T11" s="206"/>
      <c r="U11" s="563"/>
      <c r="V11" s="575"/>
      <c r="W11" s="285"/>
      <c r="X11" s="284" t="b">
        <v>0</v>
      </c>
      <c r="Y11" s="1425" t="str">
        <f>IF($X11=FALSE,"",IF(COUNTIF($X$12:$X16,TRUE)=0,LOWER($D11),IF(COUNTIF($X$12:$X16,TRUE)=1,LOWER($D11)&amp;" and ",LOWER($D11)&amp;", ")))</f>
        <v/>
      </c>
      <c r="Z11" s="1425"/>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56" t="s">
        <v>142</v>
      </c>
      <c r="E12" s="1356"/>
      <c r="F12" s="1356"/>
      <c r="G12" s="1356"/>
      <c r="H12" s="1468"/>
      <c r="I12" s="1468"/>
      <c r="J12" s="1468"/>
      <c r="K12" s="1468"/>
      <c r="L12" s="1468"/>
      <c r="M12" s="1468"/>
      <c r="N12" s="1468"/>
      <c r="O12" s="1468"/>
      <c r="P12" s="1468"/>
      <c r="Q12" s="1468"/>
      <c r="R12" s="1468"/>
      <c r="S12" s="1468"/>
      <c r="T12" s="206"/>
      <c r="U12" s="563"/>
      <c r="V12" s="575"/>
      <c r="W12" s="285"/>
      <c r="X12" s="284" t="b">
        <v>0</v>
      </c>
      <c r="Y12" s="1425" t="str">
        <f>IF($X12=FALSE,"",IF(COUNTIF($X$13:$X16,TRUE)=0,LOWER($D12),IF(COUNTIF($X$13:$X16,TRUE)=1,LOWER($D12)&amp;" and ",LOWER($D12)&amp;", ")))</f>
        <v/>
      </c>
      <c r="Z12" s="1425"/>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56" t="s">
        <v>301</v>
      </c>
      <c r="E13" s="1356"/>
      <c r="F13" s="1356"/>
      <c r="G13" s="1356"/>
      <c r="H13" s="1442"/>
      <c r="I13" s="1443"/>
      <c r="J13" s="1443"/>
      <c r="K13" s="1443"/>
      <c r="L13" s="1443"/>
      <c r="M13" s="1443"/>
      <c r="N13" s="1443"/>
      <c r="O13" s="1443"/>
      <c r="P13" s="1443"/>
      <c r="Q13" s="1443"/>
      <c r="R13" s="1443"/>
      <c r="S13" s="1444"/>
      <c r="T13" s="206"/>
      <c r="U13" s="563"/>
      <c r="V13" s="575"/>
      <c r="W13" s="285"/>
      <c r="X13" s="284" t="b">
        <v>0</v>
      </c>
      <c r="Y13" s="1425" t="str">
        <f>IF($X13=FALSE,"",IF(COUNTIF($X$14:$X16,TRUE)=0,LOWER($D13),IF(COUNTIF($X$14:$X16,TRUE)=1,LOWER($D13)&amp;" and ",LOWER($D13)&amp;", ")))</f>
        <v/>
      </c>
      <c r="Z13" s="1425"/>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56" t="s">
        <v>428</v>
      </c>
      <c r="E14" s="1356"/>
      <c r="F14" s="1356"/>
      <c r="G14" s="1356"/>
      <c r="H14" s="1442"/>
      <c r="I14" s="1443"/>
      <c r="J14" s="1443"/>
      <c r="K14" s="1443"/>
      <c r="L14" s="1443"/>
      <c r="M14" s="1443"/>
      <c r="N14" s="1443"/>
      <c r="O14" s="1443"/>
      <c r="P14" s="1443"/>
      <c r="Q14" s="1443"/>
      <c r="R14" s="1443"/>
      <c r="S14" s="1444"/>
      <c r="T14" s="206"/>
      <c r="U14" s="563"/>
      <c r="V14" s="575"/>
      <c r="W14" s="285"/>
      <c r="X14" s="284" t="b">
        <v>0</v>
      </c>
      <c r="Y14" s="1425" t="str">
        <f>IF($X14=FALSE,"",IF(COUNTIF($X$15:$X16,TRUE)=0,LOWER($D14),IF(COUNTIF($X$15:$X16,TRUE)=1,LOWER($D14)&amp;" and ",LOWER($D14)&amp;", ")))</f>
        <v/>
      </c>
      <c r="Z14" s="1425"/>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66" t="s">
        <v>299</v>
      </c>
      <c r="E15" s="1466"/>
      <c r="F15" s="1466"/>
      <c r="G15" s="1467"/>
      <c r="H15" s="1442" t="s">
        <v>1111</v>
      </c>
      <c r="I15" s="1443"/>
      <c r="J15" s="1443"/>
      <c r="K15" s="1443"/>
      <c r="L15" s="1443"/>
      <c r="M15" s="1443"/>
      <c r="N15" s="1443"/>
      <c r="O15" s="1443"/>
      <c r="P15" s="1443"/>
      <c r="Q15" s="1443"/>
      <c r="R15" s="1443"/>
      <c r="S15" s="1444"/>
      <c r="T15" s="206"/>
      <c r="U15" s="563"/>
      <c r="V15" s="575"/>
      <c r="W15" s="285"/>
      <c r="X15" s="284" t="b">
        <v>1</v>
      </c>
      <c r="Y15" s="1425" t="str">
        <f>IF($X15=FALSE,"",IF($X$16=FALSE,LOWER($D15),LOWER($D15)&amp;" and "))</f>
        <v>enter custom financial consequence here</v>
      </c>
      <c r="Z15" s="1425"/>
      <c r="AA15" s="888">
        <f t="shared" si="0"/>
        <v>7</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68" t="s">
        <v>299</v>
      </c>
      <c r="E16" s="1368"/>
      <c r="F16" s="1368"/>
      <c r="G16" s="1368"/>
      <c r="H16" s="1442"/>
      <c r="I16" s="1443"/>
      <c r="J16" s="1443"/>
      <c r="K16" s="1443"/>
      <c r="L16" s="1443"/>
      <c r="M16" s="1443"/>
      <c r="N16" s="1443"/>
      <c r="O16" s="1443"/>
      <c r="P16" s="1443"/>
      <c r="Q16" s="1443"/>
      <c r="R16" s="1443"/>
      <c r="S16" s="1444"/>
      <c r="T16" s="206"/>
      <c r="U16" s="563"/>
      <c r="V16" s="575"/>
      <c r="W16" s="285"/>
      <c r="X16" s="284" t="b">
        <v>0</v>
      </c>
      <c r="Y16" s="1425" t="str">
        <f>IF($X16=FALSE,"",LOWER($D16))</f>
        <v/>
      </c>
      <c r="Z16" s="1425"/>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55" t="str">
        <f>IF(COUNTIF(X10:X16,TRUE),Y10&amp;Y11&amp;Y12&amp;Y13&amp;Y14&amp;Y15&amp;Y16&amp;".","")</f>
        <v>enter custom financial consequence here.</v>
      </c>
      <c r="Y17" s="1456"/>
      <c r="Z17" s="1457"/>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407</v>
      </c>
      <c r="B18" s="563"/>
      <c r="C18" s="347" t="s">
        <v>0</v>
      </c>
      <c r="D18" s="1462" t="s">
        <v>305</v>
      </c>
      <c r="E18" s="1462"/>
      <c r="F18" s="1462"/>
      <c r="G18" s="348"/>
      <c r="H18" s="1441" t="s">
        <v>302</v>
      </c>
      <c r="I18" s="1441"/>
      <c r="J18" s="1441"/>
      <c r="K18" s="1441"/>
      <c r="L18" s="1441"/>
      <c r="M18" s="1441"/>
      <c r="N18" s="1441"/>
      <c r="O18" s="1441"/>
      <c r="P18" s="1441"/>
      <c r="Q18" s="1441"/>
      <c r="R18" s="1441"/>
      <c r="S18" s="1441"/>
      <c r="T18" s="349"/>
      <c r="U18" s="563"/>
      <c r="V18" s="584"/>
      <c r="W18" s="286"/>
      <c r="X18" s="1424" t="str">
        <f>IF(COUNTIF(X19:X21,FALSE)=3,"Does not apply","Required")</f>
        <v>Does not apply</v>
      </c>
      <c r="Y18" s="1424"/>
      <c r="Z18" s="1424"/>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404</v>
      </c>
      <c r="E19" s="13"/>
      <c r="F19" s="328"/>
      <c r="G19" s="326"/>
      <c r="H19" s="1440" t="str">
        <f>X18</f>
        <v>Does not apply</v>
      </c>
      <c r="I19" s="1440"/>
      <c r="J19" s="1440"/>
      <c r="K19" s="1440"/>
      <c r="L19" s="1440"/>
      <c r="M19" s="1440"/>
      <c r="N19" s="1440"/>
      <c r="O19" s="1440"/>
      <c r="P19" s="1440"/>
      <c r="Q19" s="1440"/>
      <c r="R19" s="1440"/>
      <c r="S19" s="1440"/>
      <c r="T19" s="349"/>
      <c r="U19" s="563"/>
      <c r="W19" s="286"/>
      <c r="X19" s="284" t="b">
        <v>0</v>
      </c>
      <c r="Y19" s="1425" t="str">
        <f>IF($X19=FALSE,"",IF(COUNTIF($X$20:$X21,TRUE)=0,LOWER($D19),IF(COUNTIF($X$20:$X21,TRUE)=1,LOWER($D19)&amp;" and ",LOWER($D19)&amp;", ")))</f>
        <v/>
      </c>
      <c r="Z19" s="1425"/>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405</v>
      </c>
      <c r="E20" s="114"/>
      <c r="F20" s="328"/>
      <c r="G20" s="326"/>
      <c r="H20" s="1427" t="s">
        <v>303</v>
      </c>
      <c r="I20" s="1427"/>
      <c r="J20" s="1427"/>
      <c r="K20" s="1427"/>
      <c r="L20" s="1427"/>
      <c r="M20" s="1427"/>
      <c r="N20" s="1427"/>
      <c r="O20" s="1427"/>
      <c r="P20" s="1427"/>
      <c r="Q20" s="1427"/>
      <c r="R20" s="1427"/>
      <c r="S20" s="1427"/>
      <c r="T20" s="349"/>
      <c r="U20" s="563"/>
      <c r="V20" s="584"/>
      <c r="W20" s="286"/>
      <c r="X20" s="284" t="b">
        <v>0</v>
      </c>
      <c r="Y20" s="1425" t="str">
        <f>IF($X20=FALSE,"",IF($X$21=FALSE,LOWER($D20),LOWER($D20)&amp;" and "))</f>
        <v/>
      </c>
      <c r="Z20" s="1426"/>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406</v>
      </c>
      <c r="E21" s="114"/>
      <c r="F21" s="328"/>
      <c r="G21" s="326"/>
      <c r="H21" s="1427" t="s">
        <v>304</v>
      </c>
      <c r="I21" s="1427"/>
      <c r="J21" s="1427"/>
      <c r="K21" s="1427"/>
      <c r="L21" s="1427"/>
      <c r="M21" s="1427"/>
      <c r="N21" s="1427"/>
      <c r="O21" s="1427"/>
      <c r="P21" s="1427"/>
      <c r="Q21" s="1427"/>
      <c r="R21" s="1427"/>
      <c r="S21" s="1427"/>
      <c r="T21" s="349"/>
      <c r="U21" s="563"/>
      <c r="V21" s="584"/>
      <c r="W21" s="286"/>
      <c r="X21" s="284" t="b">
        <v>0</v>
      </c>
      <c r="Y21" s="1425" t="str">
        <f>IF($X21=FALSE,"",LOWER($D21))</f>
        <v/>
      </c>
      <c r="Z21" s="1426"/>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31" t="s">
        <v>513</v>
      </c>
      <c r="H23" s="1432"/>
      <c r="I23" s="1432"/>
      <c r="J23" s="1432"/>
      <c r="K23" s="1432"/>
      <c r="L23" s="1432"/>
      <c r="M23" s="1432"/>
      <c r="N23" s="1432"/>
      <c r="O23" s="1432"/>
      <c r="P23" s="1432"/>
      <c r="Q23" s="1432"/>
      <c r="R23" s="1432"/>
      <c r="S23" s="1433"/>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37" t="s">
        <v>113</v>
      </c>
      <c r="E24" s="1437"/>
      <c r="F24" s="760"/>
      <c r="G24" s="761" t="s">
        <v>114</v>
      </c>
      <c r="H24" s="762"/>
      <c r="I24" s="762"/>
      <c r="J24" s="1469" t="s">
        <v>7</v>
      </c>
      <c r="K24" s="1469"/>
      <c r="L24" s="1469"/>
      <c r="M24" s="1469"/>
      <c r="N24" s="1469"/>
      <c r="O24" s="1469"/>
      <c r="P24" s="1469"/>
      <c r="Q24" s="1469"/>
      <c r="R24" s="1469"/>
      <c r="S24" s="1469"/>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39" t="s">
        <v>334</v>
      </c>
      <c r="E25" s="1439"/>
      <c r="F25" s="1439"/>
      <c r="G25" s="1434" t="s">
        <v>6</v>
      </c>
      <c r="H25" s="1434"/>
      <c r="I25" s="705"/>
      <c r="J25" s="726">
        <v>1</v>
      </c>
      <c r="K25" s="727">
        <v>2</v>
      </c>
      <c r="L25" s="728">
        <v>3</v>
      </c>
      <c r="M25" s="729">
        <v>4</v>
      </c>
      <c r="N25" s="730">
        <v>5</v>
      </c>
      <c r="O25" s="731">
        <v>6</v>
      </c>
      <c r="P25" s="732">
        <v>7</v>
      </c>
      <c r="Q25" s="733">
        <v>8</v>
      </c>
      <c r="R25" s="734">
        <v>9</v>
      </c>
      <c r="S25" s="735">
        <v>10</v>
      </c>
      <c r="T25" s="304"/>
      <c r="U25" s="563"/>
      <c r="V25" s="580" t="s">
        <v>818</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39" t="s">
        <v>346</v>
      </c>
      <c r="E26" s="1439"/>
      <c r="F26" s="1439"/>
      <c r="G26" s="1434" t="s">
        <v>6</v>
      </c>
      <c r="H26" s="1434"/>
      <c r="I26" s="705"/>
      <c r="J26" s="726">
        <v>1</v>
      </c>
      <c r="K26" s="727">
        <v>2</v>
      </c>
      <c r="L26" s="728">
        <v>3</v>
      </c>
      <c r="M26" s="729">
        <v>4</v>
      </c>
      <c r="N26" s="730">
        <v>5</v>
      </c>
      <c r="O26" s="731">
        <v>6</v>
      </c>
      <c r="P26" s="732">
        <v>7</v>
      </c>
      <c r="Q26" s="733">
        <v>8</v>
      </c>
      <c r="R26" s="734">
        <v>9</v>
      </c>
      <c r="S26" s="735">
        <v>10</v>
      </c>
      <c r="T26" s="304"/>
      <c r="U26" s="563"/>
      <c r="V26" s="580" t="s">
        <v>818</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39" t="s">
        <v>335</v>
      </c>
      <c r="E27" s="1439"/>
      <c r="F27" s="1439"/>
      <c r="G27" s="1434" t="s">
        <v>6</v>
      </c>
      <c r="H27" s="1434"/>
      <c r="I27" s="705"/>
      <c r="J27" s="726">
        <v>1</v>
      </c>
      <c r="K27" s="727">
        <v>2</v>
      </c>
      <c r="L27" s="728">
        <v>3</v>
      </c>
      <c r="M27" s="729">
        <v>4</v>
      </c>
      <c r="N27" s="730">
        <v>5</v>
      </c>
      <c r="O27" s="731">
        <v>6</v>
      </c>
      <c r="P27" s="732">
        <v>7</v>
      </c>
      <c r="Q27" s="733">
        <v>8</v>
      </c>
      <c r="R27" s="734">
        <v>9</v>
      </c>
      <c r="S27" s="735">
        <v>10</v>
      </c>
      <c r="T27" s="304"/>
      <c r="U27" s="563"/>
      <c r="V27" s="580" t="s">
        <v>818</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39" t="s">
        <v>341</v>
      </c>
      <c r="E28" s="1439"/>
      <c r="F28" s="1439"/>
      <c r="G28" s="1434" t="s">
        <v>13</v>
      </c>
      <c r="H28" s="1434"/>
      <c r="I28" s="705"/>
      <c r="J28" s="726">
        <v>1</v>
      </c>
      <c r="K28" s="727">
        <v>2</v>
      </c>
      <c r="L28" s="728">
        <v>3</v>
      </c>
      <c r="M28" s="729">
        <v>4</v>
      </c>
      <c r="N28" s="730">
        <v>5</v>
      </c>
      <c r="O28" s="731">
        <v>6</v>
      </c>
      <c r="P28" s="732">
        <v>7</v>
      </c>
      <c r="Q28" s="733">
        <v>8</v>
      </c>
      <c r="R28" s="734">
        <v>9</v>
      </c>
      <c r="S28" s="735">
        <v>10</v>
      </c>
      <c r="T28" s="304"/>
      <c r="U28" s="563"/>
      <c r="V28" s="580" t="s">
        <v>818</v>
      </c>
      <c r="W28" s="161"/>
      <c r="X28" s="52">
        <f t="shared" si="1"/>
        <v>3</v>
      </c>
      <c r="Y28" s="884" t="str">
        <f t="shared" si="2"/>
        <v>moderate cost decrease</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39" t="s">
        <v>347</v>
      </c>
      <c r="E29" s="1439"/>
      <c r="F29" s="1439"/>
      <c r="G29" s="1434" t="s">
        <v>6</v>
      </c>
      <c r="H29" s="1434"/>
      <c r="I29" s="705"/>
      <c r="J29" s="726">
        <v>1</v>
      </c>
      <c r="K29" s="727">
        <v>2</v>
      </c>
      <c r="L29" s="728">
        <v>3</v>
      </c>
      <c r="M29" s="729">
        <v>4</v>
      </c>
      <c r="N29" s="730">
        <v>5</v>
      </c>
      <c r="O29" s="731">
        <v>6</v>
      </c>
      <c r="P29" s="732">
        <v>7</v>
      </c>
      <c r="Q29" s="733">
        <v>8</v>
      </c>
      <c r="R29" s="734">
        <v>9</v>
      </c>
      <c r="S29" s="735">
        <v>10</v>
      </c>
      <c r="T29" s="304"/>
      <c r="U29" s="563"/>
      <c r="V29" s="580" t="s">
        <v>818</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39" t="s">
        <v>348</v>
      </c>
      <c r="E30" s="1439"/>
      <c r="F30" s="1439"/>
      <c r="G30" s="1434" t="s">
        <v>6</v>
      </c>
      <c r="H30" s="1434"/>
      <c r="I30" s="705"/>
      <c r="J30" s="726">
        <v>1</v>
      </c>
      <c r="K30" s="727">
        <v>2</v>
      </c>
      <c r="L30" s="728">
        <v>3</v>
      </c>
      <c r="M30" s="729">
        <v>4</v>
      </c>
      <c r="N30" s="730">
        <v>5</v>
      </c>
      <c r="O30" s="731">
        <v>6</v>
      </c>
      <c r="P30" s="732">
        <v>7</v>
      </c>
      <c r="Q30" s="733">
        <v>8</v>
      </c>
      <c r="R30" s="734">
        <v>9</v>
      </c>
      <c r="S30" s="735">
        <v>10</v>
      </c>
      <c r="T30" s="304"/>
      <c r="U30" s="563"/>
      <c r="V30" s="580" t="s">
        <v>818</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39" t="s">
        <v>1</v>
      </c>
      <c r="E31" s="1439"/>
      <c r="F31" s="1439"/>
      <c r="G31" s="1434" t="s">
        <v>6</v>
      </c>
      <c r="H31" s="1434"/>
      <c r="I31" s="705"/>
      <c r="J31" s="726">
        <v>1</v>
      </c>
      <c r="K31" s="727">
        <v>2</v>
      </c>
      <c r="L31" s="728">
        <v>3</v>
      </c>
      <c r="M31" s="729">
        <v>4</v>
      </c>
      <c r="N31" s="730">
        <v>5</v>
      </c>
      <c r="O31" s="731">
        <v>6</v>
      </c>
      <c r="P31" s="732">
        <v>7</v>
      </c>
      <c r="Q31" s="733">
        <v>8</v>
      </c>
      <c r="R31" s="734">
        <v>9</v>
      </c>
      <c r="S31" s="735">
        <v>10</v>
      </c>
      <c r="T31" s="304"/>
      <c r="U31" s="563"/>
      <c r="V31" s="580" t="s">
        <v>818</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39" t="s">
        <v>444</v>
      </c>
      <c r="E32" s="1439"/>
      <c r="F32" s="1439"/>
      <c r="G32" s="1434" t="s">
        <v>6</v>
      </c>
      <c r="H32" s="1434"/>
      <c r="I32" s="705"/>
      <c r="J32" s="726">
        <v>1</v>
      </c>
      <c r="K32" s="727">
        <v>2</v>
      </c>
      <c r="L32" s="728">
        <v>3</v>
      </c>
      <c r="M32" s="729">
        <v>4</v>
      </c>
      <c r="N32" s="730">
        <v>5</v>
      </c>
      <c r="O32" s="731">
        <v>6</v>
      </c>
      <c r="P32" s="732">
        <v>7</v>
      </c>
      <c r="Q32" s="733">
        <v>8</v>
      </c>
      <c r="R32" s="734">
        <v>9</v>
      </c>
      <c r="S32" s="735">
        <v>10</v>
      </c>
      <c r="T32" s="304"/>
      <c r="U32" s="563"/>
      <c r="V32" s="580" t="s">
        <v>818</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8" t="s">
        <v>213</v>
      </c>
      <c r="E33" s="1448"/>
      <c r="F33" s="1448"/>
      <c r="G33" s="1434" t="s">
        <v>6</v>
      </c>
      <c r="H33" s="1434"/>
      <c r="I33" s="705"/>
      <c r="J33" s="726">
        <v>1</v>
      </c>
      <c r="K33" s="727">
        <v>2</v>
      </c>
      <c r="L33" s="728">
        <v>3</v>
      </c>
      <c r="M33" s="729">
        <v>4</v>
      </c>
      <c r="N33" s="730">
        <v>5</v>
      </c>
      <c r="O33" s="731">
        <v>6</v>
      </c>
      <c r="P33" s="732">
        <v>7</v>
      </c>
      <c r="Q33" s="733">
        <v>8</v>
      </c>
      <c r="R33" s="734">
        <v>9</v>
      </c>
      <c r="S33" s="735">
        <v>10</v>
      </c>
      <c r="T33" s="304"/>
      <c r="U33" s="563"/>
      <c r="V33" s="580" t="s">
        <v>818</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8" t="s">
        <v>213</v>
      </c>
      <c r="E34" s="1448"/>
      <c r="F34" s="1448"/>
      <c r="G34" s="1434" t="s">
        <v>6</v>
      </c>
      <c r="H34" s="1434"/>
      <c r="I34" s="705"/>
      <c r="J34" s="726">
        <v>1</v>
      </c>
      <c r="K34" s="727">
        <v>2</v>
      </c>
      <c r="L34" s="728">
        <v>3</v>
      </c>
      <c r="M34" s="729">
        <v>4</v>
      </c>
      <c r="N34" s="730">
        <v>5</v>
      </c>
      <c r="O34" s="731">
        <v>6</v>
      </c>
      <c r="P34" s="732">
        <v>7</v>
      </c>
      <c r="Q34" s="733">
        <v>8</v>
      </c>
      <c r="R34" s="734">
        <v>9</v>
      </c>
      <c r="S34" s="735">
        <v>10</v>
      </c>
      <c r="T34" s="304"/>
      <c r="U34" s="563"/>
      <c r="V34" s="580" t="s">
        <v>818</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35" t="s">
        <v>116</v>
      </c>
      <c r="H37" s="1435"/>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3</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36" t="s">
        <v>440</v>
      </c>
      <c r="E38" s="1436"/>
      <c r="F38" s="1436"/>
      <c r="G38" s="1436"/>
      <c r="H38" s="1436"/>
      <c r="I38" s="1436"/>
      <c r="J38" s="1436"/>
      <c r="K38" s="1436"/>
      <c r="L38" s="1436"/>
      <c r="M38" s="1436"/>
      <c r="N38" s="1436"/>
      <c r="O38" s="1436"/>
      <c r="P38" s="1436"/>
      <c r="Q38" s="1436"/>
      <c r="R38" s="1436"/>
      <c r="S38" s="1436"/>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40"/>
      <c r="E39" s="1241"/>
      <c r="F39" s="1241"/>
      <c r="G39" s="1241"/>
      <c r="H39" s="1241"/>
      <c r="I39" s="1241"/>
      <c r="J39" s="1241"/>
      <c r="K39" s="1241"/>
      <c r="L39" s="1241"/>
      <c r="M39" s="1241"/>
      <c r="N39" s="1241"/>
      <c r="O39" s="1241"/>
      <c r="P39" s="1241"/>
      <c r="Q39" s="1241"/>
      <c r="R39" s="1241"/>
      <c r="S39" s="1241"/>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38" t="s">
        <v>213</v>
      </c>
      <c r="K44" s="1438"/>
      <c r="L44" s="1438"/>
      <c r="M44" s="1438"/>
      <c r="N44" s="1438"/>
      <c r="O44" s="1438"/>
      <c r="P44" s="1438"/>
      <c r="Q44" s="1438"/>
      <c r="R44" s="1438"/>
      <c r="S44" s="1438"/>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30" t="str">
        <f>C.7Invoicing</f>
        <v/>
      </c>
      <c r="E45" s="1430"/>
      <c r="F45" s="1430"/>
      <c r="G45" s="1430"/>
      <c r="H45" s="1430"/>
      <c r="I45" s="1430"/>
      <c r="J45" s="1430"/>
      <c r="K45" s="1430"/>
      <c r="L45" s="1430"/>
      <c r="M45" s="1430"/>
      <c r="N45" s="1430"/>
      <c r="O45" s="1430"/>
      <c r="P45" s="1430"/>
      <c r="Q45" s="1430"/>
      <c r="R45" s="1430"/>
      <c r="S45" s="1430"/>
      <c r="T45" s="304"/>
      <c r="U45" s="563"/>
      <c r="V45" s="572"/>
      <c r="W45" s="161"/>
      <c r="X45" s="1428" t="str">
        <f>IF(COUNTIF(X41:Z44,TRUE)&gt;0,"Since an invoicing system is involved with this rulemaking, please consult with resource system owner early in the rulemaking process.","")</f>
        <v/>
      </c>
      <c r="Y45" s="1429"/>
      <c r="Z45" s="1429"/>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15" t="s">
        <v>243</v>
      </c>
      <c r="E46" s="1415"/>
      <c r="F46" s="1415"/>
      <c r="G46" s="1415"/>
      <c r="H46" s="1415"/>
      <c r="I46" s="1415"/>
      <c r="J46" s="1415"/>
      <c r="K46" s="1415"/>
      <c r="L46" s="1415"/>
      <c r="M46" s="1415"/>
      <c r="N46" s="1415"/>
      <c r="O46" s="1415"/>
      <c r="P46" s="1415"/>
      <c r="Q46" s="1415"/>
      <c r="R46" s="1415"/>
      <c r="S46" s="1415"/>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40" t="s">
        <v>0</v>
      </c>
      <c r="E47" s="1241"/>
      <c r="F47" s="1241"/>
      <c r="G47" s="1241"/>
      <c r="H47" s="1241"/>
      <c r="I47" s="1241"/>
      <c r="J47" s="1241"/>
      <c r="K47" s="1241"/>
      <c r="L47" s="1241"/>
      <c r="M47" s="1241"/>
      <c r="N47" s="1241"/>
      <c r="O47" s="1241"/>
      <c r="P47" s="1241"/>
      <c r="Q47" s="1241"/>
      <c r="R47" s="1241"/>
      <c r="S47" s="1241"/>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39" t="s">
        <v>0</v>
      </c>
      <c r="I49" s="1384"/>
      <c r="J49" s="1336" t="s">
        <v>37</v>
      </c>
      <c r="K49" s="1337"/>
      <c r="L49" s="1337"/>
      <c r="M49" s="1337"/>
      <c r="N49" s="1337"/>
      <c r="O49" s="1337"/>
      <c r="P49" s="1337"/>
      <c r="Q49" s="1337"/>
      <c r="R49" s="1337"/>
      <c r="S49" s="1338"/>
      <c r="T49" s="346"/>
      <c r="U49" s="563"/>
      <c r="V49" s="573" t="s">
        <v>835</v>
      </c>
      <c r="W49" s="167"/>
      <c r="X49" s="33">
        <f>VLOOKUP($J49,C.VL_ComplexityRating,2,FALSE)</f>
        <v>1</v>
      </c>
      <c r="Y49" s="882" t="str">
        <f>J49</f>
        <v>definitely not complex</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52" t="s">
        <v>247</v>
      </c>
      <c r="I50" s="1453"/>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9" t="s">
        <v>0</v>
      </c>
      <c r="E53" s="1450"/>
      <c r="F53" s="1450"/>
      <c r="G53" s="1450"/>
      <c r="H53" s="1450"/>
      <c r="I53" s="1450"/>
      <c r="J53" s="1450"/>
      <c r="K53" s="1450"/>
      <c r="L53" s="1450"/>
      <c r="M53" s="1450"/>
      <c r="N53" s="1450"/>
      <c r="O53" s="1450"/>
      <c r="P53" s="1450"/>
      <c r="Q53" s="1450"/>
      <c r="R53" s="1450"/>
      <c r="S53" s="1451"/>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5" t="s">
        <v>0</v>
      </c>
      <c r="E55" s="1446"/>
      <c r="F55" s="1446"/>
      <c r="G55" s="1446"/>
      <c r="H55" s="1446"/>
      <c r="I55" s="1446"/>
      <c r="J55" s="1446"/>
      <c r="K55" s="1446"/>
      <c r="L55" s="1446"/>
      <c r="M55" s="1446"/>
      <c r="N55" s="1446"/>
      <c r="O55" s="1446"/>
      <c r="P55" s="1446"/>
      <c r="Q55" s="1446"/>
      <c r="R55" s="1446"/>
      <c r="S55" s="1447"/>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c r="B56" s="563"/>
      <c r="C56" s="293"/>
      <c r="D56" s="294"/>
      <c r="E56" s="294"/>
      <c r="F56" s="294"/>
      <c r="G56" s="1226">
        <f ca="1">TODAY()</f>
        <v>41810</v>
      </c>
      <c r="H56" s="1226"/>
      <c r="I56" s="1226"/>
      <c r="J56" s="1226"/>
      <c r="K56" s="1226"/>
      <c r="L56" s="1226"/>
      <c r="M56" s="1226"/>
      <c r="N56" s="1226"/>
      <c r="O56" s="1226"/>
      <c r="P56" s="1226"/>
      <c r="Q56" s="1226"/>
      <c r="R56" s="1226"/>
      <c r="S56" s="1226"/>
      <c r="T56" s="1227"/>
      <c r="U56" s="563"/>
      <c r="X56" s="147"/>
      <c r="Y56" s="147"/>
      <c r="Z56" s="147"/>
      <c r="AA56" s="147"/>
      <c r="AB56" s="147"/>
    </row>
    <row r="57" spans="1:57">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96" yWindow="809"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topLeftCell="A25" workbookViewId="0">
      <selection activeCell="V8" sqref="V8"/>
    </sheetView>
  </sheetViews>
  <sheetFormatPr defaultRowHeight="15.75" outlineLevelCol="1"/>
  <cols>
    <col min="1" max="1" width="13.625" style="601" customWidth="1"/>
    <col min="2" max="2" width="2.75" style="160" customWidth="1"/>
    <col min="3" max="3" width="2.625" style="273" customWidth="1"/>
    <col min="4" max="4" width="19" style="273" customWidth="1"/>
    <col min="5" max="5" width="2.625" style="273" customWidth="1"/>
    <col min="6" max="6" width="9.125" style="273" customWidth="1"/>
    <col min="7" max="7" width="18.375" style="273" customWidth="1"/>
    <col min="8" max="8" width="6.625" style="273" customWidth="1"/>
    <col min="9" max="19" width="1.875" style="273" customWidth="1"/>
    <col min="20" max="20" width="2.75" style="273" customWidth="1"/>
    <col min="21" max="21" width="3.125" style="160" customWidth="1"/>
    <col min="22" max="22" width="31.5" style="160" customWidth="1"/>
    <col min="23" max="23" width="9" style="160"/>
    <col min="24" max="24" width="9" style="273" hidden="1" customWidth="1" outlineLevel="1"/>
    <col min="25" max="25" width="4.625" style="285" hidden="1" customWidth="1" outlineLevel="1"/>
    <col min="26" max="26" width="5.125" style="273" hidden="1" customWidth="1" outlineLevel="1"/>
    <col min="27" max="27" width="57.25" style="273" hidden="1" customWidth="1" outlineLevel="1"/>
    <col min="28" max="28" width="9" style="273" collapsed="1"/>
    <col min="29" max="16384" width="9" style="273"/>
  </cols>
  <sheetData>
    <row r="1" spans="1:59" ht="21" customHeight="1">
      <c r="A1" s="1077" t="s">
        <v>415</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72" t="str">
        <f>C.2Name</f>
        <v>Grants Pass Limited Maintenance Plans for CO and PM10</v>
      </c>
      <c r="G2" s="1472"/>
      <c r="H2" s="1472"/>
      <c r="I2" s="1472"/>
      <c r="J2" s="1472"/>
      <c r="K2" s="1472"/>
      <c r="L2" s="1472"/>
      <c r="M2" s="1472"/>
      <c r="N2" s="1472"/>
      <c r="O2" s="1472"/>
      <c r="P2" s="1472"/>
      <c r="Q2" s="1472"/>
      <c r="R2" s="1472"/>
      <c r="S2" s="1472"/>
      <c r="T2" s="1105"/>
      <c r="U2" s="563"/>
      <c r="V2" s="272" t="s">
        <v>0</v>
      </c>
      <c r="W2" s="159"/>
      <c r="X2" s="68"/>
      <c r="Y2" s="68"/>
      <c r="Z2" s="147"/>
      <c r="AA2" s="147"/>
    </row>
    <row r="3" spans="1:59" s="66" customFormat="1" ht="12.75" customHeight="1" thickTop="1">
      <c r="A3" s="601"/>
      <c r="B3" s="563"/>
      <c r="C3" s="1483"/>
      <c r="D3" s="1484"/>
      <c r="E3" s="1484"/>
      <c r="F3" s="1484"/>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77" t="s">
        <v>274</v>
      </c>
      <c r="H4" s="1477"/>
      <c r="I4" s="1476" t="s">
        <v>274</v>
      </c>
      <c r="J4" s="1476"/>
      <c r="K4" s="1476"/>
      <c r="L4" s="1476"/>
      <c r="M4" s="1476"/>
      <c r="N4" s="1476"/>
      <c r="O4" s="1476"/>
      <c r="P4" s="1476"/>
      <c r="Q4" s="1476"/>
      <c r="R4" s="1476"/>
      <c r="S4" s="1476"/>
      <c r="T4" s="201"/>
      <c r="U4" s="563"/>
      <c r="V4" s="272"/>
      <c r="W4" s="161"/>
      <c r="X4" s="271"/>
      <c r="Y4" s="289"/>
      <c r="Z4" s="147"/>
      <c r="AA4" s="147"/>
    </row>
    <row r="5" spans="1:59" s="66" customFormat="1" ht="18" customHeight="1">
      <c r="A5" s="601"/>
      <c r="B5" s="563"/>
      <c r="C5" s="274"/>
      <c r="D5" s="1471" t="s">
        <v>447</v>
      </c>
      <c r="E5" s="1471"/>
      <c r="F5" s="1471"/>
      <c r="G5" s="1473"/>
      <c r="H5" s="1473"/>
      <c r="I5" s="1480"/>
      <c r="J5" s="1481"/>
      <c r="K5" s="1481"/>
      <c r="L5" s="1481"/>
      <c r="M5" s="1481"/>
      <c r="N5" s="1481"/>
      <c r="O5" s="1481"/>
      <c r="P5" s="1481"/>
      <c r="Q5" s="1481"/>
      <c r="R5" s="1481"/>
      <c r="S5" s="1482"/>
      <c r="T5" s="201"/>
      <c r="U5" s="563"/>
      <c r="V5" s="272"/>
      <c r="W5" s="161"/>
      <c r="X5" s="271"/>
      <c r="Y5" s="289"/>
      <c r="Z5" s="147"/>
      <c r="AA5" s="147"/>
    </row>
    <row r="6" spans="1:59" s="843" customFormat="1" ht="18" customHeight="1">
      <c r="A6" s="852"/>
      <c r="B6" s="851"/>
      <c r="C6" s="849"/>
      <c r="D6" s="1471" t="s">
        <v>0</v>
      </c>
      <c r="E6" s="1471"/>
      <c r="F6" s="1471"/>
      <c r="G6" s="1474" t="s">
        <v>0</v>
      </c>
      <c r="H6" s="1475"/>
      <c r="I6" s="1478"/>
      <c r="J6" s="1478"/>
      <c r="K6" s="1478"/>
      <c r="L6" s="1478"/>
      <c r="M6" s="1478"/>
      <c r="N6" s="1478"/>
      <c r="O6" s="1478"/>
      <c r="P6" s="1478"/>
      <c r="Q6" s="1478"/>
      <c r="R6" s="1478"/>
      <c r="S6" s="1479"/>
      <c r="T6" s="848"/>
      <c r="U6" s="851"/>
      <c r="V6" s="847"/>
      <c r="W6" s="846"/>
      <c r="X6" s="845"/>
      <c r="Y6" s="845"/>
      <c r="Z6" s="844"/>
      <c r="AA6" s="844"/>
    </row>
    <row r="7" spans="1:59" s="66" customFormat="1" ht="25.5" customHeight="1">
      <c r="A7" s="601"/>
      <c r="B7" s="563"/>
      <c r="C7" s="274"/>
      <c r="D7" s="343" t="s">
        <v>273</v>
      </c>
      <c r="E7" s="311"/>
      <c r="F7" s="311"/>
      <c r="G7" s="311"/>
      <c r="H7" s="311"/>
      <c r="I7" s="1470"/>
      <c r="J7" s="1470"/>
      <c r="K7" s="1470"/>
      <c r="L7" s="1470"/>
      <c r="M7" s="1470"/>
      <c r="N7" s="1470"/>
      <c r="O7" s="1470"/>
      <c r="P7" s="1470"/>
      <c r="Q7" s="1470"/>
      <c r="R7" s="1470"/>
      <c r="S7" s="1470"/>
      <c r="T7" s="201"/>
      <c r="U7" s="563"/>
      <c r="V7" s="272"/>
      <c r="W7" s="161"/>
      <c r="X7" s="271"/>
      <c r="Y7" s="289"/>
      <c r="Z7" s="147"/>
      <c r="AA7" s="147"/>
    </row>
    <row r="8" spans="1:59" s="843" customFormat="1" ht="18" customHeight="1">
      <c r="A8" s="852"/>
      <c r="B8" s="851"/>
      <c r="C8" s="1021"/>
      <c r="D8" s="1471" t="s">
        <v>1105</v>
      </c>
      <c r="E8" s="1471"/>
      <c r="F8" s="1471"/>
      <c r="G8" s="1473"/>
      <c r="H8" s="1473"/>
      <c r="I8" s="1480"/>
      <c r="J8" s="1481"/>
      <c r="K8" s="1481"/>
      <c r="L8" s="1481"/>
      <c r="M8" s="1481"/>
      <c r="N8" s="1481"/>
      <c r="O8" s="1481"/>
      <c r="P8" s="1481"/>
      <c r="Q8" s="1481"/>
      <c r="R8" s="1481"/>
      <c r="S8" s="1482"/>
      <c r="T8" s="848"/>
      <c r="U8" s="851"/>
      <c r="V8" s="1017"/>
      <c r="W8" s="846"/>
      <c r="X8" s="845"/>
      <c r="Y8" s="845"/>
      <c r="Z8" s="844"/>
      <c r="AA8" s="844"/>
    </row>
    <row r="9" spans="1:59" s="843" customFormat="1" ht="18" customHeight="1">
      <c r="A9" s="852"/>
      <c r="B9" s="851"/>
      <c r="C9" s="1021"/>
      <c r="D9" s="1471" t="s">
        <v>0</v>
      </c>
      <c r="E9" s="1471"/>
      <c r="F9" s="1471"/>
      <c r="G9" s="1474" t="s">
        <v>0</v>
      </c>
      <c r="H9" s="1475"/>
      <c r="I9" s="1478"/>
      <c r="J9" s="1478"/>
      <c r="K9" s="1478"/>
      <c r="L9" s="1478"/>
      <c r="M9" s="1478"/>
      <c r="N9" s="1478"/>
      <c r="O9" s="1478"/>
      <c r="P9" s="1478"/>
      <c r="Q9" s="1478"/>
      <c r="R9" s="1478"/>
      <c r="S9" s="1479"/>
      <c r="T9" s="848"/>
      <c r="U9" s="851"/>
      <c r="V9" s="1017"/>
      <c r="W9" s="846"/>
      <c r="X9" s="845"/>
      <c r="Y9" s="845"/>
      <c r="Z9" s="844"/>
      <c r="AA9" s="844"/>
    </row>
    <row r="10" spans="1:59" s="66" customFormat="1" ht="25.5" customHeight="1">
      <c r="A10" s="601"/>
      <c r="B10" s="563"/>
      <c r="C10" s="274"/>
      <c r="D10" s="1022" t="s">
        <v>192</v>
      </c>
      <c r="E10" s="311"/>
      <c r="F10" s="311"/>
      <c r="G10" s="311"/>
      <c r="H10" s="311"/>
      <c r="I10" s="1498"/>
      <c r="J10" s="1498"/>
      <c r="K10" s="1498"/>
      <c r="L10" s="1498"/>
      <c r="M10" s="1498"/>
      <c r="N10" s="1498"/>
      <c r="O10" s="1498"/>
      <c r="P10" s="1498"/>
      <c r="Q10" s="1498"/>
      <c r="R10" s="1498"/>
      <c r="S10" s="1498"/>
      <c r="T10" s="201"/>
      <c r="U10" s="563"/>
      <c r="V10" s="272"/>
      <c r="W10" s="161"/>
      <c r="X10" s="271"/>
      <c r="Y10" s="289"/>
      <c r="Z10" s="147"/>
      <c r="AA10" s="147"/>
    </row>
    <row r="11" spans="1:59" s="843" customFormat="1" ht="18" customHeight="1">
      <c r="A11" s="852"/>
      <c r="B11" s="851"/>
      <c r="C11" s="1021"/>
      <c r="D11" s="1471" t="s">
        <v>0</v>
      </c>
      <c r="E11" s="1471"/>
      <c r="F11" s="1471"/>
      <c r="G11" s="1473"/>
      <c r="H11" s="1473"/>
      <c r="I11" s="1480"/>
      <c r="J11" s="1481"/>
      <c r="K11" s="1481"/>
      <c r="L11" s="1481"/>
      <c r="M11" s="1481"/>
      <c r="N11" s="1481"/>
      <c r="O11" s="1481"/>
      <c r="P11" s="1481"/>
      <c r="Q11" s="1481"/>
      <c r="R11" s="1481"/>
      <c r="S11" s="1482"/>
      <c r="T11" s="848"/>
      <c r="U11" s="851"/>
      <c r="V11" s="1017"/>
      <c r="W11" s="846"/>
      <c r="X11" s="845"/>
      <c r="Y11" s="845"/>
      <c r="Z11" s="844"/>
      <c r="AA11" s="844"/>
    </row>
    <row r="12" spans="1:59" s="843" customFormat="1" ht="18" customHeight="1">
      <c r="A12" s="852"/>
      <c r="B12" s="851"/>
      <c r="C12" s="1021"/>
      <c r="D12" s="1471" t="s">
        <v>0</v>
      </c>
      <c r="E12" s="1471"/>
      <c r="F12" s="1471"/>
      <c r="G12" s="1474" t="s">
        <v>0</v>
      </c>
      <c r="H12" s="1475"/>
      <c r="I12" s="1474"/>
      <c r="J12" s="1499"/>
      <c r="K12" s="1499"/>
      <c r="L12" s="1499"/>
      <c r="M12" s="1499"/>
      <c r="N12" s="1499"/>
      <c r="O12" s="1499"/>
      <c r="P12" s="1499"/>
      <c r="Q12" s="1499"/>
      <c r="R12" s="1499"/>
      <c r="S12" s="1475"/>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6" t="s">
        <v>282</v>
      </c>
      <c r="J14" s="1387"/>
      <c r="K14" s="1387"/>
      <c r="L14" s="1387"/>
      <c r="M14" s="1387"/>
      <c r="N14" s="1387"/>
      <c r="O14" s="1387"/>
      <c r="P14" s="1387"/>
      <c r="Q14" s="1387"/>
      <c r="R14" s="1388"/>
      <c r="S14" s="183"/>
      <c r="T14" s="201"/>
      <c r="U14" s="563"/>
      <c r="V14" s="385" t="s">
        <v>841</v>
      </c>
      <c r="W14" s="161"/>
      <c r="X14" s="33">
        <f>VLOOKUP(I14,C.VL_SeverityRating,2,FALSE)</f>
        <v>1</v>
      </c>
      <c r="Y14" s="637" t="str">
        <f>I14</f>
        <v>low</v>
      </c>
      <c r="Z14" s="55"/>
      <c r="AA14" s="55"/>
    </row>
    <row r="15" spans="1:59" s="66" customFormat="1" ht="17.25" customHeight="1">
      <c r="A15" s="601"/>
      <c r="B15" s="563"/>
      <c r="C15" s="279"/>
      <c r="D15"/>
      <c r="E15"/>
      <c r="F15"/>
      <c r="G15" s="1496" t="s">
        <v>280</v>
      </c>
      <c r="H15" s="1497"/>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91" t="s">
        <v>300</v>
      </c>
      <c r="I16" s="1491"/>
      <c r="J16" s="1491"/>
      <c r="K16" s="1491"/>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53" t="s">
        <v>277</v>
      </c>
      <c r="E17" s="1353"/>
      <c r="F17" s="1353"/>
      <c r="G17" s="1353"/>
      <c r="H17" s="1485" t="s">
        <v>0</v>
      </c>
      <c r="I17" s="1486"/>
      <c r="J17" s="1486"/>
      <c r="K17" s="1486"/>
      <c r="L17" s="1486"/>
      <c r="M17" s="1486"/>
      <c r="N17" s="1486"/>
      <c r="O17" s="1486"/>
      <c r="P17" s="1486"/>
      <c r="Q17" s="1486"/>
      <c r="R17" s="1486"/>
      <c r="S17" s="1487"/>
      <c r="T17" s="206"/>
      <c r="U17" s="563"/>
      <c r="V17" s="1080"/>
      <c r="W17" s="273"/>
      <c r="X17" s="284" t="b">
        <v>0</v>
      </c>
      <c r="Y17" s="284"/>
      <c r="Z17" s="1425" t="str">
        <f>IF($X17=FALSE,"",IF(COUNTIF($X18:$X$23,TRUE)=0,LOWER($D17),IF(COUNTIF($X18:$X$23,TRUE)=1,LOWER($D17)&amp;" and ",LOWER($D17)&amp;", ")))</f>
        <v/>
      </c>
      <c r="AA17" s="1425"/>
      <c r="AC17" s="273"/>
      <c r="AD17" s="273"/>
    </row>
    <row r="18" spans="1:30" s="66" customFormat="1" ht="21" customHeight="1">
      <c r="A18" s="601"/>
      <c r="B18" s="563"/>
      <c r="C18" s="202"/>
      <c r="D18" s="1353" t="s">
        <v>279</v>
      </c>
      <c r="E18" s="1353"/>
      <c r="F18" s="1353"/>
      <c r="G18" s="1353"/>
      <c r="H18" s="1485"/>
      <c r="I18" s="1486"/>
      <c r="J18" s="1486"/>
      <c r="K18" s="1486"/>
      <c r="L18" s="1486"/>
      <c r="M18" s="1486"/>
      <c r="N18" s="1486"/>
      <c r="O18" s="1486"/>
      <c r="P18" s="1486"/>
      <c r="Q18" s="1486"/>
      <c r="R18" s="1486"/>
      <c r="S18" s="1487"/>
      <c r="T18" s="206"/>
      <c r="U18" s="563"/>
      <c r="V18" s="273"/>
      <c r="W18" s="273"/>
      <c r="X18" s="284" t="b">
        <v>0</v>
      </c>
      <c r="Y18" s="284"/>
      <c r="Z18" s="1425" t="str">
        <f>IF($X18=FALSE,"",IF(COUNTIF($X19:$X$23,TRUE)=0,LOWER($D18),IF(COUNTIF($X19:$X$23,TRUE)=1,LOWER($D18)&amp;" and ",LOWER($D18)&amp;", ")))</f>
        <v/>
      </c>
      <c r="AA18" s="1425"/>
      <c r="AC18" s="273"/>
      <c r="AD18" s="273"/>
    </row>
    <row r="19" spans="1:30" s="66" customFormat="1" ht="21" customHeight="1">
      <c r="A19" s="601"/>
      <c r="B19" s="563"/>
      <c r="C19" s="202"/>
      <c r="D19" s="1356" t="s">
        <v>275</v>
      </c>
      <c r="E19" s="1356"/>
      <c r="F19" s="1356"/>
      <c r="G19" s="1356"/>
      <c r="H19" s="1485"/>
      <c r="I19" s="1486"/>
      <c r="J19" s="1486"/>
      <c r="K19" s="1486"/>
      <c r="L19" s="1486"/>
      <c r="M19" s="1486"/>
      <c r="N19" s="1486"/>
      <c r="O19" s="1486"/>
      <c r="P19" s="1486"/>
      <c r="Q19" s="1486"/>
      <c r="R19" s="1486"/>
      <c r="S19" s="1487"/>
      <c r="T19" s="206"/>
      <c r="U19" s="563"/>
      <c r="V19" s="273"/>
      <c r="W19" s="273"/>
      <c r="X19" s="284" t="b">
        <v>0</v>
      </c>
      <c r="Y19" s="284"/>
      <c r="Z19" s="1425" t="str">
        <f>IF($X19=FALSE,"",IF(COUNTIF($X21:$X$23,TRUE)=0,LOWER($D19),IF(COUNTIF($X21:$X$23,TRUE)=1,LOWER($D19)&amp;" and ",LOWER($D19)&amp;", ")))</f>
        <v/>
      </c>
      <c r="AA19" s="1425"/>
      <c r="AC19" s="273"/>
      <c r="AD19" s="273"/>
    </row>
    <row r="20" spans="1:30" s="843" customFormat="1" ht="21" customHeight="1">
      <c r="A20" s="852"/>
      <c r="B20" s="851"/>
      <c r="C20" s="202"/>
      <c r="D20" s="1356" t="s">
        <v>278</v>
      </c>
      <c r="E20" s="1356"/>
      <c r="F20" s="1356"/>
      <c r="G20" s="1356"/>
      <c r="H20" s="1485"/>
      <c r="I20" s="1486"/>
      <c r="J20" s="1486"/>
      <c r="K20" s="1486"/>
      <c r="L20" s="1486"/>
      <c r="M20" s="1486"/>
      <c r="N20" s="1486"/>
      <c r="O20" s="1486"/>
      <c r="P20" s="1486"/>
      <c r="Q20" s="1486"/>
      <c r="R20" s="1486"/>
      <c r="S20" s="1487"/>
      <c r="T20" s="206"/>
      <c r="U20" s="851"/>
      <c r="V20" s="1087"/>
      <c r="W20" s="1087"/>
      <c r="X20" s="284"/>
      <c r="Y20" s="284"/>
      <c r="Z20" s="1086"/>
      <c r="AA20" s="1086"/>
      <c r="AC20" s="1087"/>
      <c r="AD20" s="1087"/>
    </row>
    <row r="21" spans="1:30" s="66" customFormat="1" ht="42" customHeight="1">
      <c r="A21" s="601"/>
      <c r="B21" s="563"/>
      <c r="C21" s="202"/>
      <c r="D21" s="1356" t="s">
        <v>857</v>
      </c>
      <c r="E21" s="1356"/>
      <c r="F21" s="1356"/>
      <c r="G21" s="1356"/>
      <c r="H21" s="1485"/>
      <c r="I21" s="1486"/>
      <c r="J21" s="1486"/>
      <c r="K21" s="1486"/>
      <c r="L21" s="1486"/>
      <c r="M21" s="1486"/>
      <c r="N21" s="1486"/>
      <c r="O21" s="1486"/>
      <c r="P21" s="1486"/>
      <c r="Q21" s="1486"/>
      <c r="R21" s="1486"/>
      <c r="S21" s="1487"/>
      <c r="T21" s="206"/>
      <c r="U21" s="563"/>
      <c r="V21" s="273"/>
      <c r="W21" s="273"/>
      <c r="X21" s="284" t="b">
        <v>1</v>
      </c>
      <c r="Y21" s="284"/>
      <c r="Z21" s="1425" t="str">
        <f>IF($X21=FALSE,"",IF(COUNTIF($X22:$X$23,TRUE)=0,LOWER($D20),IF(COUNTIF($X22:$X$23,TRUE)=1,LOWER($D20)&amp;" and ",LOWER($D20)&amp;", ")))</f>
        <v>failure to comply with clean air act</v>
      </c>
      <c r="AA21" s="1425"/>
      <c r="AC21" s="273"/>
      <c r="AD21" s="273"/>
    </row>
    <row r="22" spans="1:30" s="66" customFormat="1" ht="21" customHeight="1">
      <c r="A22" s="601"/>
      <c r="B22" s="563"/>
      <c r="C22" s="202"/>
      <c r="D22" s="1368" t="s">
        <v>276</v>
      </c>
      <c r="E22" s="1368"/>
      <c r="F22" s="1368"/>
      <c r="G22" s="1368"/>
      <c r="H22" s="1488" t="s">
        <v>0</v>
      </c>
      <c r="I22" s="1489"/>
      <c r="J22" s="1489"/>
      <c r="K22" s="1489"/>
      <c r="L22" s="1489"/>
      <c r="M22" s="1489"/>
      <c r="N22" s="1489"/>
      <c r="O22" s="1489"/>
      <c r="P22" s="1489"/>
      <c r="Q22" s="1489"/>
      <c r="R22" s="1489"/>
      <c r="S22" s="1490"/>
      <c r="T22" s="206"/>
      <c r="U22" s="563"/>
      <c r="V22" s="273"/>
      <c r="W22" s="273"/>
      <c r="X22" s="284" t="b">
        <v>0</v>
      </c>
      <c r="Y22" s="284"/>
      <c r="Z22" s="1425" t="str">
        <f>IF($X22=FALSE,"",IF($X23:$X$23=FALSE,LOWER($E22),LOWER($E22)&amp;" and "))</f>
        <v/>
      </c>
      <c r="AA22" s="1425"/>
      <c r="AC22" s="273" t="s">
        <v>0</v>
      </c>
      <c r="AD22" s="273"/>
    </row>
    <row r="23" spans="1:30" s="66" customFormat="1" ht="21" customHeight="1">
      <c r="A23" s="601"/>
      <c r="B23" s="563"/>
      <c r="C23" s="202"/>
      <c r="D23" s="1368" t="s">
        <v>276</v>
      </c>
      <c r="E23" s="1368"/>
      <c r="F23" s="1368"/>
      <c r="G23" s="1368"/>
      <c r="H23" s="1485"/>
      <c r="I23" s="1486"/>
      <c r="J23" s="1486"/>
      <c r="K23" s="1486"/>
      <c r="L23" s="1486"/>
      <c r="M23" s="1486"/>
      <c r="N23" s="1486"/>
      <c r="O23" s="1486"/>
      <c r="P23" s="1486"/>
      <c r="Q23" s="1486"/>
      <c r="R23" s="1486"/>
      <c r="S23" s="1487"/>
      <c r="T23" s="206"/>
      <c r="U23" s="563"/>
      <c r="V23" s="273"/>
      <c r="W23" s="273"/>
      <c r="X23" s="284" t="b">
        <v>0</v>
      </c>
      <c r="Y23" s="284"/>
      <c r="Z23" s="1425" t="str">
        <f>IF($X23=FALSE,"",LOWER($E23))</f>
        <v/>
      </c>
      <c r="AA23" s="1425"/>
      <c r="AC23" s="285" t="s">
        <v>0</v>
      </c>
      <c r="AD23" s="273"/>
    </row>
    <row r="24" spans="1:30" s="66" customFormat="1" ht="30" customHeight="1">
      <c r="A24" s="601"/>
      <c r="B24" s="563"/>
      <c r="C24" s="202"/>
      <c r="D24" s="1415" t="s">
        <v>267</v>
      </c>
      <c r="E24" s="1415"/>
      <c r="F24" s="1415"/>
      <c r="G24" s="1415"/>
      <c r="H24" s="193"/>
      <c r="I24" s="193"/>
      <c r="J24" s="193"/>
      <c r="K24" s="193"/>
      <c r="L24" s="193"/>
      <c r="M24" s="193"/>
      <c r="N24" s="193"/>
      <c r="O24" s="193"/>
      <c r="P24" s="193"/>
      <c r="Q24" s="193"/>
      <c r="R24" s="193"/>
      <c r="S24" s="275"/>
      <c r="T24" s="206"/>
      <c r="U24" s="563"/>
      <c r="V24" s="161"/>
      <c r="W24" s="161"/>
      <c r="X24" s="1373" t="str">
        <f>IF(COUNTIF(X17:X23,TRUE),"LEGAL: "&amp;Z17&amp;Z18&amp;Z19&amp;Z21&amp;Z22&amp;Z23&amp;".","")</f>
        <v>LEGAL: failure to comply with clean air act.</v>
      </c>
      <c r="Y24" s="1495"/>
      <c r="Z24" s="1495"/>
      <c r="AA24" s="1374"/>
    </row>
    <row r="25" spans="1:30" s="66" customFormat="1" ht="15.75" customHeight="1">
      <c r="A25" s="601"/>
      <c r="B25" s="563"/>
      <c r="C25" s="202"/>
      <c r="D25" s="1252" t="s">
        <v>0</v>
      </c>
      <c r="E25" s="1253"/>
      <c r="F25" s="1253"/>
      <c r="G25" s="1253"/>
      <c r="H25" s="1253"/>
      <c r="I25" s="1253"/>
      <c r="J25" s="1253"/>
      <c r="K25" s="1253"/>
      <c r="L25" s="1253"/>
      <c r="M25" s="1253"/>
      <c r="N25" s="1253"/>
      <c r="O25" s="1253"/>
      <c r="P25" s="1253"/>
      <c r="Q25" s="1253"/>
      <c r="R25" s="1253"/>
      <c r="S25" s="1253"/>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6" t="s">
        <v>37</v>
      </c>
      <c r="J27" s="1337"/>
      <c r="K27" s="1337"/>
      <c r="L27" s="1337"/>
      <c r="M27" s="1337"/>
      <c r="N27" s="1337"/>
      <c r="O27" s="1337"/>
      <c r="P27" s="1337"/>
      <c r="Q27" s="1337"/>
      <c r="R27" s="1338"/>
      <c r="S27" s="183"/>
      <c r="T27" s="201"/>
      <c r="U27" s="563"/>
      <c r="V27" s="313" t="s">
        <v>835</v>
      </c>
      <c r="W27" s="161"/>
      <c r="X27" s="39">
        <f>VLOOKUP(I27,C.VL_ComplexityRating,2,FALSE)</f>
        <v>1</v>
      </c>
      <c r="Y27" s="882" t="str">
        <f>I27</f>
        <v>definitely not complex</v>
      </c>
      <c r="Z27" s="147"/>
      <c r="AA27" s="55"/>
      <c r="AB27" s="66"/>
      <c r="AC27" s="66"/>
    </row>
    <row r="28" spans="1:30" s="9" customFormat="1" ht="15.75" customHeight="1">
      <c r="A28" s="601"/>
      <c r="B28" s="563"/>
      <c r="C28" s="203"/>
      <c r="D28" s="204" t="s">
        <v>117</v>
      </c>
      <c r="E28" s="850" t="s">
        <v>0</v>
      </c>
      <c r="F28" s="680" t="s">
        <v>0</v>
      </c>
      <c r="G28" s="1496" t="s">
        <v>239</v>
      </c>
      <c r="H28" s="1497"/>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758</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92" t="s">
        <v>0</v>
      </c>
      <c r="E32" s="1493"/>
      <c r="F32" s="1493"/>
      <c r="G32" s="1493"/>
      <c r="H32" s="1493"/>
      <c r="I32" s="1493"/>
      <c r="J32" s="1493"/>
      <c r="K32" s="1493"/>
      <c r="L32" s="1493"/>
      <c r="M32" s="1493"/>
      <c r="N32" s="1493"/>
      <c r="O32" s="1493"/>
      <c r="P32" s="1493"/>
      <c r="Q32" s="1493"/>
      <c r="R32" s="1493"/>
      <c r="S32" s="1494"/>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5" t="s">
        <v>0</v>
      </c>
      <c r="E34" s="1446"/>
      <c r="F34" s="1446"/>
      <c r="G34" s="1446"/>
      <c r="H34" s="1446"/>
      <c r="I34" s="1446"/>
      <c r="J34" s="1446"/>
      <c r="K34" s="1446"/>
      <c r="L34" s="1446"/>
      <c r="M34" s="1446"/>
      <c r="N34" s="1446"/>
      <c r="O34" s="1446"/>
      <c r="P34" s="1446"/>
      <c r="Q34" s="1446"/>
      <c r="R34" s="1446"/>
      <c r="S34" s="1447"/>
      <c r="T34" s="201"/>
      <c r="U34" s="563"/>
      <c r="W34" s="161"/>
      <c r="X34" s="122"/>
      <c r="Y34" s="122"/>
      <c r="Z34" s="147"/>
      <c r="AA34" s="147"/>
    </row>
    <row r="35" spans="1:27">
      <c r="B35" s="563"/>
      <c r="C35" s="276"/>
      <c r="D35" s="277"/>
      <c r="E35" s="277"/>
      <c r="F35" s="277"/>
      <c r="G35" s="1226">
        <f ca="1">TODAY()</f>
        <v>41810</v>
      </c>
      <c r="H35" s="1226"/>
      <c r="I35" s="1226"/>
      <c r="J35" s="1226"/>
      <c r="K35" s="1226"/>
      <c r="L35" s="1226"/>
      <c r="M35" s="1226"/>
      <c r="N35" s="1226"/>
      <c r="O35" s="1226"/>
      <c r="P35" s="1226"/>
      <c r="Q35" s="1226"/>
      <c r="R35" s="1226"/>
      <c r="S35" s="1226"/>
      <c r="T35" s="1227"/>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workbookViewId="0">
      <selection activeCell="I12" sqref="I12:R12"/>
    </sheetView>
  </sheetViews>
  <sheetFormatPr defaultRowHeight="15.75" outlineLevelCol="1"/>
  <cols>
    <col min="1" max="1" width="14" style="601" customWidth="1"/>
    <col min="2" max="2" width="2.625" customWidth="1"/>
    <col min="3" max="3" width="2.75" customWidth="1"/>
    <col min="4" max="4" width="19.375" customWidth="1"/>
    <col min="5" max="5" width="2.625" customWidth="1"/>
    <col min="6" max="7" width="21.375" customWidth="1"/>
    <col min="8" max="8" width="1.625" customWidth="1"/>
    <col min="9" max="18" width="1.875" customWidth="1"/>
    <col min="19" max="19" width="2.5" customWidth="1"/>
    <col min="20" max="20" width="2.625" customWidth="1"/>
    <col min="21" max="21" width="30.625" customWidth="1"/>
    <col min="22" max="22" width="8.25" style="379" customWidth="1"/>
    <col min="24" max="24" width="9" hidden="1" customWidth="1" outlineLevel="1"/>
    <col min="25" max="25" width="23.75" hidden="1" customWidth="1" outlineLevel="1"/>
    <col min="26" max="26" width="9" collapsed="1"/>
  </cols>
  <sheetData>
    <row r="1" spans="1:31" ht="21" customHeight="1">
      <c r="A1" s="1077" t="s">
        <v>415</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72" t="str">
        <f>C.2Name</f>
        <v>Grants Pass Limited Maintenance Plans for CO and PM10</v>
      </c>
      <c r="G2" s="1472"/>
      <c r="H2" s="1472"/>
      <c r="I2" s="1472"/>
      <c r="J2" s="1472"/>
      <c r="K2" s="1472"/>
      <c r="L2" s="1472"/>
      <c r="M2" s="1472"/>
      <c r="N2" s="1472"/>
      <c r="O2" s="1472"/>
      <c r="P2" s="1472"/>
      <c r="Q2" s="1472"/>
      <c r="R2" s="1472"/>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503"/>
      <c r="E4" s="1504"/>
      <c r="F4" s="1504"/>
      <c r="G4" s="1504"/>
      <c r="H4" s="1504"/>
      <c r="I4" s="1504"/>
      <c r="J4" s="1504"/>
      <c r="K4" s="1504"/>
      <c r="L4" s="1504"/>
      <c r="M4" s="1504"/>
      <c r="N4" s="1504"/>
      <c r="O4" s="1504"/>
      <c r="P4" s="1504"/>
      <c r="Q4" s="1504"/>
      <c r="R4" s="1505"/>
      <c r="S4" s="292"/>
      <c r="T4" s="563"/>
      <c r="U4" s="114"/>
      <c r="V4" s="114"/>
      <c r="W4" s="161"/>
      <c r="X4" s="55"/>
      <c r="Y4" s="38"/>
      <c r="Z4" s="66"/>
    </row>
    <row r="5" spans="1:31" ht="30.75" customHeight="1">
      <c r="B5" s="563"/>
      <c r="C5" s="398"/>
      <c r="D5" s="1299" t="s">
        <v>193</v>
      </c>
      <c r="E5" s="1299"/>
      <c r="F5" s="1299"/>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321" t="s">
        <v>217</v>
      </c>
      <c r="E7" s="1322"/>
      <c r="F7" s="1323"/>
      <c r="G7" s="1323"/>
      <c r="H7" s="1295"/>
      <c r="I7" s="1295"/>
      <c r="J7" s="1295"/>
      <c r="K7" s="1295"/>
      <c r="L7" s="1295"/>
      <c r="M7" s="1295"/>
      <c r="N7" s="1295"/>
      <c r="O7" s="1295"/>
      <c r="P7" s="1295"/>
      <c r="Q7" s="1295"/>
      <c r="R7" s="1295"/>
      <c r="S7" s="212"/>
      <c r="T7" s="563"/>
      <c r="U7" s="2"/>
      <c r="V7" s="2"/>
      <c r="W7" s="2"/>
      <c r="X7" s="144">
        <v>1</v>
      </c>
      <c r="Y7" s="147" t="s">
        <v>230</v>
      </c>
      <c r="Z7" s="164"/>
    </row>
    <row r="8" spans="1:31" ht="39" customHeight="1">
      <c r="B8" s="563"/>
      <c r="C8" s="365" t="s">
        <v>0</v>
      </c>
      <c r="D8" s="1299" t="s">
        <v>216</v>
      </c>
      <c r="E8" s="1299"/>
      <c r="F8" s="1299"/>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321" t="s">
        <v>217</v>
      </c>
      <c r="E10" s="1322"/>
      <c r="F10" s="1323"/>
      <c r="G10" s="1323"/>
      <c r="H10" s="1295"/>
      <c r="I10" s="1295"/>
      <c r="J10" s="1295"/>
      <c r="K10" s="1295"/>
      <c r="L10" s="1295"/>
      <c r="M10" s="1295"/>
      <c r="N10" s="1295"/>
      <c r="O10" s="1295"/>
      <c r="P10" s="1295"/>
      <c r="Q10" s="1295"/>
      <c r="R10" s="1295"/>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9" t="s">
        <v>429</v>
      </c>
      <c r="E12" s="1419"/>
      <c r="F12" s="1419"/>
      <c r="G12" s="1419"/>
      <c r="H12" s="1419"/>
      <c r="I12" s="1336" t="s">
        <v>37</v>
      </c>
      <c r="J12" s="1337"/>
      <c r="K12" s="1337"/>
      <c r="L12" s="1337"/>
      <c r="M12" s="1337"/>
      <c r="N12" s="1337"/>
      <c r="O12" s="1337"/>
      <c r="P12" s="1337"/>
      <c r="Q12" s="1337"/>
      <c r="R12" s="1338"/>
      <c r="S12" s="201"/>
      <c r="T12" s="563"/>
      <c r="U12" s="313" t="s">
        <v>757</v>
      </c>
      <c r="V12" s="313"/>
      <c r="W12" s="161"/>
      <c r="X12" s="1019" t="str">
        <f>IF(C.9Infrastructure=1,"low",IF(C.9Infrastructure=2,"low/medium",IF(C.9Infrastructure=3,"medium",IF(C.9Infrastructure=4,"medium/high","high"))))</f>
        <v>low</v>
      </c>
      <c r="Y12" s="147"/>
    </row>
    <row r="13" spans="1:31" ht="16.5">
      <c r="B13" s="563"/>
      <c r="C13" s="202"/>
      <c r="D13" s="238" t="s">
        <v>117</v>
      </c>
      <c r="E13" s="850" t="s">
        <v>0</v>
      </c>
      <c r="F13" s="1500" t="s">
        <v>247</v>
      </c>
      <c r="G13" s="1501"/>
      <c r="H13" s="1502"/>
      <c r="I13" s="199">
        <v>1</v>
      </c>
      <c r="J13" s="184">
        <v>2</v>
      </c>
      <c r="K13" s="185">
        <v>3</v>
      </c>
      <c r="L13" s="186">
        <v>4</v>
      </c>
      <c r="M13" s="187">
        <v>5</v>
      </c>
      <c r="N13" s="188">
        <v>6</v>
      </c>
      <c r="O13" s="189">
        <v>7</v>
      </c>
      <c r="P13" s="190">
        <v>8</v>
      </c>
      <c r="Q13" s="191">
        <v>9</v>
      </c>
      <c r="R13" s="192">
        <v>10</v>
      </c>
      <c r="S13" s="205"/>
      <c r="T13" s="563"/>
      <c r="U13" s="313" t="s">
        <v>758</v>
      </c>
      <c r="V13" s="313"/>
      <c r="W13" s="167"/>
      <c r="X13" s="39">
        <f>VLOOKUP(I12,C.VL_ComplexityRating,2,FALSE)</f>
        <v>1</v>
      </c>
      <c r="Y13" s="882" t="str">
        <f>I12</f>
        <v>definitely not complex</v>
      </c>
    </row>
    <row r="14" spans="1:31">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52" t="s">
        <v>0</v>
      </c>
      <c r="E17" s="1253"/>
      <c r="F17" s="1253"/>
      <c r="G17" s="1253"/>
      <c r="H17" s="1253"/>
      <c r="I17" s="1253"/>
      <c r="J17" s="1253"/>
      <c r="K17" s="1253"/>
      <c r="L17" s="1253"/>
      <c r="M17" s="1253"/>
      <c r="N17" s="1253"/>
      <c r="O17" s="1253"/>
      <c r="P17" s="1253"/>
      <c r="Q17" s="1253"/>
      <c r="R17" s="1253"/>
      <c r="S17" s="1254"/>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8" t="s">
        <v>0</v>
      </c>
      <c r="E19" s="1219"/>
      <c r="F19" s="1219"/>
      <c r="G19" s="1219"/>
      <c r="H19" s="1219"/>
      <c r="I19" s="1219"/>
      <c r="J19" s="1219"/>
      <c r="K19" s="1219"/>
      <c r="L19" s="1219"/>
      <c r="M19" s="1219"/>
      <c r="N19" s="1219"/>
      <c r="O19" s="1219"/>
      <c r="P19" s="1219"/>
      <c r="Q19" s="1219"/>
      <c r="R19" s="1220"/>
      <c r="S19" s="201"/>
      <c r="T19" s="563"/>
      <c r="U19" s="161"/>
      <c r="V19" s="161"/>
      <c r="W19" s="161"/>
      <c r="X19" s="50"/>
      <c r="Y19" s="50"/>
      <c r="Z19" s="163"/>
    </row>
    <row r="20" spans="1:26" ht="18.75">
      <c r="B20" s="563"/>
      <c r="C20" s="371"/>
      <c r="D20" s="372"/>
      <c r="E20" s="372"/>
      <c r="F20" s="1226">
        <f ca="1">TODAY()</f>
        <v>41810</v>
      </c>
      <c r="G20" s="1226"/>
      <c r="H20" s="1226"/>
      <c r="I20" s="1226"/>
      <c r="J20" s="1226"/>
      <c r="K20" s="1226"/>
      <c r="L20" s="1226"/>
      <c r="M20" s="1226"/>
      <c r="N20" s="1226"/>
      <c r="O20" s="1226"/>
      <c r="P20" s="1226"/>
      <c r="Q20" s="1226"/>
      <c r="R20" s="1226"/>
      <c r="S20" s="1227"/>
      <c r="T20" s="563"/>
      <c r="U20" s="161"/>
      <c r="V20" s="161"/>
      <c r="W20" s="161"/>
      <c r="X20" s="147"/>
      <c r="Y20" s="147"/>
      <c r="Z20" s="163"/>
    </row>
    <row r="21" spans="1:2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Normal="100" workbookViewId="0">
      <selection activeCell="D4" sqref="D4:R4"/>
    </sheetView>
  </sheetViews>
  <sheetFormatPr defaultRowHeight="15.75" outlineLevelCol="1"/>
  <cols>
    <col min="1" max="1" width="13.875" style="601" customWidth="1"/>
    <col min="2" max="2" width="2.5" style="248" customWidth="1"/>
    <col min="3" max="3" width="4.25" style="379" customWidth="1"/>
    <col min="4" max="4" width="19.375" style="379" customWidth="1"/>
    <col min="5" max="5" width="2.625" style="379" customWidth="1"/>
    <col min="6" max="7" width="19.25" style="379" customWidth="1"/>
    <col min="8" max="8" width="1.625" style="379" customWidth="1"/>
    <col min="9" max="18" width="1.875" style="379" customWidth="1"/>
    <col min="19" max="19" width="2.5" style="379" customWidth="1"/>
    <col min="20" max="20" width="2.625" style="379" customWidth="1"/>
    <col min="21" max="21" width="33.62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415</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72" t="str">
        <f>C.2Name</f>
        <v>Grants Pass Limited Maintenance Plans for CO and PM10</v>
      </c>
      <c r="G2" s="1472"/>
      <c r="H2" s="1472"/>
      <c r="I2" s="1472"/>
      <c r="J2" s="1472"/>
      <c r="K2" s="1472"/>
      <c r="L2" s="1472"/>
      <c r="M2" s="1472"/>
      <c r="N2" s="1472"/>
      <c r="O2" s="1472"/>
      <c r="P2" s="1472"/>
      <c r="Q2" s="1472"/>
      <c r="R2" s="1472"/>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6" t="s">
        <v>0</v>
      </c>
      <c r="V3" s="1506"/>
      <c r="W3" s="1506"/>
      <c r="X3" s="406"/>
      <c r="Y3" s="407" t="s">
        <v>0</v>
      </c>
      <c r="Z3" s="405"/>
      <c r="AA3" s="405"/>
      <c r="AB3" s="405"/>
      <c r="AC3" s="405"/>
      <c r="AD3" s="143"/>
      <c r="AE3" s="143"/>
      <c r="AF3" s="1507" t="s">
        <v>0</v>
      </c>
      <c r="AG3" s="1507"/>
      <c r="AH3" s="1507"/>
      <c r="AI3" s="1507"/>
      <c r="AJ3" s="1507"/>
      <c r="AK3" s="1507"/>
      <c r="AL3" s="1507"/>
      <c r="AM3" s="1507"/>
      <c r="AN3" s="1507"/>
      <c r="AO3" s="1507"/>
      <c r="AP3" s="1507"/>
      <c r="AQ3" s="1507"/>
    </row>
    <row r="4" spans="1:43" ht="16.5" customHeight="1">
      <c r="B4" s="563"/>
      <c r="C4" s="202"/>
      <c r="D4" s="1508" t="s">
        <v>1118</v>
      </c>
      <c r="E4" s="1509"/>
      <c r="F4" s="1509"/>
      <c r="G4" s="1509"/>
      <c r="H4" s="1509"/>
      <c r="I4" s="1509"/>
      <c r="J4" s="1509"/>
      <c r="K4" s="1509"/>
      <c r="L4" s="1509"/>
      <c r="M4" s="1509"/>
      <c r="N4" s="1509"/>
      <c r="O4" s="1509"/>
      <c r="P4" s="1509"/>
      <c r="Q4" s="1509"/>
      <c r="R4" s="1510"/>
      <c r="S4" s="292"/>
      <c r="T4" s="563"/>
      <c r="U4" s="114"/>
      <c r="V4" s="114"/>
      <c r="W4" s="161"/>
      <c r="X4" s="55"/>
      <c r="Y4" s="38"/>
      <c r="Z4" s="66"/>
    </row>
    <row r="5" spans="1:43" ht="30.75" customHeight="1">
      <c r="B5" s="563"/>
      <c r="C5" s="398"/>
      <c r="D5" s="1299" t="s">
        <v>352</v>
      </c>
      <c r="E5" s="1299"/>
      <c r="F5" s="1299"/>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321" t="s">
        <v>217</v>
      </c>
      <c r="E7" s="1322"/>
      <c r="F7" s="1323"/>
      <c r="G7" s="1323"/>
      <c r="H7" s="1295"/>
      <c r="I7" s="1295"/>
      <c r="J7" s="1295"/>
      <c r="K7" s="1295"/>
      <c r="L7" s="1295"/>
      <c r="M7" s="1295"/>
      <c r="N7" s="1295"/>
      <c r="O7" s="1295"/>
      <c r="P7" s="1295"/>
      <c r="Q7" s="1295"/>
      <c r="R7" s="1295"/>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14" t="s">
        <v>1054</v>
      </c>
      <c r="E9" s="1514"/>
      <c r="F9" s="1514"/>
      <c r="G9" s="1083"/>
      <c r="H9" s="1083"/>
      <c r="I9" s="1336" t="s">
        <v>37</v>
      </c>
      <c r="J9" s="1337"/>
      <c r="K9" s="1337"/>
      <c r="L9" s="1337"/>
      <c r="M9" s="1337"/>
      <c r="N9" s="1337"/>
      <c r="O9" s="1337"/>
      <c r="P9" s="1337"/>
      <c r="Q9" s="1337"/>
      <c r="R9" s="1338"/>
      <c r="S9" s="201"/>
      <c r="T9" s="563"/>
      <c r="U9" s="385" t="s">
        <v>757</v>
      </c>
      <c r="V9" s="313"/>
      <c r="W9" s="161"/>
      <c r="X9" s="1019" t="str">
        <f>IF(C.10PolicyRisk=1,"low",IF(C.10PolicyRisk=2,"low/medium",IF(C.10PolicyRisk=3,"medium",IF(C.10PolicyRisk=4,"medium/high","high"))))</f>
        <v>low</v>
      </c>
      <c r="Y9" s="147"/>
    </row>
    <row r="10" spans="1:43" ht="16.5">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1</v>
      </c>
      <c r="Y10" s="882" t="str">
        <f>I9</f>
        <v>definitely not complex</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758</v>
      </c>
      <c r="V11" s="9"/>
      <c r="W11" s="9"/>
      <c r="X11" s="58"/>
      <c r="Y11" s="147"/>
    </row>
    <row r="12" spans="1:43">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52" t="s">
        <v>0</v>
      </c>
      <c r="E14" s="1253"/>
      <c r="F14" s="1253"/>
      <c r="G14" s="1253"/>
      <c r="H14" s="1253"/>
      <c r="I14" s="1253"/>
      <c r="J14" s="1253"/>
      <c r="K14" s="1253"/>
      <c r="L14" s="1253"/>
      <c r="M14" s="1253"/>
      <c r="N14" s="1253"/>
      <c r="O14" s="1253"/>
      <c r="P14" s="1253"/>
      <c r="Q14" s="1253"/>
      <c r="R14" s="1253"/>
      <c r="S14" s="1254"/>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11" t="s">
        <v>0</v>
      </c>
      <c r="E16" s="1512"/>
      <c r="F16" s="1512"/>
      <c r="G16" s="1512"/>
      <c r="H16" s="1512"/>
      <c r="I16" s="1512"/>
      <c r="J16" s="1512"/>
      <c r="K16" s="1512"/>
      <c r="L16" s="1512"/>
      <c r="M16" s="1512"/>
      <c r="N16" s="1512"/>
      <c r="O16" s="1512"/>
      <c r="P16" s="1512"/>
      <c r="Q16" s="1512"/>
      <c r="R16" s="1513"/>
      <c r="S16" s="201"/>
      <c r="T16" s="563"/>
      <c r="U16" s="161"/>
      <c r="V16" s="161"/>
      <c r="W16" s="161"/>
      <c r="X16" s="50"/>
      <c r="Y16" s="50"/>
      <c r="Z16" s="163"/>
    </row>
    <row r="17" spans="1:26" ht="18.75">
      <c r="B17" s="563"/>
      <c r="C17" s="371"/>
      <c r="D17" s="372"/>
      <c r="E17" s="372"/>
      <c r="F17" s="1226">
        <f ca="1">TODAY()</f>
        <v>41810</v>
      </c>
      <c r="G17" s="1226"/>
      <c r="H17" s="1226"/>
      <c r="I17" s="1226"/>
      <c r="J17" s="1226"/>
      <c r="K17" s="1226"/>
      <c r="L17" s="1226"/>
      <c r="M17" s="1226"/>
      <c r="N17" s="1226"/>
      <c r="O17" s="1226"/>
      <c r="P17" s="1226"/>
      <c r="Q17" s="1226"/>
      <c r="R17" s="1226"/>
      <c r="S17" s="1227"/>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4.25"/>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workbookViewId="0">
      <selection activeCell="U21" sqref="U21"/>
    </sheetView>
  </sheetViews>
  <sheetFormatPr defaultRowHeight="15.75" outlineLevelCol="1"/>
  <cols>
    <col min="1" max="1" width="13.75" style="601" customWidth="1"/>
    <col min="2" max="2" width="2.75" style="379" customWidth="1"/>
    <col min="3" max="3" width="4.25" style="379" customWidth="1"/>
    <col min="4" max="4" width="19.375" style="379" customWidth="1"/>
    <col min="5" max="5" width="2.625" style="379" customWidth="1"/>
    <col min="6" max="6" width="6.125" style="379" customWidth="1"/>
    <col min="7" max="7" width="21.375" style="379" customWidth="1"/>
    <col min="8" max="8" width="1.625" style="379" customWidth="1"/>
    <col min="9" max="18" width="1.875" style="379" customWidth="1"/>
    <col min="19" max="19" width="2.5" style="379" customWidth="1"/>
    <col min="20" max="20" width="2.625" style="379" customWidth="1"/>
    <col min="21" max="21" width="30.7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7" t="s">
        <v>415</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72" t="str">
        <f>C.2Name</f>
        <v>Grants Pass Limited Maintenance Plans for CO and PM10</v>
      </c>
      <c r="G2" s="1472"/>
      <c r="H2" s="1472"/>
      <c r="I2" s="1472"/>
      <c r="J2" s="1472"/>
      <c r="K2" s="1472"/>
      <c r="L2" s="1472"/>
      <c r="M2" s="1472"/>
      <c r="N2" s="1472"/>
      <c r="O2" s="1472"/>
      <c r="P2" s="1472"/>
      <c r="Q2" s="1472"/>
      <c r="R2" s="1472"/>
      <c r="S2" s="200"/>
      <c r="T2" s="563"/>
      <c r="U2" s="424" t="s">
        <v>0</v>
      </c>
      <c r="V2" s="424"/>
      <c r="W2" s="424"/>
      <c r="X2" s="68" t="s">
        <v>0</v>
      </c>
      <c r="Y2" s="68"/>
      <c r="Z2" s="176"/>
    </row>
    <row r="3" spans="1:43" ht="37.5" customHeight="1" thickTop="1">
      <c r="B3" s="563"/>
      <c r="C3" s="202"/>
      <c r="D3" s="1519" t="s">
        <v>396</v>
      </c>
      <c r="E3" s="1519"/>
      <c r="F3" s="1519"/>
      <c r="G3" s="1519"/>
      <c r="H3" s="641"/>
      <c r="I3" s="641"/>
      <c r="J3" s="641"/>
      <c r="K3" s="641"/>
      <c r="L3" s="641"/>
      <c r="M3" s="641"/>
      <c r="N3" s="641"/>
      <c r="O3" s="641"/>
      <c r="P3" s="641"/>
      <c r="Q3" s="641"/>
      <c r="R3" s="641"/>
      <c r="S3" s="771"/>
      <c r="T3" s="563"/>
      <c r="U3" s="1506" t="s">
        <v>0</v>
      </c>
      <c r="V3" s="1506"/>
      <c r="W3" s="1506"/>
      <c r="X3" s="406"/>
      <c r="Y3" s="407" t="s">
        <v>0</v>
      </c>
      <c r="Z3" s="405"/>
      <c r="AA3" s="405"/>
      <c r="AB3" s="405"/>
      <c r="AC3" s="405"/>
      <c r="AD3" s="143"/>
      <c r="AE3" s="143"/>
      <c r="AF3" s="1507" t="s">
        <v>0</v>
      </c>
      <c r="AG3" s="1507"/>
      <c r="AH3" s="1507"/>
      <c r="AI3" s="1507"/>
      <c r="AJ3" s="1507"/>
      <c r="AK3" s="1507"/>
      <c r="AL3" s="1507"/>
      <c r="AM3" s="1507"/>
      <c r="AN3" s="1507"/>
      <c r="AO3" s="1507"/>
      <c r="AP3" s="1507"/>
      <c r="AQ3" s="1507"/>
    </row>
    <row r="4" spans="1:43" ht="15.75" customHeight="1">
      <c r="A4" s="379"/>
      <c r="B4" s="563"/>
      <c r="C4" s="202"/>
      <c r="D4" s="1515" t="s">
        <v>1109</v>
      </c>
      <c r="E4" s="1516"/>
      <c r="F4" s="1516"/>
      <c r="G4" s="1516"/>
      <c r="H4" s="1516"/>
      <c r="I4" s="1516"/>
      <c r="J4" s="1516"/>
      <c r="K4" s="1516"/>
      <c r="L4" s="1516"/>
      <c r="M4" s="1516"/>
      <c r="N4" s="1516"/>
      <c r="O4" s="1516"/>
      <c r="P4" s="1516"/>
      <c r="Q4" s="1516"/>
      <c r="R4" s="1517"/>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8" t="s">
        <v>401</v>
      </c>
      <c r="E6" s="1518"/>
      <c r="F6" s="1518"/>
      <c r="G6" s="1018"/>
      <c r="H6" s="1020"/>
      <c r="I6" s="1336" t="s">
        <v>37</v>
      </c>
      <c r="J6" s="1337"/>
      <c r="K6" s="1337"/>
      <c r="L6" s="1337"/>
      <c r="M6" s="1337"/>
      <c r="N6" s="1337"/>
      <c r="O6" s="1337"/>
      <c r="P6" s="1337"/>
      <c r="Q6" s="1337"/>
      <c r="R6" s="1338"/>
      <c r="S6" s="201"/>
      <c r="T6" s="563"/>
      <c r="U6" s="385" t="s">
        <v>757</v>
      </c>
      <c r="V6" s="313"/>
      <c r="W6" s="161"/>
      <c r="X6" s="147"/>
      <c r="Y6" s="147"/>
    </row>
    <row r="7" spans="1:43" ht="16.5">
      <c r="B7" s="563"/>
      <c r="C7" s="202"/>
      <c r="D7" s="1518"/>
      <c r="E7" s="1518"/>
      <c r="F7" s="1518"/>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8.75" customHeight="1">
      <c r="B8" s="563"/>
      <c r="C8" s="203"/>
      <c r="D8" s="1518"/>
      <c r="E8" s="1518"/>
      <c r="F8" s="1518"/>
      <c r="G8" s="690"/>
      <c r="H8" s="216"/>
      <c r="I8" s="216"/>
      <c r="J8" s="216"/>
      <c r="K8" s="216"/>
      <c r="L8" s="216"/>
      <c r="M8" s="216"/>
      <c r="N8" s="216"/>
      <c r="O8" s="216"/>
      <c r="P8" s="216"/>
      <c r="Q8" s="216"/>
      <c r="R8" s="216"/>
      <c r="S8" s="154"/>
      <c r="T8" s="563"/>
      <c r="U8" s="313" t="s">
        <v>758</v>
      </c>
      <c r="V8" s="9"/>
      <c r="W8" s="9"/>
      <c r="X8" s="58"/>
      <c r="Y8" s="147"/>
    </row>
    <row r="9" spans="1:43">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9" t="s">
        <v>0</v>
      </c>
      <c r="E13" s="1450"/>
      <c r="F13" s="1450"/>
      <c r="G13" s="1450"/>
      <c r="H13" s="1450"/>
      <c r="I13" s="1450"/>
      <c r="J13" s="1450"/>
      <c r="K13" s="1450"/>
      <c r="L13" s="1450"/>
      <c r="M13" s="1450"/>
      <c r="N13" s="1450"/>
      <c r="O13" s="1450"/>
      <c r="P13" s="1450"/>
      <c r="Q13" s="1450"/>
      <c r="R13" s="1451"/>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33" t="s">
        <v>0</v>
      </c>
      <c r="E15" s="1334"/>
      <c r="F15" s="1334"/>
      <c r="G15" s="1334"/>
      <c r="H15" s="1334"/>
      <c r="I15" s="1334"/>
      <c r="J15" s="1334"/>
      <c r="K15" s="1334"/>
      <c r="L15" s="1334"/>
      <c r="M15" s="1334"/>
      <c r="N15" s="1334"/>
      <c r="O15" s="1334"/>
      <c r="P15" s="1334"/>
      <c r="Q15" s="1334"/>
      <c r="R15" s="1335"/>
      <c r="S15" s="201"/>
      <c r="T15" s="563"/>
      <c r="U15" s="161"/>
      <c r="V15" s="161"/>
      <c r="W15" s="161"/>
      <c r="X15" s="50"/>
      <c r="Y15" s="50"/>
      <c r="Z15" s="163"/>
    </row>
    <row r="16" spans="1:43" ht="18.75">
      <c r="B16" s="563"/>
      <c r="C16" s="371"/>
      <c r="D16" s="372"/>
      <c r="E16" s="372"/>
      <c r="F16" s="1226">
        <f ca="1">TODAY()</f>
        <v>41810</v>
      </c>
      <c r="G16" s="1226"/>
      <c r="H16" s="1226"/>
      <c r="I16" s="1226"/>
      <c r="J16" s="1226"/>
      <c r="K16" s="1226"/>
      <c r="L16" s="1226"/>
      <c r="M16" s="1226"/>
      <c r="N16" s="1226"/>
      <c r="O16" s="1226"/>
      <c r="P16" s="1226"/>
      <c r="Q16" s="1226"/>
      <c r="R16" s="1226"/>
      <c r="S16" s="1227"/>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4.25"/>
    <row r="40" spans="1:26" customFormat="1" ht="14.25"/>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workbookViewId="0">
      <selection activeCell="U10" sqref="U10"/>
    </sheetView>
  </sheetViews>
  <sheetFormatPr defaultRowHeight="15.75" outlineLevelCol="1"/>
  <cols>
    <col min="1" max="1" width="13.875" style="601" customWidth="1"/>
    <col min="2" max="2" width="2.625" style="379" customWidth="1"/>
    <col min="3" max="3" width="4.25" style="379" customWidth="1"/>
    <col min="4" max="4" width="19.375" style="379" customWidth="1"/>
    <col min="5" max="5" width="2.625" style="379" customWidth="1"/>
    <col min="6" max="7" width="21.625" style="379" customWidth="1"/>
    <col min="8" max="8" width="1.625" style="379" customWidth="1"/>
    <col min="9" max="18" width="1.875" style="379" customWidth="1"/>
    <col min="19" max="19" width="2.5" style="379" customWidth="1"/>
    <col min="20" max="20" width="2.625" style="379" customWidth="1"/>
    <col min="21" max="21" width="31.5" style="379" customWidth="1"/>
    <col min="22" max="22" width="8.25" style="379" customWidth="1"/>
    <col min="23" max="23" width="9" style="379"/>
    <col min="24" max="24" width="9" style="379" hidden="1" customWidth="1" outlineLevel="1"/>
    <col min="25" max="25" width="23.75" style="379" hidden="1" customWidth="1" outlineLevel="1"/>
    <col min="26" max="26" width="9" style="379" collapsed="1"/>
    <col min="27" max="16384" width="9" style="379"/>
  </cols>
  <sheetData>
    <row r="1" spans="1:43" ht="21" customHeight="1">
      <c r="A1" s="1078" t="s">
        <v>415</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21" t="s">
        <v>329</v>
      </c>
      <c r="E2" s="1521"/>
      <c r="F2" s="1472" t="str">
        <f>C.2Name</f>
        <v>Grants Pass Limited Maintenance Plans for CO and PM10</v>
      </c>
      <c r="G2" s="1472"/>
      <c r="H2" s="1472"/>
      <c r="I2" s="1472"/>
      <c r="J2" s="1472"/>
      <c r="K2" s="1472"/>
      <c r="L2" s="1472"/>
      <c r="M2" s="1472"/>
      <c r="N2" s="1472"/>
      <c r="O2" s="1472"/>
      <c r="P2" s="1472"/>
      <c r="Q2" s="1472"/>
      <c r="R2" s="1472"/>
      <c r="S2" s="200"/>
      <c r="T2" s="563"/>
      <c r="U2" s="424" t="s">
        <v>0</v>
      </c>
      <c r="V2" s="424"/>
      <c r="W2" s="424"/>
      <c r="X2" s="68" t="s">
        <v>0</v>
      </c>
      <c r="Y2" s="68"/>
      <c r="Z2" s="176"/>
    </row>
    <row r="3" spans="1:43" ht="33" customHeight="1" thickTop="1">
      <c r="B3" s="563"/>
      <c r="C3" s="590"/>
      <c r="D3" s="641" t="s">
        <v>393</v>
      </c>
      <c r="E3" s="641"/>
      <c r="F3" s="641"/>
      <c r="G3" s="654"/>
      <c r="H3" s="654"/>
      <c r="I3" s="654"/>
      <c r="J3" s="654"/>
      <c r="K3" s="654"/>
      <c r="L3" s="654"/>
      <c r="M3" s="654"/>
      <c r="N3" s="654"/>
      <c r="O3" s="654"/>
      <c r="P3" s="654"/>
      <c r="Q3" s="654"/>
      <c r="R3" s="690"/>
      <c r="S3" s="683"/>
      <c r="T3" s="563"/>
      <c r="U3"/>
      <c r="V3" s="9"/>
      <c r="W3" s="9"/>
      <c r="X3" s="58"/>
      <c r="Y3" s="147"/>
    </row>
    <row r="4" spans="1:43" ht="30.75" customHeight="1">
      <c r="B4" s="563"/>
      <c r="C4" s="202"/>
      <c r="D4" s="1520" t="s">
        <v>1110</v>
      </c>
      <c r="E4" s="1520"/>
      <c r="F4" s="1520"/>
      <c r="G4" s="1520"/>
      <c r="H4" s="1520"/>
      <c r="I4" s="1520"/>
      <c r="J4" s="1520"/>
      <c r="K4" s="1520"/>
      <c r="L4" s="1520"/>
      <c r="M4" s="1520"/>
      <c r="N4" s="1520"/>
      <c r="O4" s="1520"/>
      <c r="P4" s="1520"/>
      <c r="Q4" s="1520"/>
      <c r="R4" s="1520"/>
      <c r="S4" s="771"/>
      <c r="T4" s="563"/>
      <c r="U4" s="1506" t="s">
        <v>0</v>
      </c>
      <c r="V4" s="1506"/>
      <c r="W4" s="1506"/>
      <c r="X4" s="406"/>
      <c r="Y4" s="407" t="s">
        <v>0</v>
      </c>
      <c r="Z4" s="405"/>
      <c r="AA4" s="405"/>
      <c r="AB4" s="405"/>
      <c r="AC4" s="405"/>
      <c r="AD4" s="143"/>
      <c r="AE4" s="143"/>
      <c r="AF4" s="1507" t="s">
        <v>0</v>
      </c>
      <c r="AG4" s="1507"/>
      <c r="AH4" s="1507"/>
      <c r="AI4" s="1507"/>
      <c r="AJ4" s="1507"/>
      <c r="AK4" s="1507"/>
      <c r="AL4" s="1507"/>
      <c r="AM4" s="1507"/>
      <c r="AN4" s="1507"/>
      <c r="AO4" s="1507"/>
      <c r="AP4" s="1507"/>
      <c r="AQ4" s="1507"/>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6" t="s">
        <v>37</v>
      </c>
      <c r="J6" s="1337"/>
      <c r="K6" s="1337"/>
      <c r="L6" s="1337"/>
      <c r="M6" s="1337"/>
      <c r="N6" s="1337"/>
      <c r="O6" s="1337"/>
      <c r="P6" s="1337"/>
      <c r="Q6" s="1337"/>
      <c r="R6" s="1338"/>
      <c r="S6" s="201"/>
      <c r="T6" s="563"/>
      <c r="U6" s="385" t="s">
        <v>757</v>
      </c>
      <c r="V6" s="313"/>
      <c r="W6" s="161"/>
      <c r="X6" s="147"/>
      <c r="Y6" s="147"/>
    </row>
    <row r="7" spans="1:43" ht="18.75">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1</v>
      </c>
      <c r="Y7" s="882" t="str">
        <f>I6</f>
        <v>definitely not complex</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758</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52" t="s">
        <v>0</v>
      </c>
      <c r="E12" s="1253"/>
      <c r="F12" s="1253"/>
      <c r="G12" s="1253"/>
      <c r="H12" s="1253"/>
      <c r="I12" s="1253"/>
      <c r="J12" s="1253"/>
      <c r="K12" s="1253"/>
      <c r="L12" s="1253"/>
      <c r="M12" s="1253"/>
      <c r="N12" s="1253"/>
      <c r="O12" s="1253"/>
      <c r="P12" s="1253"/>
      <c r="Q12" s="1253"/>
      <c r="R12" s="1254"/>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33" t="s">
        <v>0</v>
      </c>
      <c r="E14" s="1334"/>
      <c r="F14" s="1334"/>
      <c r="G14" s="1334"/>
      <c r="H14" s="1334"/>
      <c r="I14" s="1334"/>
      <c r="J14" s="1334"/>
      <c r="K14" s="1334"/>
      <c r="L14" s="1334"/>
      <c r="M14" s="1334"/>
      <c r="N14" s="1334"/>
      <c r="O14" s="1334"/>
      <c r="P14" s="1334"/>
      <c r="Q14" s="1334"/>
      <c r="R14" s="1335"/>
      <c r="S14" s="201"/>
      <c r="T14" s="563"/>
      <c r="U14" s="161"/>
      <c r="V14" s="161"/>
      <c r="W14" s="161"/>
      <c r="X14" s="146"/>
      <c r="Y14" s="146"/>
      <c r="Z14" s="163"/>
    </row>
    <row r="15" spans="1:43" ht="31.5" customHeight="1">
      <c r="A15" s="1078" t="s">
        <v>251</v>
      </c>
      <c r="B15" s="563"/>
      <c r="C15" s="371"/>
      <c r="D15" s="372"/>
      <c r="E15" s="372"/>
      <c r="F15" s="1226">
        <f ca="1">TODAY()</f>
        <v>41810</v>
      </c>
      <c r="G15" s="1226"/>
      <c r="H15" s="1226"/>
      <c r="I15" s="1226"/>
      <c r="J15" s="1226"/>
      <c r="K15" s="1226"/>
      <c r="L15" s="1226"/>
      <c r="M15" s="1226"/>
      <c r="N15" s="1226"/>
      <c r="O15" s="1226"/>
      <c r="P15" s="1226"/>
      <c r="Q15" s="1226"/>
      <c r="R15" s="1226"/>
      <c r="S15" s="1227"/>
      <c r="T15" s="563"/>
      <c r="U15" s="161"/>
      <c r="V15" s="161"/>
      <c r="W15" s="161"/>
      <c r="X15" s="50"/>
      <c r="Y15" s="50"/>
      <c r="Z15" s="163"/>
    </row>
    <row r="16" spans="1:43">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17.xml><?xml version="1.0" encoding="utf-8"?>
<worksheet xmlns="http://schemas.openxmlformats.org/spreadsheetml/2006/main" xmlns:r="http://schemas.openxmlformats.org/officeDocument/2006/relationships">
  <dimension ref="B1:G40"/>
  <sheetViews>
    <sheetView workbookViewId="0">
      <selection activeCell="C11" sqref="C11"/>
    </sheetView>
  </sheetViews>
  <sheetFormatPr defaultRowHeight="14.25"/>
  <cols>
    <col min="2" max="2" width="55.5" customWidth="1"/>
    <col min="3" max="3" width="8.375" style="46" customWidth="1"/>
    <col min="4" max="4" width="10.5" customWidth="1"/>
    <col min="6" max="6" width="11.875" customWidth="1"/>
    <col min="7" max="7" width="23.375" customWidth="1"/>
  </cols>
  <sheetData>
    <row r="1" spans="2:7">
      <c r="D1" s="1150" t="s">
        <v>1095</v>
      </c>
      <c r="E1" s="1150" t="s">
        <v>1096</v>
      </c>
      <c r="F1" s="1150" t="s">
        <v>1097</v>
      </c>
      <c r="G1" s="1150" t="s">
        <v>1099</v>
      </c>
    </row>
    <row r="2" spans="2:7" ht="15.75">
      <c r="B2" s="1152" t="s">
        <v>1061</v>
      </c>
      <c r="C2" s="46" t="s">
        <v>1098</v>
      </c>
    </row>
    <row r="3" spans="2:7" ht="15.75">
      <c r="B3" s="1152" t="s">
        <v>1062</v>
      </c>
    </row>
    <row r="4" spans="2:7" ht="15.75">
      <c r="B4" s="1152" t="s">
        <v>1063</v>
      </c>
    </row>
    <row r="5" spans="2:7" ht="15.75">
      <c r="B5" s="1152" t="s">
        <v>1064</v>
      </c>
    </row>
    <row r="6" spans="2:7" ht="15.75">
      <c r="B6" s="1152" t="s">
        <v>1065</v>
      </c>
    </row>
    <row r="7" spans="2:7" ht="15.75">
      <c r="B7" s="1152" t="s">
        <v>1066</v>
      </c>
    </row>
    <row r="8" spans="2:7" ht="15.75">
      <c r="B8" s="1152" t="s">
        <v>1067</v>
      </c>
    </row>
    <row r="9" spans="2:7" ht="15.75">
      <c r="B9" s="1152" t="s">
        <v>1068</v>
      </c>
    </row>
    <row r="10" spans="2:7" ht="15.75">
      <c r="B10" s="1152" t="s">
        <v>1069</v>
      </c>
    </row>
    <row r="11" spans="2:7" ht="15.75">
      <c r="B11" s="1152" t="s">
        <v>1070</v>
      </c>
    </row>
    <row r="12" spans="2:7" ht="15.75">
      <c r="B12" s="1152" t="s">
        <v>1071</v>
      </c>
    </row>
    <row r="13" spans="2:7" ht="15.75">
      <c r="B13" s="1152" t="s">
        <v>1072</v>
      </c>
    </row>
    <row r="14" spans="2:7" ht="15.75">
      <c r="B14" s="1152" t="s">
        <v>1073</v>
      </c>
    </row>
    <row r="15" spans="2:7" ht="15.75">
      <c r="B15" s="1152" t="s">
        <v>1074</v>
      </c>
    </row>
    <row r="16" spans="2:7" ht="15.75">
      <c r="B16" s="1152" t="s">
        <v>1075</v>
      </c>
    </row>
    <row r="17" spans="2:2" ht="15.75">
      <c r="B17" s="1152" t="s">
        <v>1076</v>
      </c>
    </row>
    <row r="18" spans="2:2" ht="15.75">
      <c r="B18" s="1152" t="s">
        <v>1077</v>
      </c>
    </row>
    <row r="19" spans="2:2" ht="15.75">
      <c r="B19" s="1152" t="s">
        <v>1078</v>
      </c>
    </row>
    <row r="20" spans="2:2" ht="15.75">
      <c r="B20" s="1152" t="s">
        <v>1079</v>
      </c>
    </row>
    <row r="21" spans="2:2" ht="15.75">
      <c r="B21" s="1152" t="s">
        <v>1080</v>
      </c>
    </row>
    <row r="22" spans="2:2" ht="15.75">
      <c r="B22" s="1152" t="s">
        <v>1081</v>
      </c>
    </row>
    <row r="23" spans="2:2" ht="15.75">
      <c r="B23" s="1152" t="s">
        <v>1082</v>
      </c>
    </row>
    <row r="24" spans="2:2" ht="15.75">
      <c r="B24" s="1152" t="s">
        <v>1083</v>
      </c>
    </row>
    <row r="25" spans="2:2" ht="15.75">
      <c r="B25" s="1152" t="s">
        <v>1084</v>
      </c>
    </row>
    <row r="26" spans="2:2" ht="15.75">
      <c r="B26" s="1152" t="s">
        <v>136</v>
      </c>
    </row>
    <row r="27" spans="2:2" ht="15.75">
      <c r="B27" s="1152" t="s">
        <v>142</v>
      </c>
    </row>
    <row r="28" spans="2:2" ht="15.75">
      <c r="B28" s="1152" t="s">
        <v>143</v>
      </c>
    </row>
    <row r="29" spans="2:2" ht="15.75">
      <c r="B29" s="1152" t="s">
        <v>1085</v>
      </c>
    </row>
    <row r="30" spans="2:2" ht="15.75">
      <c r="B30" s="1152" t="s">
        <v>1086</v>
      </c>
    </row>
    <row r="31" spans="2:2" ht="15.75">
      <c r="B31" s="1152" t="s">
        <v>140</v>
      </c>
    </row>
    <row r="32" spans="2:2" ht="15.75">
      <c r="B32" s="1152" t="s">
        <v>1087</v>
      </c>
    </row>
    <row r="33" spans="2:2" ht="15.75">
      <c r="B33" s="1152" t="s">
        <v>1088</v>
      </c>
    </row>
    <row r="34" spans="2:2" ht="15.75">
      <c r="B34" s="1152" t="s">
        <v>155</v>
      </c>
    </row>
    <row r="35" spans="2:2" ht="15.75">
      <c r="B35" s="1152" t="s">
        <v>1089</v>
      </c>
    </row>
    <row r="36" spans="2:2" ht="15.75">
      <c r="B36" s="1152" t="s">
        <v>1090</v>
      </c>
    </row>
    <row r="37" spans="2:2" ht="15.75">
      <c r="B37" s="1152" t="s">
        <v>1091</v>
      </c>
    </row>
    <row r="38" spans="2:2" ht="15.75">
      <c r="B38" s="1152" t="s">
        <v>1092</v>
      </c>
    </row>
    <row r="39" spans="2:2" ht="15.75">
      <c r="B39" s="1152" t="s">
        <v>1093</v>
      </c>
    </row>
    <row r="40" spans="2:2" ht="15.75">
      <c r="B40" s="1152" t="s">
        <v>1094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4.25"/>
  <cols>
    <col min="1" max="1" width="8.75" style="1066" customWidth="1"/>
    <col min="2" max="2" width="9.375" style="1067" customWidth="1"/>
    <col min="3" max="3" width="9" style="1068"/>
    <col min="4" max="4" width="10.375" customWidth="1"/>
    <col min="5" max="5" width="11.375" customWidth="1"/>
    <col min="6" max="6" width="8.125" style="1065" customWidth="1"/>
    <col min="7" max="7" width="26.25" style="1075" customWidth="1"/>
    <col min="8" max="8" width="23.875" style="1075" customWidth="1"/>
    <col min="9" max="9" width="8.5" style="1068" customWidth="1"/>
    <col min="10" max="10" width="5.625" customWidth="1"/>
    <col min="11" max="11" width="5.375" style="1063" customWidth="1"/>
    <col min="12" max="20" width="3.75" customWidth="1"/>
    <col min="21" max="30" width="4.75" customWidth="1"/>
    <col min="31" max="34" width="4.75" style="1065" customWidth="1"/>
  </cols>
  <sheetData>
    <row r="1" spans="1:34" s="1063" customFormat="1" ht="20.25">
      <c r="A1" s="1156" t="s">
        <v>548</v>
      </c>
      <c r="B1" s="1156"/>
      <c r="C1" s="1156"/>
      <c r="D1" s="1156"/>
      <c r="E1" s="1156"/>
      <c r="F1" s="1156"/>
      <c r="G1" s="1156"/>
      <c r="H1" s="1076"/>
      <c r="I1" s="1155" t="s">
        <v>547</v>
      </c>
      <c r="J1" s="1155"/>
      <c r="K1" s="1155"/>
      <c r="L1" s="1155"/>
      <c r="M1" s="1155"/>
      <c r="N1" s="1155"/>
      <c r="O1" s="1155"/>
      <c r="P1" s="1155"/>
      <c r="Q1" s="1155"/>
      <c r="R1" s="1155"/>
      <c r="S1" s="1155"/>
      <c r="T1" s="1155"/>
      <c r="U1" s="1155"/>
      <c r="V1" s="1155"/>
      <c r="W1" s="1155"/>
      <c r="X1" s="1155"/>
      <c r="Y1" s="1155"/>
      <c r="Z1" s="1155"/>
      <c r="AA1" s="1155"/>
      <c r="AB1" s="1155"/>
      <c r="AC1" s="1155"/>
      <c r="AD1" s="1155"/>
      <c r="AE1" s="633"/>
      <c r="AF1" s="633"/>
      <c r="AG1" s="633"/>
      <c r="AH1" s="633"/>
    </row>
    <row r="2" spans="1:34">
      <c r="A2" s="1070" t="s">
        <v>543</v>
      </c>
      <c r="B2" s="1069" t="s">
        <v>544</v>
      </c>
      <c r="C2" s="1071" t="s">
        <v>540</v>
      </c>
      <c r="D2" s="1072" t="s">
        <v>545</v>
      </c>
      <c r="E2" s="1072" t="s">
        <v>541</v>
      </c>
      <c r="F2" s="1069" t="s">
        <v>542</v>
      </c>
      <c r="G2" s="1074" t="s">
        <v>546</v>
      </c>
      <c r="H2" s="1074" t="s">
        <v>553</v>
      </c>
      <c r="I2" s="1071" t="s">
        <v>556</v>
      </c>
      <c r="J2" s="1072" t="s">
        <v>550</v>
      </c>
      <c r="K2" s="1072" t="s">
        <v>549</v>
      </c>
      <c r="L2" s="1069" t="s">
        <v>557</v>
      </c>
      <c r="M2" s="1069" t="s">
        <v>558</v>
      </c>
      <c r="N2" s="1069" t="s">
        <v>559</v>
      </c>
      <c r="O2" s="1069" t="s">
        <v>560</v>
      </c>
      <c r="P2" s="1069" t="s">
        <v>561</v>
      </c>
      <c r="Q2" s="1069" t="s">
        <v>562</v>
      </c>
      <c r="R2" s="1069" t="s">
        <v>563</v>
      </c>
      <c r="S2" s="1069" t="s">
        <v>564</v>
      </c>
      <c r="T2" s="1069" t="s">
        <v>565</v>
      </c>
      <c r="U2" s="1069" t="s">
        <v>566</v>
      </c>
      <c r="V2" s="1069" t="s">
        <v>567</v>
      </c>
      <c r="W2" s="1069" t="s">
        <v>568</v>
      </c>
      <c r="X2" s="1069" t="s">
        <v>569</v>
      </c>
      <c r="Y2" s="1069" t="s">
        <v>570</v>
      </c>
      <c r="Z2" s="1069" t="s">
        <v>571</v>
      </c>
      <c r="AA2" s="1069" t="s">
        <v>572</v>
      </c>
      <c r="AB2" s="1069" t="s">
        <v>573</v>
      </c>
      <c r="AC2" s="1069" t="s">
        <v>574</v>
      </c>
      <c r="AD2" s="1069" t="s">
        <v>575</v>
      </c>
      <c r="AE2" s="1069" t="s">
        <v>576</v>
      </c>
      <c r="AF2" s="1069" t="s">
        <v>577</v>
      </c>
      <c r="AG2" s="1069" t="s">
        <v>578</v>
      </c>
      <c r="AH2" s="1069" t="s">
        <v>579</v>
      </c>
    </row>
    <row r="3" spans="1:34" ht="28.5">
      <c r="A3" s="1066">
        <v>1</v>
      </c>
      <c r="B3" s="1067">
        <v>1</v>
      </c>
      <c r="C3" s="1068">
        <v>41144</v>
      </c>
      <c r="D3" s="1063" t="s">
        <v>552</v>
      </c>
      <c r="E3" s="46" t="s">
        <v>551</v>
      </c>
      <c r="F3" s="1065">
        <v>25</v>
      </c>
      <c r="G3" s="1075" t="s">
        <v>554</v>
      </c>
      <c r="H3" s="1075" t="s">
        <v>555</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580</v>
      </c>
      <c r="E4" s="1064" t="s">
        <v>581</v>
      </c>
      <c r="F4" s="1065" t="s">
        <v>582</v>
      </c>
      <c r="G4" s="1075" t="s">
        <v>583</v>
      </c>
      <c r="H4" s="1075" t="s">
        <v>584</v>
      </c>
      <c r="I4" s="1068">
        <v>41148</v>
      </c>
      <c r="J4" s="46" t="s">
        <v>124</v>
      </c>
      <c r="K4" s="46"/>
    </row>
    <row r="5" spans="1:34" ht="28.5">
      <c r="A5" s="1066">
        <v>1</v>
      </c>
      <c r="B5" s="1067">
        <v>3</v>
      </c>
      <c r="C5" s="1068">
        <v>41148</v>
      </c>
      <c r="D5" s="1064" t="s">
        <v>580</v>
      </c>
      <c r="E5" s="1064" t="s">
        <v>581</v>
      </c>
      <c r="F5" s="1065" t="s">
        <v>582</v>
      </c>
      <c r="G5" s="1075" t="s">
        <v>586</v>
      </c>
      <c r="H5" s="1075" t="s">
        <v>587</v>
      </c>
      <c r="I5" s="1068">
        <f>Table1[[#This Row],[Date]]</f>
        <v>41148</v>
      </c>
      <c r="J5" s="46"/>
      <c r="K5" s="46"/>
    </row>
    <row r="6" spans="1:34" ht="28.5">
      <c r="A6" s="1066">
        <v>1</v>
      </c>
      <c r="B6" s="1067">
        <v>4</v>
      </c>
      <c r="C6" s="1068">
        <v>41148</v>
      </c>
      <c r="D6" s="1064" t="s">
        <v>580</v>
      </c>
      <c r="E6" s="1064" t="s">
        <v>581</v>
      </c>
      <c r="F6" s="1065" t="s">
        <v>585</v>
      </c>
      <c r="G6" s="1075" t="s">
        <v>586</v>
      </c>
      <c r="H6" s="1075" t="s">
        <v>587</v>
      </c>
      <c r="I6" s="1068">
        <f>Table1[[#This Row],[Date]]</f>
        <v>41148</v>
      </c>
      <c r="J6" s="46"/>
      <c r="K6" s="46"/>
    </row>
    <row r="7" spans="1:34">
      <c r="A7" s="1066">
        <v>1</v>
      </c>
      <c r="B7" s="1067">
        <v>5</v>
      </c>
      <c r="C7" s="1068">
        <v>41148</v>
      </c>
      <c r="D7" s="1064" t="s">
        <v>580</v>
      </c>
      <c r="E7" s="1064" t="s">
        <v>367</v>
      </c>
      <c r="F7" s="1065" t="s">
        <v>588</v>
      </c>
      <c r="G7" s="1075" t="s">
        <v>589</v>
      </c>
      <c r="H7" s="1075" t="s">
        <v>590</v>
      </c>
      <c r="I7" s="1068">
        <f>Table1[[#This Row],[Date]]</f>
        <v>41148</v>
      </c>
      <c r="J7" s="46"/>
      <c r="K7" s="46"/>
    </row>
    <row r="8" spans="1:34">
      <c r="A8" s="1066">
        <v>1</v>
      </c>
      <c r="B8" s="1067">
        <v>6</v>
      </c>
      <c r="C8" s="1068">
        <v>41148</v>
      </c>
      <c r="D8" s="1064" t="s">
        <v>580</v>
      </c>
      <c r="E8" s="1064" t="s">
        <v>367</v>
      </c>
      <c r="F8" s="1065" t="s">
        <v>582</v>
      </c>
      <c r="G8" s="1075" t="s">
        <v>583</v>
      </c>
      <c r="H8" s="1075" t="s">
        <v>584</v>
      </c>
      <c r="I8" s="1068">
        <f>Table1[[#This Row],[Date]]</f>
        <v>41148</v>
      </c>
      <c r="J8" s="46"/>
      <c r="K8" s="46"/>
    </row>
    <row r="9" spans="1:34" ht="28.5">
      <c r="A9" s="1066">
        <v>1</v>
      </c>
      <c r="B9" s="1067">
        <v>7</v>
      </c>
      <c r="C9" s="1068">
        <v>41148</v>
      </c>
      <c r="D9" s="1064" t="s">
        <v>580</v>
      </c>
      <c r="E9" s="1064" t="s">
        <v>367</v>
      </c>
      <c r="F9" s="1065" t="s">
        <v>588</v>
      </c>
      <c r="G9" s="1075" t="s">
        <v>586</v>
      </c>
      <c r="H9" s="1075" t="s">
        <v>587</v>
      </c>
      <c r="I9" s="1068">
        <f>Table1[[#This Row],[Date]]</f>
        <v>41148</v>
      </c>
      <c r="J9" s="46"/>
      <c r="K9" s="46"/>
    </row>
    <row r="10" spans="1:34" ht="28.5">
      <c r="A10" s="1066">
        <v>1</v>
      </c>
      <c r="B10" s="1067">
        <v>8</v>
      </c>
      <c r="C10" s="1068">
        <v>41148</v>
      </c>
      <c r="D10" s="1064" t="s">
        <v>580</v>
      </c>
      <c r="E10" s="1064" t="s">
        <v>367</v>
      </c>
      <c r="F10" s="1065" t="s">
        <v>582</v>
      </c>
      <c r="G10" s="1075" t="s">
        <v>586</v>
      </c>
      <c r="H10" s="1075" t="s">
        <v>587</v>
      </c>
      <c r="I10" s="1068">
        <f>Table1[[#This Row],[Date]]</f>
        <v>41148</v>
      </c>
      <c r="J10" s="46"/>
      <c r="K10" s="46"/>
    </row>
    <row r="11" spans="1:34" ht="28.5">
      <c r="A11" s="1066">
        <v>1</v>
      </c>
      <c r="B11" s="1067">
        <v>9</v>
      </c>
      <c r="C11" s="1068">
        <v>41148</v>
      </c>
      <c r="D11" s="1064" t="s">
        <v>580</v>
      </c>
      <c r="E11" s="1064" t="s">
        <v>368</v>
      </c>
      <c r="F11" s="1065" t="s">
        <v>582</v>
      </c>
      <c r="G11" s="1075" t="s">
        <v>586</v>
      </c>
      <c r="H11" s="1075" t="s">
        <v>587</v>
      </c>
      <c r="I11" s="1068">
        <f>Table1[[#This Row],[Date]]</f>
        <v>41148</v>
      </c>
      <c r="J11" s="46"/>
      <c r="K11" s="46"/>
    </row>
    <row r="12" spans="1:34" ht="28.5">
      <c r="A12" s="1066">
        <v>1</v>
      </c>
      <c r="B12" s="1067">
        <v>10</v>
      </c>
      <c r="C12" s="1068">
        <v>41148</v>
      </c>
      <c r="D12" s="1064" t="s">
        <v>580</v>
      </c>
      <c r="E12" s="1064" t="s">
        <v>368</v>
      </c>
      <c r="F12" s="1065" t="s">
        <v>591</v>
      </c>
      <c r="G12" s="1075" t="s">
        <v>586</v>
      </c>
      <c r="H12" s="1075" t="s">
        <v>587</v>
      </c>
      <c r="I12" s="1068">
        <f>Table1[[#This Row],[Date]]</f>
        <v>41148</v>
      </c>
      <c r="J12" s="46"/>
      <c r="K12" s="46"/>
    </row>
    <row r="13" spans="1:34">
      <c r="B13" s="1067">
        <v>11</v>
      </c>
      <c r="C13" s="1068">
        <v>41148</v>
      </c>
      <c r="D13" s="1064" t="s">
        <v>580</v>
      </c>
      <c r="E13" s="1064" t="s">
        <v>368</v>
      </c>
      <c r="F13" s="1065" t="s">
        <v>591</v>
      </c>
      <c r="G13" s="1075" t="s">
        <v>592</v>
      </c>
      <c r="H13" s="1075" t="s">
        <v>593</v>
      </c>
      <c r="I13" s="1068">
        <f>Table1[[#This Row],[Date]]</f>
        <v>41148</v>
      </c>
      <c r="J13" s="46"/>
      <c r="K13" s="46"/>
    </row>
    <row r="14" spans="1:34">
      <c r="B14" s="1067">
        <v>12</v>
      </c>
      <c r="C14" s="1068">
        <v>41148</v>
      </c>
      <c r="D14" s="1064" t="s">
        <v>580</v>
      </c>
      <c r="E14" s="1064" t="s">
        <v>368</v>
      </c>
      <c r="F14" s="1065" t="s">
        <v>594</v>
      </c>
      <c r="G14" s="1075" t="s">
        <v>599</v>
      </c>
      <c r="H14" s="1075" t="s">
        <v>600</v>
      </c>
      <c r="I14" s="1068">
        <f>Table1[[#This Row],[Date]]</f>
        <v>41148</v>
      </c>
      <c r="J14" s="46"/>
      <c r="K14" s="46"/>
    </row>
    <row r="15" spans="1:34">
      <c r="B15" s="1067">
        <v>13</v>
      </c>
      <c r="C15" s="1068">
        <v>41148</v>
      </c>
      <c r="D15" s="1064" t="s">
        <v>580</v>
      </c>
      <c r="E15" s="1064" t="s">
        <v>368</v>
      </c>
      <c r="F15" s="1065" t="s">
        <v>595</v>
      </c>
      <c r="G15" s="1075" t="s">
        <v>599</v>
      </c>
      <c r="H15" s="1075" t="s">
        <v>600</v>
      </c>
      <c r="I15" s="1068">
        <f>Table1[[#This Row],[Date]]</f>
        <v>41148</v>
      </c>
      <c r="J15" s="46"/>
      <c r="K15" s="46"/>
    </row>
    <row r="16" spans="1:34">
      <c r="B16" s="1067">
        <v>14</v>
      </c>
      <c r="C16" s="1068">
        <v>41148</v>
      </c>
      <c r="D16" s="1064" t="s">
        <v>580</v>
      </c>
      <c r="E16" s="1064" t="s">
        <v>368</v>
      </c>
      <c r="F16" s="1065" t="s">
        <v>596</v>
      </c>
      <c r="G16" s="1075" t="s">
        <v>599</v>
      </c>
      <c r="H16" s="1075" t="s">
        <v>600</v>
      </c>
      <c r="I16" s="1068">
        <f>Table1[[#This Row],[Date]]</f>
        <v>41148</v>
      </c>
      <c r="J16" s="46"/>
      <c r="K16" s="46"/>
    </row>
    <row r="17" spans="2:11">
      <c r="B17" s="1067">
        <v>15</v>
      </c>
      <c r="C17" s="1068">
        <v>41148</v>
      </c>
      <c r="D17" s="1064" t="s">
        <v>580</v>
      </c>
      <c r="E17" s="1064" t="s">
        <v>368</v>
      </c>
      <c r="F17" s="1065" t="s">
        <v>597</v>
      </c>
      <c r="G17" s="1075" t="s">
        <v>599</v>
      </c>
      <c r="H17" s="1075" t="s">
        <v>600</v>
      </c>
      <c r="I17" s="1068">
        <f>Table1[[#This Row],[Date]]</f>
        <v>41148</v>
      </c>
      <c r="J17" s="46"/>
      <c r="K17" s="46"/>
    </row>
    <row r="18" spans="2:11">
      <c r="B18" s="1067">
        <v>16</v>
      </c>
      <c r="C18" s="1068">
        <v>41148</v>
      </c>
      <c r="D18" s="1064" t="s">
        <v>580</v>
      </c>
      <c r="E18" s="1064" t="s">
        <v>368</v>
      </c>
      <c r="F18" s="1065" t="s">
        <v>598</v>
      </c>
      <c r="G18" s="1075" t="s">
        <v>599</v>
      </c>
      <c r="H18" s="1075" t="s">
        <v>600</v>
      </c>
      <c r="I18" s="1068">
        <f>Table1[[#This Row],[Date]]</f>
        <v>41148</v>
      </c>
      <c r="J18" s="46"/>
      <c r="K18" s="46"/>
    </row>
    <row r="19" spans="2:11">
      <c r="B19" s="1067">
        <v>17</v>
      </c>
      <c r="C19" s="1068">
        <v>41148</v>
      </c>
      <c r="D19" s="1064" t="s">
        <v>580</v>
      </c>
      <c r="E19" s="1064" t="s">
        <v>368</v>
      </c>
      <c r="F19" s="1065" t="s">
        <v>601</v>
      </c>
      <c r="G19" s="1075" t="s">
        <v>599</v>
      </c>
      <c r="H19" s="1075" t="s">
        <v>600</v>
      </c>
      <c r="I19" s="1068">
        <f>Table1[[#This Row],[Date]]</f>
        <v>41148</v>
      </c>
      <c r="J19" s="46"/>
      <c r="K19" s="46"/>
    </row>
    <row r="20" spans="2:11">
      <c r="B20" s="1067">
        <v>18</v>
      </c>
      <c r="C20" s="1068">
        <v>41148</v>
      </c>
      <c r="D20" s="1064" t="s">
        <v>580</v>
      </c>
      <c r="E20" s="1064" t="s">
        <v>368</v>
      </c>
      <c r="F20" s="1065" t="s">
        <v>602</v>
      </c>
      <c r="G20" s="1075" t="s">
        <v>599</v>
      </c>
      <c r="H20" s="1075" t="s">
        <v>600</v>
      </c>
      <c r="I20" s="1068">
        <f>Table1[[#This Row],[Date]]</f>
        <v>41148</v>
      </c>
      <c r="J20" s="46"/>
      <c r="K20" s="46"/>
    </row>
    <row r="21" spans="2:11">
      <c r="B21" s="1067">
        <v>19</v>
      </c>
      <c r="C21" s="1068">
        <v>41148</v>
      </c>
      <c r="D21" s="1064" t="s">
        <v>580</v>
      </c>
      <c r="E21" s="1064" t="s">
        <v>368</v>
      </c>
      <c r="F21" s="1065" t="s">
        <v>603</v>
      </c>
      <c r="G21" s="1075" t="s">
        <v>599</v>
      </c>
      <c r="H21" s="1075" t="s">
        <v>600</v>
      </c>
      <c r="I21" s="1068">
        <f>Table1[[#This Row],[Date]]</f>
        <v>41148</v>
      </c>
      <c r="J21" s="46"/>
      <c r="K21" s="46"/>
    </row>
    <row r="22" spans="2:11">
      <c r="B22" s="1067">
        <v>20</v>
      </c>
      <c r="C22" s="1068">
        <v>41148</v>
      </c>
      <c r="D22" s="1064" t="s">
        <v>580</v>
      </c>
      <c r="E22" s="1064" t="s">
        <v>368</v>
      </c>
      <c r="F22" s="1065" t="s">
        <v>604</v>
      </c>
      <c r="G22" s="1075" t="s">
        <v>599</v>
      </c>
      <c r="H22" s="1075" t="s">
        <v>600</v>
      </c>
      <c r="I22" s="1068">
        <f>Table1[[#This Row],[Date]]</f>
        <v>41148</v>
      </c>
      <c r="J22" s="46"/>
      <c r="K22" s="46"/>
    </row>
    <row r="23" spans="2:11">
      <c r="B23" s="1067">
        <v>21</v>
      </c>
      <c r="C23" s="1068">
        <v>41148</v>
      </c>
      <c r="D23" s="1064" t="s">
        <v>580</v>
      </c>
      <c r="E23" s="1064" t="s">
        <v>368</v>
      </c>
      <c r="F23" s="1065" t="s">
        <v>605</v>
      </c>
      <c r="G23" s="1075" t="s">
        <v>599</v>
      </c>
      <c r="H23" s="1075" t="s">
        <v>600</v>
      </c>
      <c r="I23" s="1068">
        <f>Table1[[#This Row],[Date]]</f>
        <v>41148</v>
      </c>
      <c r="J23" s="46"/>
      <c r="K23" s="46"/>
    </row>
    <row r="24" spans="2:11">
      <c r="B24" s="1067">
        <v>22</v>
      </c>
      <c r="C24" s="1068">
        <v>41148</v>
      </c>
      <c r="D24" s="1064" t="s">
        <v>580</v>
      </c>
      <c r="E24" s="1064" t="s">
        <v>368</v>
      </c>
      <c r="F24" s="1065" t="s">
        <v>606</v>
      </c>
      <c r="G24" s="1075" t="s">
        <v>599</v>
      </c>
      <c r="H24" s="1075" t="s">
        <v>600</v>
      </c>
      <c r="I24" s="1068">
        <f>Table1[[#This Row],[Date]]</f>
        <v>41148</v>
      </c>
      <c r="J24" s="46"/>
      <c r="K24" s="46"/>
    </row>
    <row r="25" spans="2:11">
      <c r="B25" s="1067">
        <v>23</v>
      </c>
      <c r="C25" s="1068">
        <v>41148</v>
      </c>
      <c r="D25" s="1064" t="s">
        <v>580</v>
      </c>
      <c r="E25" s="1064" t="s">
        <v>368</v>
      </c>
      <c r="F25" s="1065" t="s">
        <v>607</v>
      </c>
      <c r="G25" s="1075" t="s">
        <v>599</v>
      </c>
      <c r="H25" s="1075" t="s">
        <v>600</v>
      </c>
      <c r="I25" s="1068">
        <f>Table1[[#This Row],[Date]]</f>
        <v>41148</v>
      </c>
      <c r="J25" s="46"/>
      <c r="K25" s="46"/>
    </row>
    <row r="26" spans="2:11">
      <c r="B26" s="1067">
        <v>24</v>
      </c>
      <c r="C26" s="1068">
        <v>41148</v>
      </c>
      <c r="D26" s="1064" t="s">
        <v>580</v>
      </c>
      <c r="E26" s="1064" t="s">
        <v>368</v>
      </c>
      <c r="F26" s="1065" t="s">
        <v>608</v>
      </c>
      <c r="G26" s="1075" t="s">
        <v>599</v>
      </c>
      <c r="H26" s="1075" t="s">
        <v>600</v>
      </c>
      <c r="I26" s="1068">
        <f>Table1[[#This Row],[Date]]</f>
        <v>41148</v>
      </c>
      <c r="J26" s="46"/>
      <c r="K26" s="46"/>
    </row>
    <row r="27" spans="2:11">
      <c r="B27" s="1067">
        <v>25</v>
      </c>
      <c r="C27" s="1068">
        <v>41148</v>
      </c>
      <c r="D27" s="1064" t="s">
        <v>580</v>
      </c>
      <c r="E27" s="1064" t="s">
        <v>368</v>
      </c>
      <c r="F27" s="1065" t="s">
        <v>609</v>
      </c>
      <c r="G27" s="1075" t="s">
        <v>599</v>
      </c>
      <c r="H27" s="1075" t="s">
        <v>600</v>
      </c>
      <c r="I27" s="1068">
        <f>Table1[[#This Row],[Date]]</f>
        <v>41148</v>
      </c>
      <c r="J27" s="46"/>
      <c r="K27" s="46"/>
    </row>
    <row r="28" spans="2:11">
      <c r="B28" s="1067">
        <v>26</v>
      </c>
      <c r="C28" s="1068">
        <v>41148</v>
      </c>
      <c r="D28" s="1064" t="s">
        <v>580</v>
      </c>
      <c r="E28" s="1064" t="s">
        <v>368</v>
      </c>
      <c r="F28" s="1065" t="s">
        <v>610</v>
      </c>
      <c r="G28" s="1075" t="s">
        <v>599</v>
      </c>
      <c r="H28" s="1075" t="s">
        <v>600</v>
      </c>
      <c r="I28" s="1068">
        <f>Table1[[#This Row],[Date]]</f>
        <v>41148</v>
      </c>
      <c r="J28" s="46"/>
      <c r="K28" s="46"/>
    </row>
    <row r="29" spans="2:11">
      <c r="B29" s="1067">
        <v>27</v>
      </c>
      <c r="C29" s="1068">
        <v>41148</v>
      </c>
      <c r="D29" s="1064" t="s">
        <v>580</v>
      </c>
      <c r="E29" s="1064" t="s">
        <v>368</v>
      </c>
      <c r="F29" s="1065" t="s">
        <v>611</v>
      </c>
      <c r="G29" s="1075" t="s">
        <v>599</v>
      </c>
      <c r="H29" s="1075" t="s">
        <v>600</v>
      </c>
      <c r="I29" s="1068">
        <f>Table1[[#This Row],[Date]]</f>
        <v>41148</v>
      </c>
      <c r="J29" s="46"/>
      <c r="K29" s="46"/>
    </row>
    <row r="30" spans="2:11" ht="28.5">
      <c r="B30" s="1067">
        <v>28</v>
      </c>
      <c r="C30" s="1068">
        <v>41148</v>
      </c>
      <c r="D30" s="1064" t="s">
        <v>580</v>
      </c>
      <c r="E30" s="1064" t="s">
        <v>368</v>
      </c>
      <c r="F30" s="1065" t="s">
        <v>613</v>
      </c>
      <c r="G30" s="1075" t="s">
        <v>614</v>
      </c>
      <c r="H30" s="1075" t="s">
        <v>615</v>
      </c>
      <c r="I30" s="1068">
        <f>Table1[[#This Row],[Date]]</f>
        <v>41148</v>
      </c>
      <c r="J30" s="46"/>
      <c r="K30" s="46"/>
    </row>
    <row r="31" spans="2:11" ht="28.5">
      <c r="B31" s="1067">
        <v>29</v>
      </c>
      <c r="C31" s="1068">
        <v>41148</v>
      </c>
      <c r="D31" s="1064" t="s">
        <v>580</v>
      </c>
      <c r="E31" s="1064" t="s">
        <v>368</v>
      </c>
      <c r="F31" s="1065" t="s">
        <v>616</v>
      </c>
      <c r="G31" s="1075" t="s">
        <v>583</v>
      </c>
      <c r="H31" s="1075" t="s">
        <v>617</v>
      </c>
      <c r="I31" s="1068">
        <f>Table1[[#This Row],[Date]]</f>
        <v>41148</v>
      </c>
      <c r="J31" s="46"/>
      <c r="K31" s="46"/>
    </row>
    <row r="32" spans="2:11" ht="28.5">
      <c r="B32" s="1067">
        <v>30</v>
      </c>
      <c r="C32" s="1068">
        <v>41148</v>
      </c>
      <c r="D32" s="1064" t="s">
        <v>580</v>
      </c>
      <c r="E32" s="1064" t="s">
        <v>368</v>
      </c>
      <c r="F32" s="1065" t="s">
        <v>618</v>
      </c>
      <c r="G32" s="1075" t="s">
        <v>619</v>
      </c>
      <c r="H32" s="1075" t="s">
        <v>620</v>
      </c>
      <c r="I32" s="1068">
        <f>Table1[[#This Row],[Date]]</f>
        <v>41148</v>
      </c>
      <c r="J32" s="46"/>
      <c r="K32" s="46"/>
    </row>
    <row r="33" spans="2:11" ht="42.75">
      <c r="B33" s="1067">
        <v>31</v>
      </c>
      <c r="C33" s="1068">
        <v>41148</v>
      </c>
      <c r="D33" s="1064" t="s">
        <v>580</v>
      </c>
      <c r="E33" s="1064" t="s">
        <v>368</v>
      </c>
      <c r="F33" s="1065" t="s">
        <v>621</v>
      </c>
      <c r="G33" s="1075" t="s">
        <v>622</v>
      </c>
      <c r="H33" s="1075" t="s">
        <v>623</v>
      </c>
      <c r="I33" s="1068">
        <f>Table1[[#This Row],[Date]]</f>
        <v>41148</v>
      </c>
      <c r="J33" s="46"/>
      <c r="K33" s="46"/>
    </row>
    <row r="34" spans="2:11">
      <c r="B34" s="1067">
        <v>32</v>
      </c>
      <c r="C34" s="1068">
        <v>41148</v>
      </c>
      <c r="D34" s="1064" t="s">
        <v>580</v>
      </c>
      <c r="E34" s="1064" t="s">
        <v>367</v>
      </c>
      <c r="F34" s="1065" t="s">
        <v>624</v>
      </c>
      <c r="G34" s="1075" t="s">
        <v>599</v>
      </c>
      <c r="H34" s="1075" t="s">
        <v>600</v>
      </c>
      <c r="I34" s="1068">
        <f>Table1[[#This Row],[Date]]</f>
        <v>41148</v>
      </c>
      <c r="J34" s="46"/>
      <c r="K34" s="46"/>
    </row>
    <row r="35" spans="2:11">
      <c r="B35" s="1067">
        <v>33</v>
      </c>
      <c r="C35" s="1068">
        <v>41148</v>
      </c>
      <c r="D35" s="1064" t="s">
        <v>580</v>
      </c>
      <c r="E35" s="1064" t="s">
        <v>367</v>
      </c>
      <c r="F35" s="1065" t="s">
        <v>625</v>
      </c>
      <c r="G35" s="1075" t="s">
        <v>599</v>
      </c>
      <c r="H35" s="1075" t="s">
        <v>600</v>
      </c>
      <c r="I35" s="1068">
        <f>Table1[[#This Row],[Date]]</f>
        <v>41148</v>
      </c>
      <c r="J35" s="46"/>
      <c r="K35" s="46"/>
    </row>
    <row r="36" spans="2:11">
      <c r="B36" s="1067">
        <v>34</v>
      </c>
      <c r="C36" s="1068">
        <v>41148</v>
      </c>
      <c r="D36" s="1064" t="s">
        <v>580</v>
      </c>
      <c r="E36" s="1064" t="s">
        <v>367</v>
      </c>
      <c r="F36" s="1065" t="s">
        <v>626</v>
      </c>
      <c r="G36" s="1075" t="s">
        <v>599</v>
      </c>
      <c r="H36" s="1075" t="s">
        <v>600</v>
      </c>
      <c r="I36" s="1068">
        <f>Table1[[#This Row],[Date]]</f>
        <v>41148</v>
      </c>
      <c r="J36" s="46"/>
      <c r="K36" s="46"/>
    </row>
    <row r="37" spans="2:11">
      <c r="B37" s="1067">
        <v>35</v>
      </c>
      <c r="C37" s="1068">
        <v>41148</v>
      </c>
      <c r="D37" s="1064" t="s">
        <v>580</v>
      </c>
      <c r="E37" s="1064" t="s">
        <v>367</v>
      </c>
      <c r="F37" s="1065" t="s">
        <v>627</v>
      </c>
      <c r="G37" s="1075" t="s">
        <v>599</v>
      </c>
      <c r="H37" s="1075" t="s">
        <v>600</v>
      </c>
      <c r="I37" s="1068">
        <f>Table1[[#This Row],[Date]]</f>
        <v>41148</v>
      </c>
      <c r="J37" s="46"/>
      <c r="K37" s="46"/>
    </row>
    <row r="38" spans="2:11">
      <c r="B38" s="1067">
        <v>36</v>
      </c>
      <c r="C38" s="1068">
        <v>41148</v>
      </c>
      <c r="D38" s="1064" t="s">
        <v>580</v>
      </c>
      <c r="E38" s="1064" t="s">
        <v>367</v>
      </c>
      <c r="F38" s="1065" t="s">
        <v>628</v>
      </c>
      <c r="G38" s="1075" t="s">
        <v>599</v>
      </c>
      <c r="H38" s="1075" t="s">
        <v>600</v>
      </c>
      <c r="I38" s="1068">
        <f>Table1[[#This Row],[Date]]</f>
        <v>41148</v>
      </c>
      <c r="J38" s="46"/>
      <c r="K38" s="46"/>
    </row>
    <row r="39" spans="2:11">
      <c r="B39" s="1067">
        <v>37</v>
      </c>
      <c r="C39" s="1068">
        <v>41148</v>
      </c>
      <c r="D39" s="1064" t="s">
        <v>580</v>
      </c>
      <c r="E39" s="1064" t="s">
        <v>367</v>
      </c>
      <c r="F39" s="1065" t="s">
        <v>629</v>
      </c>
      <c r="G39" s="1075" t="s">
        <v>599</v>
      </c>
      <c r="H39" s="1075" t="s">
        <v>600</v>
      </c>
      <c r="I39" s="1068">
        <f>Table1[[#This Row],[Date]]</f>
        <v>41148</v>
      </c>
      <c r="J39" s="46"/>
      <c r="K39" s="46"/>
    </row>
    <row r="40" spans="2:11">
      <c r="B40" s="1067">
        <v>38</v>
      </c>
      <c r="C40" s="1068">
        <v>41148</v>
      </c>
      <c r="D40" s="1064" t="s">
        <v>580</v>
      </c>
      <c r="E40" s="1064" t="s">
        <v>367</v>
      </c>
      <c r="F40" s="1065" t="s">
        <v>630</v>
      </c>
      <c r="G40" s="1075" t="s">
        <v>599</v>
      </c>
      <c r="H40" s="1075" t="s">
        <v>600</v>
      </c>
      <c r="I40" s="1068">
        <f>Table1[[#This Row],[Date]]</f>
        <v>41148</v>
      </c>
      <c r="J40" s="46"/>
      <c r="K40" s="46"/>
    </row>
    <row r="41" spans="2:11">
      <c r="B41" s="1067">
        <v>39</v>
      </c>
      <c r="C41" s="1068">
        <v>41148</v>
      </c>
      <c r="D41" s="1064" t="s">
        <v>580</v>
      </c>
      <c r="E41" s="1064" t="s">
        <v>367</v>
      </c>
      <c r="F41" s="1065" t="s">
        <v>631</v>
      </c>
      <c r="G41" s="1075" t="s">
        <v>599</v>
      </c>
      <c r="H41" s="1075" t="s">
        <v>600</v>
      </c>
      <c r="I41" s="1068">
        <f>Table1[[#This Row],[Date]]</f>
        <v>41148</v>
      </c>
      <c r="J41" s="46"/>
      <c r="K41" s="46"/>
    </row>
    <row r="42" spans="2:11">
      <c r="B42" s="1067">
        <v>40</v>
      </c>
      <c r="C42" s="1068">
        <v>41148</v>
      </c>
      <c r="D42" s="1064" t="s">
        <v>580</v>
      </c>
      <c r="E42" s="1064" t="s">
        <v>367</v>
      </c>
      <c r="F42" s="1065" t="s">
        <v>632</v>
      </c>
      <c r="G42" s="1075" t="s">
        <v>599</v>
      </c>
      <c r="H42" s="1075" t="s">
        <v>600</v>
      </c>
      <c r="I42" s="1068">
        <f>Table1[[#This Row],[Date]]</f>
        <v>41148</v>
      </c>
      <c r="J42" s="46"/>
      <c r="K42" s="46"/>
    </row>
    <row r="43" spans="2:11">
      <c r="B43" s="1067">
        <v>41</v>
      </c>
      <c r="C43" s="1068">
        <v>41148</v>
      </c>
      <c r="D43" s="1080" t="s">
        <v>580</v>
      </c>
      <c r="E43" s="1080" t="s">
        <v>367</v>
      </c>
      <c r="F43" s="1065" t="s">
        <v>633</v>
      </c>
      <c r="G43" s="1075" t="s">
        <v>634</v>
      </c>
      <c r="H43" s="1075" t="s">
        <v>635</v>
      </c>
      <c r="I43" s="1068">
        <f>Table1[[#This Row],[Date]]</f>
        <v>41148</v>
      </c>
      <c r="J43" s="46"/>
      <c r="K43" s="46"/>
    </row>
    <row r="44" spans="2:11">
      <c r="B44" s="1067">
        <v>42</v>
      </c>
      <c r="C44" s="1068">
        <v>41148</v>
      </c>
      <c r="D44" s="1080" t="s">
        <v>580</v>
      </c>
      <c r="E44" s="1080" t="s">
        <v>367</v>
      </c>
      <c r="F44" s="1065" t="s">
        <v>636</v>
      </c>
      <c r="G44" s="1075" t="s">
        <v>599</v>
      </c>
      <c r="H44" s="1075" t="s">
        <v>600</v>
      </c>
      <c r="I44" s="1068">
        <f>Table1[[#This Row],[Date]]</f>
        <v>41148</v>
      </c>
      <c r="J44" s="46"/>
      <c r="K44" s="46"/>
    </row>
    <row r="45" spans="2:11">
      <c r="B45" s="1067">
        <v>43</v>
      </c>
      <c r="C45" s="1068">
        <v>41148</v>
      </c>
      <c r="D45" s="1080" t="s">
        <v>580</v>
      </c>
      <c r="E45" s="1080" t="s">
        <v>367</v>
      </c>
      <c r="F45" s="1065" t="s">
        <v>637</v>
      </c>
      <c r="G45" s="1075" t="s">
        <v>599</v>
      </c>
      <c r="H45" s="1075" t="s">
        <v>600</v>
      </c>
      <c r="I45" s="1068">
        <f>Table1[[#This Row],[Date]]</f>
        <v>41148</v>
      </c>
      <c r="J45" s="46"/>
      <c r="K45" s="46"/>
    </row>
    <row r="46" spans="2:11">
      <c r="B46" s="1067">
        <v>44</v>
      </c>
      <c r="C46" s="1068">
        <v>41148</v>
      </c>
      <c r="D46" s="1080" t="s">
        <v>580</v>
      </c>
      <c r="E46" s="1080" t="s">
        <v>367</v>
      </c>
      <c r="F46" s="1065" t="s">
        <v>639</v>
      </c>
      <c r="G46" s="1075" t="s">
        <v>599</v>
      </c>
      <c r="H46" s="1075" t="s">
        <v>600</v>
      </c>
      <c r="I46" s="1068">
        <f>Table1[[#This Row],[Date]]</f>
        <v>41148</v>
      </c>
      <c r="J46" s="46"/>
      <c r="K46" s="46"/>
    </row>
    <row r="47" spans="2:11" ht="28.5">
      <c r="B47" s="1067">
        <v>45</v>
      </c>
      <c r="C47" s="1068">
        <v>41149</v>
      </c>
      <c r="D47" s="1080" t="s">
        <v>580</v>
      </c>
      <c r="E47" s="1080" t="s">
        <v>581</v>
      </c>
      <c r="F47" s="1065" t="s">
        <v>642</v>
      </c>
      <c r="G47" s="1075" t="s">
        <v>643</v>
      </c>
      <c r="H47" s="1075" t="s">
        <v>644</v>
      </c>
      <c r="I47" s="1068">
        <f>Table1[[#This Row],[Date]]</f>
        <v>41149</v>
      </c>
      <c r="J47" s="46"/>
      <c r="K47" s="46"/>
    </row>
    <row r="48" spans="2:11">
      <c r="B48" s="1067">
        <v>46</v>
      </c>
      <c r="C48" s="1068">
        <v>41149</v>
      </c>
      <c r="D48" s="1080" t="s">
        <v>580</v>
      </c>
      <c r="E48" s="1080" t="s">
        <v>581</v>
      </c>
      <c r="F48" s="1065" t="s">
        <v>645</v>
      </c>
      <c r="G48" s="1075" t="s">
        <v>599</v>
      </c>
      <c r="H48" s="1075" t="s">
        <v>600</v>
      </c>
      <c r="I48" s="1068">
        <f>Table1[[#This Row],[Date]]</f>
        <v>41149</v>
      </c>
      <c r="J48" s="46"/>
      <c r="K48" s="46"/>
    </row>
    <row r="49" spans="2:11">
      <c r="B49" s="1067">
        <v>47</v>
      </c>
      <c r="C49" s="1068">
        <v>41149</v>
      </c>
      <c r="D49" s="1080" t="s">
        <v>580</v>
      </c>
      <c r="E49" s="1080" t="s">
        <v>581</v>
      </c>
      <c r="F49" s="1065" t="s">
        <v>646</v>
      </c>
      <c r="G49" s="1075" t="s">
        <v>599</v>
      </c>
      <c r="H49" s="1075" t="s">
        <v>600</v>
      </c>
      <c r="I49" s="1068">
        <f>Table1[[#This Row],[Date]]</f>
        <v>41149</v>
      </c>
      <c r="J49" s="46"/>
      <c r="K49" s="46"/>
    </row>
    <row r="50" spans="2:11">
      <c r="B50" s="1067">
        <v>48</v>
      </c>
      <c r="C50" s="1068">
        <v>41149</v>
      </c>
      <c r="D50" s="1080" t="s">
        <v>580</v>
      </c>
      <c r="E50" s="1080" t="s">
        <v>581</v>
      </c>
      <c r="F50" s="1065" t="s">
        <v>647</v>
      </c>
      <c r="G50" s="1075" t="s">
        <v>599</v>
      </c>
      <c r="H50" s="1075" t="s">
        <v>600</v>
      </c>
      <c r="I50" s="1068">
        <f>Table1[[#This Row],[Date]]</f>
        <v>41149</v>
      </c>
      <c r="J50" s="46"/>
      <c r="K50" s="46"/>
    </row>
    <row r="51" spans="2:11">
      <c r="B51" s="1067">
        <v>49</v>
      </c>
      <c r="C51" s="1068">
        <v>41149</v>
      </c>
      <c r="D51" s="1080" t="s">
        <v>580</v>
      </c>
      <c r="E51" s="1080" t="s">
        <v>581</v>
      </c>
      <c r="F51" s="1065" t="s">
        <v>648</v>
      </c>
      <c r="G51" s="1075" t="s">
        <v>599</v>
      </c>
      <c r="H51" s="1075" t="s">
        <v>600</v>
      </c>
      <c r="I51" s="1068">
        <f>Table1[[#This Row],[Date]]</f>
        <v>41149</v>
      </c>
      <c r="J51" s="46"/>
      <c r="K51" s="46"/>
    </row>
    <row r="52" spans="2:11">
      <c r="B52" s="1067">
        <v>50</v>
      </c>
      <c r="C52" s="1068">
        <v>41149</v>
      </c>
      <c r="D52" s="1080" t="s">
        <v>580</v>
      </c>
      <c r="E52" s="1080" t="s">
        <v>581</v>
      </c>
      <c r="F52" s="1065" t="s">
        <v>649</v>
      </c>
      <c r="G52" s="1075" t="s">
        <v>599</v>
      </c>
      <c r="H52" s="1075" t="s">
        <v>600</v>
      </c>
      <c r="I52" s="1068">
        <f>Table1[[#This Row],[Date]]</f>
        <v>41149</v>
      </c>
      <c r="J52" s="46"/>
      <c r="K52" s="46"/>
    </row>
    <row r="53" spans="2:11">
      <c r="B53" s="1067">
        <v>51</v>
      </c>
      <c r="C53" s="1068">
        <v>41149</v>
      </c>
      <c r="D53" s="1080" t="s">
        <v>580</v>
      </c>
      <c r="E53" s="1080" t="s">
        <v>581</v>
      </c>
      <c r="F53" s="1065" t="s">
        <v>650</v>
      </c>
      <c r="G53" s="1075" t="s">
        <v>599</v>
      </c>
      <c r="H53" s="1075" t="s">
        <v>600</v>
      </c>
      <c r="I53" s="1068">
        <f>Table1[[#This Row],[Date]]</f>
        <v>41149</v>
      </c>
      <c r="J53" s="46"/>
      <c r="K53" s="46"/>
    </row>
    <row r="54" spans="2:11">
      <c r="B54" s="1067">
        <v>52</v>
      </c>
      <c r="C54" s="1068">
        <v>41149</v>
      </c>
      <c r="D54" s="1080" t="s">
        <v>580</v>
      </c>
      <c r="E54" s="1080" t="s">
        <v>581</v>
      </c>
      <c r="F54" s="1065" t="s">
        <v>651</v>
      </c>
      <c r="G54" s="1075" t="s">
        <v>599</v>
      </c>
      <c r="H54" s="1075" t="s">
        <v>600</v>
      </c>
      <c r="I54" s="1068">
        <f>Table1[[#This Row],[Date]]</f>
        <v>41149</v>
      </c>
      <c r="J54" s="46"/>
      <c r="K54" s="46"/>
    </row>
    <row r="55" spans="2:11">
      <c r="B55" s="1067">
        <v>53</v>
      </c>
      <c r="C55" s="1068">
        <v>41149</v>
      </c>
      <c r="D55" s="1080" t="s">
        <v>580</v>
      </c>
      <c r="E55" s="1080" t="s">
        <v>581</v>
      </c>
      <c r="F55" s="1065" t="s">
        <v>652</v>
      </c>
      <c r="G55" s="1075" t="s">
        <v>599</v>
      </c>
      <c r="H55" s="1075" t="s">
        <v>600</v>
      </c>
      <c r="I55" s="1068">
        <f>Table1[[#This Row],[Date]]</f>
        <v>41149</v>
      </c>
      <c r="J55" s="46"/>
      <c r="K55" s="46"/>
    </row>
    <row r="56" spans="2:11" ht="42.75">
      <c r="B56" s="1067">
        <v>54</v>
      </c>
      <c r="C56" s="1068">
        <v>41149</v>
      </c>
      <c r="D56" s="1080" t="s">
        <v>580</v>
      </c>
      <c r="E56" s="1080" t="s">
        <v>581</v>
      </c>
      <c r="F56" s="1065" t="s">
        <v>653</v>
      </c>
      <c r="G56" s="1075" t="s">
        <v>655</v>
      </c>
      <c r="H56" s="1075" t="s">
        <v>656</v>
      </c>
      <c r="I56" s="1068">
        <f>Table1[[#This Row],[Date]]</f>
        <v>41149</v>
      </c>
      <c r="J56" s="46"/>
      <c r="K56" s="46"/>
    </row>
    <row r="57" spans="2:11" ht="42.75">
      <c r="B57" s="1067">
        <v>55</v>
      </c>
      <c r="C57" s="1068">
        <v>41149</v>
      </c>
      <c r="D57" s="1080" t="s">
        <v>580</v>
      </c>
      <c r="E57" s="1080" t="s">
        <v>581</v>
      </c>
      <c r="F57" s="1065" t="s">
        <v>654</v>
      </c>
      <c r="G57" s="1075" t="s">
        <v>655</v>
      </c>
      <c r="H57" s="1075" t="s">
        <v>656</v>
      </c>
      <c r="I57" s="1068">
        <f>Table1[[#This Row],[Date]]</f>
        <v>41149</v>
      </c>
      <c r="J57" s="46"/>
      <c r="K57" s="46"/>
    </row>
    <row r="58" spans="2:11" ht="28.5">
      <c r="B58" s="1067">
        <v>56</v>
      </c>
      <c r="C58" s="1068">
        <v>41149</v>
      </c>
      <c r="D58" s="1080" t="s">
        <v>580</v>
      </c>
      <c r="E58" s="1080" t="s">
        <v>581</v>
      </c>
      <c r="F58" s="1065" t="s">
        <v>657</v>
      </c>
      <c r="G58" s="1075" t="s">
        <v>662</v>
      </c>
      <c r="H58" s="1075" t="s">
        <v>663</v>
      </c>
      <c r="I58" s="1068">
        <f>Table1[[#This Row],[Date]]</f>
        <v>41149</v>
      </c>
      <c r="J58" s="46"/>
      <c r="K58" s="46"/>
    </row>
    <row r="59" spans="2:11" ht="28.5">
      <c r="B59" s="1067">
        <v>57</v>
      </c>
      <c r="C59" s="1068">
        <v>41149</v>
      </c>
      <c r="D59" s="1080" t="s">
        <v>580</v>
      </c>
      <c r="E59" s="1080" t="s">
        <v>581</v>
      </c>
      <c r="F59" s="1065" t="s">
        <v>658</v>
      </c>
      <c r="G59" s="1075" t="s">
        <v>662</v>
      </c>
      <c r="H59" s="1075" t="s">
        <v>663</v>
      </c>
      <c r="I59" s="1068">
        <f>Table1[[#This Row],[Date]]</f>
        <v>41149</v>
      </c>
      <c r="J59" s="46"/>
      <c r="K59" s="46"/>
    </row>
    <row r="60" spans="2:11" ht="28.5">
      <c r="B60" s="1067">
        <v>58</v>
      </c>
      <c r="C60" s="1068">
        <v>41149</v>
      </c>
      <c r="D60" s="1080" t="s">
        <v>580</v>
      </c>
      <c r="E60" s="1080" t="s">
        <v>581</v>
      </c>
      <c r="F60" s="1065" t="s">
        <v>659</v>
      </c>
      <c r="G60" s="1075" t="s">
        <v>662</v>
      </c>
      <c r="H60" s="1075" t="s">
        <v>664</v>
      </c>
      <c r="I60" s="1068">
        <f>Table1[[#This Row],[Date]]</f>
        <v>41149</v>
      </c>
      <c r="J60" s="46"/>
      <c r="K60" s="46"/>
    </row>
    <row r="61" spans="2:11" ht="28.5">
      <c r="B61" s="1067">
        <v>59</v>
      </c>
      <c r="C61" s="1068">
        <v>41149</v>
      </c>
      <c r="D61" s="1080" t="s">
        <v>580</v>
      </c>
      <c r="E61" s="1080" t="s">
        <v>581</v>
      </c>
      <c r="F61" s="1065" t="s">
        <v>660</v>
      </c>
      <c r="G61" s="1075" t="s">
        <v>662</v>
      </c>
      <c r="H61" s="1075" t="s">
        <v>664</v>
      </c>
      <c r="I61" s="1068">
        <f>Table1[[#This Row],[Date]]</f>
        <v>41149</v>
      </c>
      <c r="J61" s="46"/>
      <c r="K61" s="46"/>
    </row>
    <row r="62" spans="2:11" ht="42.75">
      <c r="B62" s="1067">
        <v>60</v>
      </c>
      <c r="C62" s="1068">
        <v>41149</v>
      </c>
      <c r="D62" s="1080" t="s">
        <v>580</v>
      </c>
      <c r="E62" s="1080" t="s">
        <v>581</v>
      </c>
      <c r="F62" s="1065" t="s">
        <v>661</v>
      </c>
      <c r="G62" s="1075" t="s">
        <v>665</v>
      </c>
      <c r="H62" s="1075" t="s">
        <v>666</v>
      </c>
      <c r="I62" s="1068">
        <f>Table1[[#This Row],[Date]]</f>
        <v>41149</v>
      </c>
      <c r="J62" s="46"/>
      <c r="K62" s="46"/>
    </row>
    <row r="63" spans="2:11" ht="28.5">
      <c r="B63" s="1067">
        <v>61</v>
      </c>
      <c r="C63" s="1068">
        <v>41149</v>
      </c>
      <c r="D63" s="1080" t="s">
        <v>580</v>
      </c>
      <c r="E63" s="1080" t="s">
        <v>367</v>
      </c>
      <c r="F63" s="1065" t="s">
        <v>667</v>
      </c>
      <c r="G63" s="1075" t="s">
        <v>668</v>
      </c>
      <c r="H63" s="1075" t="s">
        <v>669</v>
      </c>
      <c r="I63" s="1068">
        <f>Table1[[#This Row],[Date]]</f>
        <v>41149</v>
      </c>
      <c r="J63" s="46"/>
      <c r="K63" s="46"/>
    </row>
    <row r="64" spans="2:11">
      <c r="B64" s="1067">
        <v>62</v>
      </c>
      <c r="C64" s="1068">
        <v>41149</v>
      </c>
      <c r="D64" s="1080" t="s">
        <v>580</v>
      </c>
      <c r="E64" s="1080" t="s">
        <v>367</v>
      </c>
      <c r="F64" s="1065" t="s">
        <v>667</v>
      </c>
      <c r="G64" s="1075" t="s">
        <v>670</v>
      </c>
      <c r="H64" s="1075" t="s">
        <v>671</v>
      </c>
      <c r="I64" s="1068">
        <f>Table1[[#This Row],[Date]]</f>
        <v>41149</v>
      </c>
      <c r="J64" s="46"/>
      <c r="K64" s="46"/>
    </row>
    <row r="65" spans="2:11" ht="28.5">
      <c r="B65" s="1067">
        <v>63</v>
      </c>
      <c r="C65" s="1068">
        <v>41149</v>
      </c>
      <c r="D65" s="1080" t="s">
        <v>580</v>
      </c>
      <c r="E65" s="1080" t="s">
        <v>367</v>
      </c>
      <c r="F65" s="1065" t="s">
        <v>672</v>
      </c>
      <c r="G65" s="1075" t="s">
        <v>668</v>
      </c>
      <c r="H65" s="1075" t="s">
        <v>669</v>
      </c>
      <c r="I65" s="1068">
        <f>Table1[[#This Row],[Date]]</f>
        <v>41149</v>
      </c>
      <c r="J65" s="46"/>
      <c r="K65" s="46"/>
    </row>
    <row r="66" spans="2:11" ht="28.5">
      <c r="B66" s="1067">
        <v>64</v>
      </c>
      <c r="C66" s="1068">
        <v>41149</v>
      </c>
      <c r="D66" s="1080" t="s">
        <v>580</v>
      </c>
      <c r="E66" s="1080" t="s">
        <v>367</v>
      </c>
      <c r="F66" s="1065" t="s">
        <v>673</v>
      </c>
      <c r="G66" s="1075" t="s">
        <v>668</v>
      </c>
      <c r="H66" s="1075" t="s">
        <v>669</v>
      </c>
      <c r="I66" s="1068">
        <f>Table1[[#This Row],[Date]]</f>
        <v>41149</v>
      </c>
      <c r="J66" s="46"/>
      <c r="K66" s="46"/>
    </row>
    <row r="67" spans="2:11" ht="28.5">
      <c r="B67" s="1067">
        <v>65</v>
      </c>
      <c r="C67" s="1068">
        <v>41149</v>
      </c>
      <c r="D67" s="1080" t="s">
        <v>580</v>
      </c>
      <c r="E67" s="1080" t="s">
        <v>367</v>
      </c>
      <c r="F67" s="1065" t="s">
        <v>674</v>
      </c>
      <c r="G67" s="1075" t="s">
        <v>668</v>
      </c>
      <c r="H67" s="1075" t="s">
        <v>669</v>
      </c>
      <c r="I67" s="1068">
        <f>Table1[[#This Row],[Date]]</f>
        <v>41149</v>
      </c>
      <c r="J67" s="46"/>
      <c r="K67" s="46"/>
    </row>
    <row r="68" spans="2:11" ht="28.5">
      <c r="B68" s="1067">
        <v>66</v>
      </c>
      <c r="C68" s="1068">
        <v>41149</v>
      </c>
      <c r="D68" s="1080" t="s">
        <v>580</v>
      </c>
      <c r="E68" s="1080" t="s">
        <v>367</v>
      </c>
      <c r="F68" s="1065" t="s">
        <v>675</v>
      </c>
      <c r="G68" s="1075" t="s">
        <v>668</v>
      </c>
      <c r="H68" s="1075" t="s">
        <v>669</v>
      </c>
      <c r="I68" s="1068">
        <f>Table1[[#This Row],[Date]]</f>
        <v>41149</v>
      </c>
      <c r="J68" s="46"/>
      <c r="K68" s="46"/>
    </row>
    <row r="69" spans="2:11" ht="28.5">
      <c r="B69" s="1067">
        <v>67</v>
      </c>
      <c r="C69" s="1068">
        <v>41149</v>
      </c>
      <c r="D69" s="1080" t="s">
        <v>580</v>
      </c>
      <c r="E69" s="1080" t="s">
        <v>367</v>
      </c>
      <c r="F69" s="1065" t="s">
        <v>676</v>
      </c>
      <c r="G69" s="1075" t="s">
        <v>668</v>
      </c>
      <c r="H69" s="1075" t="s">
        <v>669</v>
      </c>
      <c r="I69" s="1068">
        <f>Table1[[#This Row],[Date]]</f>
        <v>41149</v>
      </c>
      <c r="J69" s="46"/>
      <c r="K69" s="46"/>
    </row>
    <row r="70" spans="2:11" ht="28.5">
      <c r="B70" s="1067">
        <v>68</v>
      </c>
      <c r="C70" s="1068">
        <v>41149</v>
      </c>
      <c r="D70" s="1080" t="s">
        <v>580</v>
      </c>
      <c r="E70" s="1080" t="s">
        <v>367</v>
      </c>
      <c r="F70" s="1065" t="s">
        <v>677</v>
      </c>
      <c r="G70" s="1075" t="s">
        <v>668</v>
      </c>
      <c r="H70" s="1075" t="s">
        <v>669</v>
      </c>
      <c r="I70" s="1068">
        <f>Table1[[#This Row],[Date]]</f>
        <v>41149</v>
      </c>
      <c r="J70" s="46"/>
      <c r="K70" s="46"/>
    </row>
    <row r="71" spans="2:11" ht="28.5">
      <c r="B71" s="1067">
        <v>69</v>
      </c>
      <c r="C71" s="1068">
        <v>41149</v>
      </c>
      <c r="D71" s="1080" t="s">
        <v>580</v>
      </c>
      <c r="E71" s="1080" t="s">
        <v>367</v>
      </c>
      <c r="F71" s="1065" t="s">
        <v>678</v>
      </c>
      <c r="G71" s="1075" t="s">
        <v>668</v>
      </c>
      <c r="H71" s="1075" t="s">
        <v>669</v>
      </c>
      <c r="I71" s="1068">
        <f>Table1[[#This Row],[Date]]</f>
        <v>41149</v>
      </c>
      <c r="J71" s="46"/>
      <c r="K71" s="46"/>
    </row>
    <row r="72" spans="2:11">
      <c r="B72" s="1067">
        <v>70</v>
      </c>
      <c r="C72" s="1068">
        <v>41149</v>
      </c>
      <c r="D72" s="1080" t="s">
        <v>580</v>
      </c>
      <c r="E72" s="1080" t="s">
        <v>367</v>
      </c>
      <c r="F72" s="1065" t="s">
        <v>672</v>
      </c>
      <c r="G72" s="1075" t="s">
        <v>670</v>
      </c>
      <c r="H72" s="1075" t="s">
        <v>671</v>
      </c>
      <c r="I72" s="1068">
        <f>Table1[[#This Row],[Date]]</f>
        <v>41149</v>
      </c>
      <c r="J72" s="46"/>
      <c r="K72" s="46"/>
    </row>
    <row r="73" spans="2:11">
      <c r="B73" s="1067">
        <v>71</v>
      </c>
      <c r="C73" s="1068">
        <v>41149</v>
      </c>
      <c r="D73" s="1080" t="s">
        <v>580</v>
      </c>
      <c r="E73" s="1080" t="s">
        <v>367</v>
      </c>
      <c r="F73" s="1065" t="s">
        <v>673</v>
      </c>
      <c r="G73" s="1075" t="s">
        <v>670</v>
      </c>
      <c r="H73" s="1075" t="s">
        <v>671</v>
      </c>
      <c r="I73" s="1068">
        <f>Table1[[#This Row],[Date]]</f>
        <v>41149</v>
      </c>
      <c r="J73" s="46"/>
      <c r="K73" s="46"/>
    </row>
    <row r="74" spans="2:11">
      <c r="B74" s="1067">
        <v>72</v>
      </c>
      <c r="C74" s="1068">
        <v>41149</v>
      </c>
      <c r="D74" s="1080" t="s">
        <v>580</v>
      </c>
      <c r="E74" s="1080" t="s">
        <v>367</v>
      </c>
      <c r="F74" s="1065" t="s">
        <v>674</v>
      </c>
      <c r="G74" s="1075" t="s">
        <v>670</v>
      </c>
      <c r="H74" s="1075" t="s">
        <v>671</v>
      </c>
      <c r="I74" s="1068">
        <f>Table1[[#This Row],[Date]]</f>
        <v>41149</v>
      </c>
      <c r="J74" s="46"/>
      <c r="K74" s="46"/>
    </row>
    <row r="75" spans="2:11">
      <c r="B75" s="1067">
        <v>73</v>
      </c>
      <c r="C75" s="1068">
        <v>41149</v>
      </c>
      <c r="D75" s="1080" t="s">
        <v>580</v>
      </c>
      <c r="E75" s="1080" t="s">
        <v>367</v>
      </c>
      <c r="F75" s="1065" t="s">
        <v>675</v>
      </c>
      <c r="G75" s="1075" t="s">
        <v>670</v>
      </c>
      <c r="H75" s="1075" t="s">
        <v>671</v>
      </c>
      <c r="I75" s="1068">
        <f>Table1[[#This Row],[Date]]</f>
        <v>41149</v>
      </c>
      <c r="J75" s="46"/>
      <c r="K75" s="46"/>
    </row>
    <row r="76" spans="2:11">
      <c r="B76" s="1067">
        <v>74</v>
      </c>
      <c r="C76" s="1068">
        <v>41149</v>
      </c>
      <c r="D76" s="1080" t="s">
        <v>580</v>
      </c>
      <c r="E76" s="1080" t="s">
        <v>367</v>
      </c>
      <c r="F76" s="1065" t="s">
        <v>676</v>
      </c>
      <c r="G76" s="1075" t="s">
        <v>670</v>
      </c>
      <c r="H76" s="1075" t="s">
        <v>671</v>
      </c>
      <c r="I76" s="1068">
        <f>Table1[[#This Row],[Date]]</f>
        <v>41149</v>
      </c>
      <c r="J76" s="46"/>
      <c r="K76" s="46"/>
    </row>
    <row r="77" spans="2:11">
      <c r="B77" s="1067">
        <v>75</v>
      </c>
      <c r="C77" s="1068">
        <v>41149</v>
      </c>
      <c r="D77" s="1080" t="s">
        <v>580</v>
      </c>
      <c r="E77" s="1080" t="s">
        <v>367</v>
      </c>
      <c r="F77" s="1065" t="s">
        <v>677</v>
      </c>
      <c r="G77" s="1075" t="s">
        <v>670</v>
      </c>
      <c r="H77" s="1075" t="s">
        <v>671</v>
      </c>
      <c r="I77" s="1068">
        <f>Table1[[#This Row],[Date]]</f>
        <v>41149</v>
      </c>
      <c r="J77" s="46"/>
      <c r="K77" s="46"/>
    </row>
    <row r="78" spans="2:11">
      <c r="B78" s="1067">
        <v>76</v>
      </c>
      <c r="C78" s="1068">
        <v>41149</v>
      </c>
      <c r="D78" s="1080" t="s">
        <v>580</v>
      </c>
      <c r="E78" s="1080" t="s">
        <v>367</v>
      </c>
      <c r="F78" s="1065" t="s">
        <v>678</v>
      </c>
      <c r="G78" s="1075" t="s">
        <v>670</v>
      </c>
      <c r="H78" s="1075" t="s">
        <v>671</v>
      </c>
      <c r="I78" s="1068">
        <f>Table1[[#This Row],[Date]]</f>
        <v>41149</v>
      </c>
      <c r="J78" s="46"/>
      <c r="K78" s="46"/>
    </row>
    <row r="79" spans="2:11" ht="28.5">
      <c r="B79" s="1067">
        <v>77</v>
      </c>
      <c r="C79" s="1068">
        <v>41149</v>
      </c>
      <c r="D79" s="1080" t="s">
        <v>580</v>
      </c>
      <c r="E79" s="1080" t="s">
        <v>367</v>
      </c>
      <c r="F79" s="1065" t="s">
        <v>679</v>
      </c>
      <c r="G79" s="1075" t="s">
        <v>680</v>
      </c>
      <c r="H79" s="1075" t="s">
        <v>681</v>
      </c>
      <c r="I79" s="1068">
        <f>Table1[[#This Row],[Date]]</f>
        <v>41149</v>
      </c>
      <c r="J79" s="46"/>
      <c r="K79" s="46"/>
    </row>
    <row r="80" spans="2:11" ht="28.5">
      <c r="B80" s="1067">
        <v>78</v>
      </c>
      <c r="C80" s="1068">
        <v>41149</v>
      </c>
      <c r="D80" s="1080" t="s">
        <v>580</v>
      </c>
      <c r="E80" s="1080" t="s">
        <v>367</v>
      </c>
      <c r="F80" s="1065" t="s">
        <v>682</v>
      </c>
      <c r="G80" s="1075" t="s">
        <v>680</v>
      </c>
      <c r="H80" s="1075" t="s">
        <v>681</v>
      </c>
      <c r="I80" s="1068">
        <f>Table1[[#This Row],[Date]]</f>
        <v>41149</v>
      </c>
      <c r="J80" s="46"/>
      <c r="K80" s="46"/>
    </row>
    <row r="81" spans="2:11" ht="42.75">
      <c r="B81" s="1067">
        <v>79</v>
      </c>
      <c r="C81" s="1068">
        <v>41149</v>
      </c>
      <c r="D81" s="1080" t="s">
        <v>580</v>
      </c>
      <c r="E81" s="1080" t="s">
        <v>367</v>
      </c>
      <c r="F81" s="1065" t="s">
        <v>683</v>
      </c>
      <c r="G81" s="1075" t="s">
        <v>684</v>
      </c>
      <c r="H81" s="1075" t="s">
        <v>685</v>
      </c>
      <c r="I81" s="1068">
        <f>Table1[[#This Row],[Date]]</f>
        <v>41149</v>
      </c>
      <c r="J81" s="46"/>
      <c r="K81" s="46"/>
    </row>
    <row r="82" spans="2:11" ht="42.75">
      <c r="B82" s="1067">
        <v>80</v>
      </c>
      <c r="C82" s="1068">
        <v>41149</v>
      </c>
      <c r="D82" s="1080" t="s">
        <v>580</v>
      </c>
      <c r="E82" s="1080" t="s">
        <v>367</v>
      </c>
      <c r="F82" s="1065" t="s">
        <v>686</v>
      </c>
      <c r="G82" s="1075" t="s">
        <v>688</v>
      </c>
      <c r="H82" s="1075" t="s">
        <v>689</v>
      </c>
      <c r="I82" s="1068">
        <f>Table1[[#This Row],[Date]]</f>
        <v>41149</v>
      </c>
      <c r="J82" s="46"/>
      <c r="K82" s="46"/>
    </row>
    <row r="83" spans="2:11" ht="42.75">
      <c r="B83" s="1067">
        <v>81</v>
      </c>
      <c r="C83" s="1068">
        <v>41149</v>
      </c>
      <c r="D83" s="1080" t="s">
        <v>580</v>
      </c>
      <c r="E83" s="1080" t="s">
        <v>367</v>
      </c>
      <c r="F83" s="1065" t="s">
        <v>687</v>
      </c>
      <c r="G83" s="1075" t="s">
        <v>688</v>
      </c>
      <c r="H83" s="1075" t="s">
        <v>689</v>
      </c>
      <c r="I83" s="1068">
        <f>Table1[[#This Row],[Date]]</f>
        <v>41149</v>
      </c>
      <c r="J83" s="46"/>
      <c r="K83" s="46"/>
    </row>
    <row r="84" spans="2:11" ht="28.5">
      <c r="B84" s="1067">
        <v>82</v>
      </c>
      <c r="C84" s="1068">
        <v>41149</v>
      </c>
      <c r="D84" s="1080" t="s">
        <v>580</v>
      </c>
      <c r="E84" s="1080" t="s">
        <v>367</v>
      </c>
      <c r="F84" s="1065" t="s">
        <v>686</v>
      </c>
      <c r="G84" s="1075" t="s">
        <v>690</v>
      </c>
      <c r="H84" s="1075" t="s">
        <v>691</v>
      </c>
      <c r="I84" s="1068">
        <f>Table1[[#This Row],[Date]]</f>
        <v>41149</v>
      </c>
      <c r="J84" s="46"/>
      <c r="K84" s="46"/>
    </row>
    <row r="85" spans="2:11" ht="28.5">
      <c r="B85" s="1067">
        <v>83</v>
      </c>
      <c r="C85" s="1068">
        <v>41149</v>
      </c>
      <c r="D85" s="1080" t="s">
        <v>580</v>
      </c>
      <c r="E85" s="1080" t="s">
        <v>367</v>
      </c>
      <c r="F85" s="1065" t="s">
        <v>687</v>
      </c>
      <c r="G85" s="1075" t="s">
        <v>690</v>
      </c>
      <c r="H85" s="1075" t="s">
        <v>691</v>
      </c>
      <c r="I85" s="1068">
        <f>Table1[[#This Row],[Date]]</f>
        <v>41149</v>
      </c>
      <c r="J85" s="46"/>
      <c r="K85" s="46"/>
    </row>
    <row r="86" spans="2:11">
      <c r="B86" s="1067">
        <v>84</v>
      </c>
      <c r="C86" s="1068">
        <v>41149</v>
      </c>
      <c r="D86" s="1080" t="s">
        <v>580</v>
      </c>
      <c r="E86" s="1080" t="s">
        <v>437</v>
      </c>
      <c r="F86" s="1065" t="s">
        <v>692</v>
      </c>
      <c r="G86" s="1075" t="s">
        <v>583</v>
      </c>
      <c r="H86" s="1075" t="s">
        <v>593</v>
      </c>
      <c r="I86" s="1068">
        <f>Table1[[#This Row],[Date]]</f>
        <v>41149</v>
      </c>
      <c r="J86" s="46"/>
      <c r="K86" s="46"/>
    </row>
    <row r="87" spans="2:11" ht="28.5">
      <c r="B87" s="1067">
        <v>85</v>
      </c>
      <c r="C87" s="1068">
        <v>41149</v>
      </c>
      <c r="D87" s="1080" t="s">
        <v>580</v>
      </c>
      <c r="E87" s="1080" t="s">
        <v>367</v>
      </c>
      <c r="F87" s="1065" t="s">
        <v>693</v>
      </c>
      <c r="G87" s="1075" t="s">
        <v>694</v>
      </c>
      <c r="H87" s="1075" t="s">
        <v>695</v>
      </c>
      <c r="I87" s="1068">
        <f>Table1[[#This Row],[Date]]</f>
        <v>41149</v>
      </c>
      <c r="J87" s="46"/>
      <c r="K87" s="46"/>
    </row>
    <row r="88" spans="2:11">
      <c r="B88" s="1067">
        <v>86</v>
      </c>
      <c r="C88" s="1068">
        <v>41149</v>
      </c>
      <c r="D88" s="1080" t="s">
        <v>580</v>
      </c>
      <c r="E88" s="1080" t="s">
        <v>368</v>
      </c>
      <c r="F88" s="1065" t="s">
        <v>699</v>
      </c>
      <c r="G88" s="1075" t="s">
        <v>697</v>
      </c>
      <c r="H88" s="1075" t="s">
        <v>698</v>
      </c>
      <c r="I88" s="1068">
        <f>Table1[[#This Row],[Date]]</f>
        <v>41149</v>
      </c>
      <c r="J88" s="46"/>
      <c r="K88" s="46"/>
    </row>
    <row r="89" spans="2:11">
      <c r="B89" s="1067">
        <v>87</v>
      </c>
      <c r="C89" s="1068">
        <v>41149</v>
      </c>
      <c r="D89" s="1080" t="s">
        <v>580</v>
      </c>
      <c r="E89" s="1080" t="s">
        <v>368</v>
      </c>
      <c r="F89" s="1065" t="s">
        <v>613</v>
      </c>
      <c r="G89" s="1075" t="s">
        <v>701</v>
      </c>
      <c r="H89" s="1075" t="s">
        <v>702</v>
      </c>
      <c r="I89" s="1068">
        <f>Table1[[#This Row],[Date]]</f>
        <v>41149</v>
      </c>
      <c r="J89" s="46"/>
      <c r="K89" s="46"/>
    </row>
    <row r="90" spans="2:11">
      <c r="B90" s="1067">
        <v>88</v>
      </c>
      <c r="C90" s="1068">
        <v>41149</v>
      </c>
      <c r="D90" s="1080" t="s">
        <v>580</v>
      </c>
      <c r="E90" s="1080" t="s">
        <v>368</v>
      </c>
      <c r="F90" s="1065" t="s">
        <v>700</v>
      </c>
      <c r="G90" s="1075" t="s">
        <v>701</v>
      </c>
      <c r="H90" s="1075" t="s">
        <v>703</v>
      </c>
      <c r="I90" s="1068">
        <f>Table1[[#This Row],[Date]]</f>
        <v>41149</v>
      </c>
      <c r="J90" s="46"/>
      <c r="K90" s="46"/>
    </row>
    <row r="91" spans="2:11" ht="28.5">
      <c r="B91" s="1067">
        <v>89</v>
      </c>
      <c r="C91" s="1068">
        <v>41149</v>
      </c>
      <c r="D91" s="1080" t="s">
        <v>580</v>
      </c>
      <c r="E91" s="1080" t="s">
        <v>368</v>
      </c>
      <c r="F91" s="1065" t="s">
        <v>704</v>
      </c>
      <c r="G91" s="1075" t="s">
        <v>705</v>
      </c>
      <c r="H91" s="1075" t="s">
        <v>706</v>
      </c>
      <c r="I91" s="1068">
        <f>Table1[[#This Row],[Date]]</f>
        <v>41149</v>
      </c>
      <c r="J91" s="46"/>
      <c r="K91" s="46"/>
    </row>
    <row r="92" spans="2:11" ht="28.5">
      <c r="B92" s="1067">
        <v>90</v>
      </c>
      <c r="C92" s="1068">
        <v>41149</v>
      </c>
      <c r="D92" s="1080" t="s">
        <v>580</v>
      </c>
      <c r="E92" s="1080" t="s">
        <v>368</v>
      </c>
      <c r="F92" s="1065" t="s">
        <v>707</v>
      </c>
      <c r="G92" s="1075" t="s">
        <v>708</v>
      </c>
      <c r="H92" s="1075" t="s">
        <v>709</v>
      </c>
      <c r="I92" s="1068">
        <f>Table1[[#This Row],[Date]]</f>
        <v>41149</v>
      </c>
      <c r="J92" s="46"/>
      <c r="K92" s="46"/>
    </row>
    <row r="93" spans="2:11" ht="42.75">
      <c r="B93" s="1067">
        <v>91</v>
      </c>
      <c r="C93" s="1068">
        <v>41149</v>
      </c>
      <c r="D93" s="1080" t="s">
        <v>580</v>
      </c>
      <c r="E93" s="1080" t="s">
        <v>368</v>
      </c>
      <c r="F93" s="1065" t="s">
        <v>710</v>
      </c>
      <c r="G93" s="1075" t="s">
        <v>711</v>
      </c>
      <c r="H93" s="1075" t="s">
        <v>712</v>
      </c>
      <c r="I93" s="1068">
        <f>Table1[[#This Row],[Date]]</f>
        <v>41149</v>
      </c>
      <c r="J93" s="46"/>
      <c r="K93" s="46"/>
    </row>
    <row r="94" spans="2:11" ht="42.75">
      <c r="B94" s="1067">
        <v>92</v>
      </c>
      <c r="C94" s="1068">
        <v>41149</v>
      </c>
      <c r="D94" s="1080" t="s">
        <v>580</v>
      </c>
      <c r="E94" s="1080" t="s">
        <v>368</v>
      </c>
      <c r="F94" s="1065" t="s">
        <v>653</v>
      </c>
      <c r="G94" s="1075" t="s">
        <v>711</v>
      </c>
      <c r="H94" s="1075" t="s">
        <v>712</v>
      </c>
      <c r="I94" s="1068">
        <f>Table1[[#This Row],[Date]]</f>
        <v>41149</v>
      </c>
      <c r="J94" s="46"/>
      <c r="K94" s="46"/>
    </row>
    <row r="95" spans="2:11" ht="28.5">
      <c r="B95" s="1067">
        <v>93</v>
      </c>
      <c r="C95" s="1068">
        <v>41149</v>
      </c>
      <c r="D95" s="1080" t="s">
        <v>580</v>
      </c>
      <c r="E95" s="1080" t="s">
        <v>368</v>
      </c>
      <c r="F95" s="1065" t="s">
        <v>713</v>
      </c>
      <c r="G95" s="1075" t="s">
        <v>723</v>
      </c>
      <c r="H95" s="1075" t="s">
        <v>724</v>
      </c>
      <c r="I95" s="1068">
        <f>Table1[[#This Row],[Date]]</f>
        <v>41149</v>
      </c>
      <c r="J95" s="46"/>
      <c r="K95" s="46"/>
    </row>
    <row r="96" spans="2:11" ht="28.5">
      <c r="B96" s="1067">
        <v>94</v>
      </c>
      <c r="C96" s="1068">
        <v>41149</v>
      </c>
      <c r="D96" s="1080" t="s">
        <v>580</v>
      </c>
      <c r="E96" s="1080" t="s">
        <v>368</v>
      </c>
      <c r="F96" s="1065" t="s">
        <v>714</v>
      </c>
      <c r="G96" s="1075" t="s">
        <v>723</v>
      </c>
      <c r="H96" s="1075" t="s">
        <v>725</v>
      </c>
      <c r="I96" s="1068">
        <f>Table1[[#This Row],[Date]]</f>
        <v>41149</v>
      </c>
      <c r="J96" s="46"/>
      <c r="K96" s="46"/>
    </row>
    <row r="97" spans="2:30" ht="28.5">
      <c r="B97" s="1067">
        <v>95</v>
      </c>
      <c r="C97" s="1068">
        <v>41149</v>
      </c>
      <c r="D97" s="1080" t="s">
        <v>580</v>
      </c>
      <c r="E97" s="1080" t="s">
        <v>368</v>
      </c>
      <c r="F97" s="1065" t="s">
        <v>715</v>
      </c>
      <c r="G97" s="1075" t="s">
        <v>723</v>
      </c>
      <c r="H97" s="1075" t="s">
        <v>726</v>
      </c>
      <c r="I97" s="1068">
        <f>Table1[[#This Row],[Date]]</f>
        <v>41149</v>
      </c>
      <c r="J97" s="46"/>
      <c r="K97" s="46"/>
    </row>
    <row r="98" spans="2:30" ht="28.5">
      <c r="B98" s="1067">
        <v>96</v>
      </c>
      <c r="C98" s="1068">
        <v>41149</v>
      </c>
      <c r="D98" s="1080" t="s">
        <v>580</v>
      </c>
      <c r="E98" s="1080" t="s">
        <v>368</v>
      </c>
      <c r="F98" s="1065" t="s">
        <v>716</v>
      </c>
      <c r="G98" s="1075" t="s">
        <v>723</v>
      </c>
      <c r="H98" s="1075" t="s">
        <v>727</v>
      </c>
      <c r="I98" s="1068">
        <f>Table1[[#This Row],[Date]]</f>
        <v>41149</v>
      </c>
      <c r="J98" s="46"/>
      <c r="K98" s="46"/>
    </row>
    <row r="99" spans="2:30" ht="28.5">
      <c r="B99" s="1067">
        <v>97</v>
      </c>
      <c r="C99" s="1068">
        <v>41149</v>
      </c>
      <c r="D99" s="1080" t="s">
        <v>580</v>
      </c>
      <c r="E99" s="1080" t="s">
        <v>368</v>
      </c>
      <c r="F99" s="1065" t="s">
        <v>717</v>
      </c>
      <c r="G99" s="1075" t="s">
        <v>723</v>
      </c>
      <c r="H99" s="1075" t="s">
        <v>728</v>
      </c>
      <c r="I99" s="1068">
        <f>Table1[[#This Row],[Date]]</f>
        <v>41149</v>
      </c>
      <c r="J99" s="46"/>
      <c r="K99" s="46"/>
    </row>
    <row r="100" spans="2:30" ht="28.5">
      <c r="B100" s="1067">
        <v>98</v>
      </c>
      <c r="C100" s="1068">
        <v>41149</v>
      </c>
      <c r="D100" s="1080" t="s">
        <v>580</v>
      </c>
      <c r="E100" s="1080" t="s">
        <v>368</v>
      </c>
      <c r="F100" s="1065" t="s">
        <v>718</v>
      </c>
      <c r="G100" s="1075" t="s">
        <v>723</v>
      </c>
      <c r="H100" s="1075" t="s">
        <v>729</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8.5">
      <c r="B101" s="1067">
        <v>99</v>
      </c>
      <c r="C101" s="1068">
        <v>41149</v>
      </c>
      <c r="D101" s="1080" t="s">
        <v>580</v>
      </c>
      <c r="E101" s="1080" t="s">
        <v>368</v>
      </c>
      <c r="F101" s="1065" t="s">
        <v>719</v>
      </c>
      <c r="G101" s="1075" t="s">
        <v>723</v>
      </c>
      <c r="H101" s="1075" t="s">
        <v>730</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8.5">
      <c r="B102" s="1067">
        <v>100</v>
      </c>
      <c r="C102" s="1068">
        <v>41149</v>
      </c>
      <c r="D102" s="1080" t="s">
        <v>580</v>
      </c>
      <c r="E102" s="1080" t="s">
        <v>368</v>
      </c>
      <c r="F102" s="1065" t="s">
        <v>720</v>
      </c>
      <c r="G102" s="1075" t="s">
        <v>723</v>
      </c>
      <c r="H102" s="1075" t="s">
        <v>731</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8.5">
      <c r="B103" s="1067">
        <v>101</v>
      </c>
      <c r="C103" s="1068">
        <v>41149</v>
      </c>
      <c r="D103" s="1080" t="s">
        <v>580</v>
      </c>
      <c r="E103" s="1080" t="s">
        <v>368</v>
      </c>
      <c r="F103" s="1065" t="s">
        <v>721</v>
      </c>
      <c r="G103" s="1075" t="s">
        <v>723</v>
      </c>
      <c r="H103" s="1075" t="s">
        <v>732</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8.5">
      <c r="B104" s="1067">
        <v>102</v>
      </c>
      <c r="C104" s="1068">
        <v>41149</v>
      </c>
      <c r="D104" s="1080" t="s">
        <v>580</v>
      </c>
      <c r="E104" s="1080" t="s">
        <v>368</v>
      </c>
      <c r="F104" s="1065" t="s">
        <v>722</v>
      </c>
      <c r="G104" s="1075" t="s">
        <v>723</v>
      </c>
      <c r="H104" s="1075" t="s">
        <v>733</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8.5">
      <c r="B105" s="1067">
        <v>103</v>
      </c>
      <c r="C105" s="1068">
        <v>41149</v>
      </c>
      <c r="D105" s="1080" t="s">
        <v>580</v>
      </c>
      <c r="E105" s="1080" t="s">
        <v>349</v>
      </c>
      <c r="F105" s="1065" t="s">
        <v>582</v>
      </c>
      <c r="G105" s="1075" t="s">
        <v>734</v>
      </c>
      <c r="H105" s="1075" t="s">
        <v>709</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8.5">
      <c r="B106" s="1067">
        <v>104</v>
      </c>
      <c r="C106" s="1068">
        <v>41149</v>
      </c>
      <c r="D106" s="1080" t="s">
        <v>580</v>
      </c>
      <c r="E106" s="1080" t="s">
        <v>349</v>
      </c>
      <c r="F106" s="1065" t="s">
        <v>735</v>
      </c>
      <c r="G106" s="1075" t="s">
        <v>734</v>
      </c>
      <c r="H106" s="1075" t="s">
        <v>709</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580</v>
      </c>
      <c r="E107" s="1080" t="s">
        <v>349</v>
      </c>
      <c r="F107" s="1065" t="s">
        <v>735</v>
      </c>
      <c r="G107" s="1075" t="s">
        <v>736</v>
      </c>
      <c r="H107" s="1075" t="s">
        <v>737</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2.75">
      <c r="B108" s="1067">
        <v>106</v>
      </c>
      <c r="C108" s="1068">
        <v>41149</v>
      </c>
      <c r="D108" s="1080" t="s">
        <v>580</v>
      </c>
      <c r="E108" s="1080" t="s">
        <v>349</v>
      </c>
      <c r="F108" s="1065" t="s">
        <v>739</v>
      </c>
      <c r="G108" s="1075" t="s">
        <v>740</v>
      </c>
      <c r="H108" s="1075" t="s">
        <v>741</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8.5">
      <c r="B109" s="1067">
        <v>107</v>
      </c>
      <c r="C109" s="1068">
        <v>41149</v>
      </c>
      <c r="D109" s="1080" t="s">
        <v>580</v>
      </c>
      <c r="E109" s="1080" t="s">
        <v>349</v>
      </c>
      <c r="F109" s="1065" t="s">
        <v>742</v>
      </c>
      <c r="G109" s="1075" t="s">
        <v>740</v>
      </c>
      <c r="H109" s="1075" t="s">
        <v>743</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580</v>
      </c>
      <c r="E110" s="1080" t="s">
        <v>349</v>
      </c>
      <c r="F110" s="1065" t="s">
        <v>645</v>
      </c>
      <c r="G110" s="1075" t="s">
        <v>744</v>
      </c>
      <c r="H110" s="1075" t="s">
        <v>745</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8.5">
      <c r="B111" s="1067">
        <v>109</v>
      </c>
      <c r="C111" s="1068">
        <v>41149</v>
      </c>
      <c r="D111" s="1080" t="s">
        <v>580</v>
      </c>
      <c r="E111" s="1080" t="s">
        <v>349</v>
      </c>
      <c r="F111" s="1065" t="s">
        <v>717</v>
      </c>
      <c r="G111" s="1075" t="s">
        <v>749</v>
      </c>
      <c r="H111" s="1075" t="s">
        <v>750</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2.75">
      <c r="B112" s="1067">
        <v>110</v>
      </c>
      <c r="C112" s="1068">
        <v>41149</v>
      </c>
      <c r="D112" s="1080" t="s">
        <v>580</v>
      </c>
      <c r="E112" s="1080" t="s">
        <v>349</v>
      </c>
      <c r="F112" s="1065" t="s">
        <v>756</v>
      </c>
      <c r="G112" s="1075" t="s">
        <v>622</v>
      </c>
      <c r="H112" s="1075" t="s">
        <v>623</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8.5">
      <c r="B113" s="1067">
        <v>111</v>
      </c>
      <c r="C113" s="1068">
        <v>41149</v>
      </c>
      <c r="D113" s="1080" t="s">
        <v>580</v>
      </c>
      <c r="E113" s="1080" t="s">
        <v>349</v>
      </c>
      <c r="F113" s="1065" t="s">
        <v>759</v>
      </c>
      <c r="G113" s="1075" t="s">
        <v>740</v>
      </c>
      <c r="H113" s="1075" t="s">
        <v>743</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8.5">
      <c r="B114" s="1067">
        <v>112</v>
      </c>
      <c r="C114" s="1068">
        <v>41149</v>
      </c>
      <c r="D114" s="1080" t="s">
        <v>580</v>
      </c>
      <c r="E114" s="1080" t="s">
        <v>437</v>
      </c>
      <c r="F114" s="1065" t="s">
        <v>748</v>
      </c>
      <c r="G114" s="1075" t="s">
        <v>746</v>
      </c>
      <c r="H114" s="1075" t="s">
        <v>747</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8.5">
      <c r="B115" s="1067">
        <v>113</v>
      </c>
      <c r="C115" s="1068">
        <v>41149</v>
      </c>
      <c r="D115" s="1080" t="s">
        <v>580</v>
      </c>
      <c r="E115" s="1080" t="s">
        <v>437</v>
      </c>
      <c r="F115" s="1065" t="s">
        <v>751</v>
      </c>
      <c r="G115" s="1075" t="s">
        <v>752</v>
      </c>
      <c r="H115" s="1075" t="s">
        <v>753</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8.5">
      <c r="B116" s="1067">
        <v>114</v>
      </c>
      <c r="C116" s="1068">
        <v>41149</v>
      </c>
      <c r="D116" s="1080" t="s">
        <v>580</v>
      </c>
      <c r="E116" s="1080" t="s">
        <v>368</v>
      </c>
      <c r="F116" s="1065" t="s">
        <v>582</v>
      </c>
      <c r="G116" s="1075" t="s">
        <v>754</v>
      </c>
      <c r="H116" s="1075" t="s">
        <v>755</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8.5">
      <c r="B117" s="1067">
        <v>115</v>
      </c>
      <c r="C117" s="1068">
        <v>41149</v>
      </c>
      <c r="D117" s="1080" t="s">
        <v>580</v>
      </c>
      <c r="E117" s="1080" t="s">
        <v>349</v>
      </c>
      <c r="F117" s="1065" t="s">
        <v>760</v>
      </c>
      <c r="G117" s="1075" t="s">
        <v>740</v>
      </c>
      <c r="H117" s="1075" t="s">
        <v>743</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580</v>
      </c>
      <c r="E118" s="1080" t="s">
        <v>349</v>
      </c>
      <c r="F118" s="1065" t="s">
        <v>761</v>
      </c>
      <c r="G118" s="1075" t="s">
        <v>744</v>
      </c>
      <c r="H118" s="1075" t="s">
        <v>745</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8.5">
      <c r="B119" s="1067">
        <v>117</v>
      </c>
      <c r="C119" s="1068">
        <v>41149</v>
      </c>
      <c r="D119" s="1080" t="s">
        <v>580</v>
      </c>
      <c r="E119" s="1080" t="s">
        <v>100</v>
      </c>
      <c r="F119" s="1065" t="s">
        <v>582</v>
      </c>
      <c r="G119" s="1075" t="s">
        <v>734</v>
      </c>
      <c r="H119" s="1075" t="s">
        <v>709</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8.5">
      <c r="B120" s="1067">
        <v>118</v>
      </c>
      <c r="C120" s="1068">
        <v>41149</v>
      </c>
      <c r="D120" s="1080" t="s">
        <v>580</v>
      </c>
      <c r="E120" s="1080" t="s">
        <v>100</v>
      </c>
      <c r="F120" s="1065" t="s">
        <v>596</v>
      </c>
      <c r="G120" s="1075" t="s">
        <v>734</v>
      </c>
      <c r="H120" s="1075" t="s">
        <v>709</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8.5">
      <c r="B121" s="1067">
        <v>119</v>
      </c>
      <c r="C121" s="1068">
        <v>41149</v>
      </c>
      <c r="D121" s="1080" t="s">
        <v>580</v>
      </c>
      <c r="E121" s="1080" t="s">
        <v>100</v>
      </c>
      <c r="F121" s="1065" t="s">
        <v>762</v>
      </c>
      <c r="G121" s="1075" t="s">
        <v>734</v>
      </c>
      <c r="H121" s="1075" t="s">
        <v>709</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8.5">
      <c r="B122" s="1067">
        <v>120</v>
      </c>
      <c r="C122" s="1068">
        <v>41149</v>
      </c>
      <c r="D122" s="1080" t="s">
        <v>580</v>
      </c>
      <c r="E122" s="1080" t="s">
        <v>100</v>
      </c>
      <c r="F122" s="1065" t="s">
        <v>765</v>
      </c>
      <c r="G122" s="1075" t="s">
        <v>740</v>
      </c>
      <c r="H122" s="1075" t="s">
        <v>743</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8.5">
      <c r="B123" s="1067">
        <v>121</v>
      </c>
      <c r="C123" s="1068">
        <v>41149</v>
      </c>
      <c r="D123" s="1080" t="s">
        <v>580</v>
      </c>
      <c r="E123" s="1080" t="s">
        <v>100</v>
      </c>
      <c r="F123" s="1065" t="s">
        <v>739</v>
      </c>
      <c r="G123" s="1075" t="s">
        <v>740</v>
      </c>
      <c r="H123" s="1075" t="s">
        <v>766</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580</v>
      </c>
      <c r="E124" s="1080" t="s">
        <v>100</v>
      </c>
      <c r="F124" s="1065" t="s">
        <v>767</v>
      </c>
      <c r="G124" s="1075" t="s">
        <v>744</v>
      </c>
      <c r="H124" s="1075" t="s">
        <v>768</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580</v>
      </c>
      <c r="E125" s="1080" t="s">
        <v>100</v>
      </c>
      <c r="F125" s="1065" t="s">
        <v>769</v>
      </c>
      <c r="G125" s="1075" t="s">
        <v>770</v>
      </c>
      <c r="H125" s="1075" t="s">
        <v>771</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8.5">
      <c r="B126" s="1067">
        <v>124</v>
      </c>
      <c r="C126" s="1068">
        <v>41149</v>
      </c>
      <c r="D126" s="1080" t="s">
        <v>580</v>
      </c>
      <c r="E126" s="1080" t="s">
        <v>100</v>
      </c>
      <c r="F126" s="1065" t="s">
        <v>714</v>
      </c>
      <c r="G126" s="1075" t="s">
        <v>772</v>
      </c>
      <c r="H126" s="1075" t="s">
        <v>773</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580</v>
      </c>
      <c r="E127" s="1080" t="s">
        <v>100</v>
      </c>
      <c r="F127" s="1065" t="s">
        <v>715</v>
      </c>
      <c r="G127" s="1075" t="s">
        <v>774</v>
      </c>
      <c r="H127" s="1075" t="s">
        <v>775</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580</v>
      </c>
      <c r="E128" s="1080" t="s">
        <v>100</v>
      </c>
      <c r="F128" s="1065" t="s">
        <v>721</v>
      </c>
      <c r="G128" s="1075" t="s">
        <v>774</v>
      </c>
      <c r="H128" s="1075" t="s">
        <v>775</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8.5">
      <c r="B129" s="1067">
        <v>127</v>
      </c>
      <c r="C129" s="1068">
        <v>41149</v>
      </c>
      <c r="D129" s="1080" t="s">
        <v>580</v>
      </c>
      <c r="E129" s="1080" t="s">
        <v>100</v>
      </c>
      <c r="F129" s="1065" t="s">
        <v>722</v>
      </c>
      <c r="G129" s="1075" t="s">
        <v>776</v>
      </c>
      <c r="H129" s="1075" t="s">
        <v>777</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580</v>
      </c>
      <c r="E130" s="1080" t="s">
        <v>100</v>
      </c>
      <c r="F130" s="1065" t="s">
        <v>778</v>
      </c>
      <c r="G130" s="1075" t="s">
        <v>774</v>
      </c>
      <c r="H130" s="1075" t="s">
        <v>775</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580</v>
      </c>
      <c r="E131" s="1080" t="s">
        <v>100</v>
      </c>
      <c r="F131" s="1065" t="s">
        <v>779</v>
      </c>
      <c r="G131" s="1075" t="s">
        <v>780</v>
      </c>
      <c r="H131" s="1075" t="s">
        <v>781</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580</v>
      </c>
      <c r="E132" s="1080" t="s">
        <v>100</v>
      </c>
      <c r="F132" s="1065" t="s">
        <v>782</v>
      </c>
      <c r="G132" s="1075" t="s">
        <v>744</v>
      </c>
      <c r="H132" s="1075" t="s">
        <v>768</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2.75">
      <c r="B133" s="1067">
        <v>131</v>
      </c>
      <c r="C133" s="1068">
        <v>41149</v>
      </c>
      <c r="D133" s="1080" t="s">
        <v>580</v>
      </c>
      <c r="E133" s="1080" t="s">
        <v>100</v>
      </c>
      <c r="F133" s="1065" t="s">
        <v>783</v>
      </c>
      <c r="G133" s="1075" t="s">
        <v>622</v>
      </c>
      <c r="H133" s="1075" t="s">
        <v>623</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580</v>
      </c>
      <c r="E134" s="1080" t="s">
        <v>100</v>
      </c>
      <c r="F134" s="1065" t="s">
        <v>596</v>
      </c>
      <c r="G134" s="1075" t="s">
        <v>583</v>
      </c>
      <c r="H134" s="1075" t="s">
        <v>784</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8.5">
      <c r="B135" s="1067">
        <v>133</v>
      </c>
      <c r="C135" s="1068">
        <v>41149</v>
      </c>
      <c r="D135" s="1080" t="s">
        <v>580</v>
      </c>
      <c r="E135" s="1080" t="s">
        <v>101</v>
      </c>
      <c r="F135" s="1065" t="s">
        <v>582</v>
      </c>
      <c r="G135" s="1075" t="s">
        <v>734</v>
      </c>
      <c r="H135" s="1075" t="s">
        <v>709</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8.5">
      <c r="B136" s="1067">
        <v>134</v>
      </c>
      <c r="C136" s="1068">
        <v>41149</v>
      </c>
      <c r="D136" s="1080" t="s">
        <v>580</v>
      </c>
      <c r="E136" s="1080" t="s">
        <v>101</v>
      </c>
      <c r="F136" s="1065" t="s">
        <v>607</v>
      </c>
      <c r="G136" s="1075" t="s">
        <v>734</v>
      </c>
      <c r="H136" s="1075" t="s">
        <v>709</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580</v>
      </c>
      <c r="E137" s="1080" t="s">
        <v>101</v>
      </c>
      <c r="F137" s="1065" t="s">
        <v>607</v>
      </c>
      <c r="G137" s="1075" t="s">
        <v>785</v>
      </c>
      <c r="H137" s="1075" t="s">
        <v>786</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8.5">
      <c r="B138" s="1067">
        <v>136</v>
      </c>
      <c r="C138" s="1068">
        <v>41149</v>
      </c>
      <c r="D138" s="1080" t="s">
        <v>580</v>
      </c>
      <c r="E138" s="1080" t="s">
        <v>101</v>
      </c>
      <c r="F138" s="1065" t="s">
        <v>626</v>
      </c>
      <c r="G138" s="1075" t="s">
        <v>740</v>
      </c>
      <c r="H138" s="1075" t="s">
        <v>788</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8.5">
      <c r="B139" s="1067">
        <v>137</v>
      </c>
      <c r="C139" s="1068">
        <v>41149</v>
      </c>
      <c r="D139" s="1080" t="s">
        <v>580</v>
      </c>
      <c r="E139" s="1080" t="s">
        <v>101</v>
      </c>
      <c r="F139" s="1065" t="s">
        <v>625</v>
      </c>
      <c r="G139" s="1075" t="s">
        <v>789</v>
      </c>
      <c r="H139" s="1075" t="s">
        <v>790</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580</v>
      </c>
      <c r="E140" s="1080" t="s">
        <v>101</v>
      </c>
      <c r="F140" s="1065" t="s">
        <v>627</v>
      </c>
      <c r="G140" s="1075" t="s">
        <v>599</v>
      </c>
      <c r="H140" s="1075" t="s">
        <v>600</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580</v>
      </c>
      <c r="E141" s="1080" t="s">
        <v>101</v>
      </c>
      <c r="F141" s="1065" t="s">
        <v>628</v>
      </c>
      <c r="G141" s="1075" t="s">
        <v>599</v>
      </c>
      <c r="H141" s="1075" t="s">
        <v>600</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580</v>
      </c>
      <c r="E142" s="1080" t="s">
        <v>101</v>
      </c>
      <c r="F142" s="1065" t="s">
        <v>629</v>
      </c>
      <c r="G142" s="1075" t="s">
        <v>599</v>
      </c>
      <c r="H142" s="1075" t="s">
        <v>600</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580</v>
      </c>
      <c r="E143" s="1080" t="s">
        <v>101</v>
      </c>
      <c r="F143" s="1065" t="s">
        <v>630</v>
      </c>
      <c r="G143" s="1075" t="s">
        <v>599</v>
      </c>
      <c r="H143" s="1075" t="s">
        <v>600</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2.75">
      <c r="B144" s="1067">
        <v>142</v>
      </c>
      <c r="C144" s="1068">
        <v>41149</v>
      </c>
      <c r="D144" s="1080" t="s">
        <v>580</v>
      </c>
      <c r="E144" s="1080" t="s">
        <v>101</v>
      </c>
      <c r="F144" s="1065" t="s">
        <v>718</v>
      </c>
      <c r="G144" s="1075" t="s">
        <v>622</v>
      </c>
      <c r="H144" s="1075" t="s">
        <v>623</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580</v>
      </c>
      <c r="E145" s="1080" t="s">
        <v>101</v>
      </c>
      <c r="F145" s="1065" t="s">
        <v>791</v>
      </c>
      <c r="G145" s="1075" t="s">
        <v>744</v>
      </c>
      <c r="H145" s="1075" t="s">
        <v>768</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8.5">
      <c r="B146" s="1067">
        <v>144</v>
      </c>
      <c r="C146" s="1068">
        <v>41149</v>
      </c>
      <c r="D146" s="1080" t="s">
        <v>580</v>
      </c>
      <c r="E146" s="1080" t="s">
        <v>367</v>
      </c>
      <c r="F146" s="1065" t="s">
        <v>792</v>
      </c>
      <c r="G146" s="1075" t="s">
        <v>794</v>
      </c>
      <c r="H146" s="1075" t="s">
        <v>795</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8.5">
      <c r="B147" s="1067">
        <v>145</v>
      </c>
      <c r="C147" s="1068">
        <v>41149</v>
      </c>
      <c r="D147" s="1080" t="s">
        <v>580</v>
      </c>
      <c r="E147" s="1080" t="s">
        <v>367</v>
      </c>
      <c r="F147" s="1065" t="s">
        <v>793</v>
      </c>
      <c r="G147" s="1075" t="s">
        <v>794</v>
      </c>
      <c r="H147" s="1075" t="s">
        <v>796</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8.5">
      <c r="B148" s="1067">
        <v>146</v>
      </c>
      <c r="C148" s="1068">
        <v>41149</v>
      </c>
      <c r="D148" s="1080" t="s">
        <v>580</v>
      </c>
      <c r="E148" s="1080" t="s">
        <v>368</v>
      </c>
      <c r="F148" s="1065" t="s">
        <v>793</v>
      </c>
      <c r="G148" s="1075" t="s">
        <v>797</v>
      </c>
      <c r="H148" s="1075" t="s">
        <v>798</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8.5">
      <c r="B149" s="1067">
        <v>147</v>
      </c>
      <c r="C149" s="1068">
        <v>41149</v>
      </c>
      <c r="D149" s="1080" t="s">
        <v>580</v>
      </c>
      <c r="E149" s="1080" t="s">
        <v>100</v>
      </c>
      <c r="F149" s="1065" t="s">
        <v>793</v>
      </c>
      <c r="G149" s="1075" t="s">
        <v>799</v>
      </c>
      <c r="H149" s="1075" t="s">
        <v>800</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8.5">
      <c r="B150" s="1067">
        <v>148</v>
      </c>
      <c r="C150" s="1068">
        <v>41149</v>
      </c>
      <c r="D150" s="1080" t="s">
        <v>580</v>
      </c>
      <c r="E150" s="1080" t="s">
        <v>101</v>
      </c>
      <c r="F150" s="1065" t="s">
        <v>793</v>
      </c>
      <c r="G150" s="1075" t="s">
        <v>799</v>
      </c>
      <c r="H150" s="1075" t="s">
        <v>801</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8.5">
      <c r="B151" s="1067">
        <v>149</v>
      </c>
      <c r="C151" s="1068">
        <v>41149</v>
      </c>
      <c r="D151" s="1080" t="s">
        <v>580</v>
      </c>
      <c r="E151" s="1080" t="s">
        <v>298</v>
      </c>
      <c r="F151" s="1065" t="s">
        <v>802</v>
      </c>
      <c r="G151" s="1075" t="s">
        <v>734</v>
      </c>
      <c r="H151" s="1075" t="s">
        <v>709</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8.5">
      <c r="B152" s="1067">
        <v>150</v>
      </c>
      <c r="C152" s="1068">
        <v>41149</v>
      </c>
      <c r="D152" s="1080" t="s">
        <v>580</v>
      </c>
      <c r="E152" s="1080" t="s">
        <v>298</v>
      </c>
      <c r="F152" s="1065" t="s">
        <v>585</v>
      </c>
      <c r="G152" s="1075" t="s">
        <v>734</v>
      </c>
      <c r="H152" s="1075" t="s">
        <v>709</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8.5">
      <c r="B153" s="1067">
        <v>151</v>
      </c>
      <c r="C153" s="1068">
        <v>41149</v>
      </c>
      <c r="D153" s="1080" t="s">
        <v>580</v>
      </c>
      <c r="E153" s="1080" t="s">
        <v>298</v>
      </c>
      <c r="F153" s="1065" t="s">
        <v>582</v>
      </c>
      <c r="G153" s="1075" t="s">
        <v>734</v>
      </c>
      <c r="H153" s="1075" t="s">
        <v>709</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580</v>
      </c>
      <c r="E154" s="1080" t="s">
        <v>298</v>
      </c>
      <c r="F154" s="1065" t="s">
        <v>585</v>
      </c>
      <c r="G154" s="1075" t="s">
        <v>803</v>
      </c>
      <c r="H154" s="1075" t="s">
        <v>804</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580</v>
      </c>
      <c r="E155" s="1080" t="s">
        <v>298</v>
      </c>
      <c r="F155" s="1065" t="s">
        <v>802</v>
      </c>
      <c r="G155" s="1075" t="s">
        <v>805</v>
      </c>
      <c r="H155" s="1075" t="s">
        <v>806</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8.5">
      <c r="B156" s="1067">
        <v>154</v>
      </c>
      <c r="C156" s="1068">
        <v>41149</v>
      </c>
      <c r="D156" s="1080" t="s">
        <v>580</v>
      </c>
      <c r="E156" s="1080" t="s">
        <v>298</v>
      </c>
      <c r="F156" s="1065" t="s">
        <v>807</v>
      </c>
      <c r="G156" s="1075" t="s">
        <v>808</v>
      </c>
      <c r="H156" s="1075" t="s">
        <v>809</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8.5">
      <c r="B157" s="1067">
        <v>155</v>
      </c>
      <c r="C157" s="1068">
        <v>41149</v>
      </c>
      <c r="D157" s="1080" t="s">
        <v>580</v>
      </c>
      <c r="E157" s="1080" t="s">
        <v>298</v>
      </c>
      <c r="F157" s="1065" t="s">
        <v>742</v>
      </c>
      <c r="G157" s="1075" t="s">
        <v>810</v>
      </c>
      <c r="H157" s="1075" t="s">
        <v>811</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580</v>
      </c>
      <c r="E158" s="1080" t="s">
        <v>298</v>
      </c>
      <c r="F158" s="1065" t="s">
        <v>814</v>
      </c>
      <c r="G158" s="1075" t="s">
        <v>744</v>
      </c>
      <c r="H158" s="1075" t="s">
        <v>768</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8.5">
      <c r="B159" s="1067">
        <v>157</v>
      </c>
      <c r="C159" s="1068">
        <v>41149</v>
      </c>
      <c r="D159" s="1080" t="s">
        <v>580</v>
      </c>
      <c r="E159" s="1080" t="s">
        <v>298</v>
      </c>
      <c r="F159" s="1065" t="s">
        <v>815</v>
      </c>
      <c r="G159" s="1075" t="s">
        <v>816</v>
      </c>
      <c r="H159" s="1075" t="s">
        <v>817</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8.5">
      <c r="B160" s="1067">
        <v>158</v>
      </c>
      <c r="C160" s="1068">
        <v>41149</v>
      </c>
      <c r="D160" s="1080" t="s">
        <v>580</v>
      </c>
      <c r="E160" s="1080" t="s">
        <v>581</v>
      </c>
      <c r="F160" s="1065" t="s">
        <v>812</v>
      </c>
      <c r="G160" s="1075" t="s">
        <v>813</v>
      </c>
      <c r="H160" s="1075" t="s">
        <v>706</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8.5">
      <c r="B161" s="1067">
        <v>159</v>
      </c>
      <c r="C161" s="1068">
        <v>41149</v>
      </c>
      <c r="D161" s="1080" t="s">
        <v>580</v>
      </c>
      <c r="E161" s="1080" t="s">
        <v>298</v>
      </c>
      <c r="F161" s="1065" t="s">
        <v>667</v>
      </c>
      <c r="G161" s="1075" t="s">
        <v>821</v>
      </c>
      <c r="H161" s="1075" t="s">
        <v>706</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8.5">
      <c r="B162" s="1067">
        <v>160</v>
      </c>
      <c r="C162" s="1068">
        <v>41149</v>
      </c>
      <c r="D162" s="1080" t="s">
        <v>580</v>
      </c>
      <c r="E162" s="1080" t="s">
        <v>298</v>
      </c>
      <c r="F162" s="1065" t="s">
        <v>672</v>
      </c>
      <c r="G162" s="1075" t="s">
        <v>821</v>
      </c>
      <c r="H162" s="1075" t="s">
        <v>706</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8.5">
      <c r="B163" s="1067">
        <v>161</v>
      </c>
      <c r="C163" s="1068">
        <v>41149</v>
      </c>
      <c r="D163" s="1080" t="s">
        <v>580</v>
      </c>
      <c r="E163" s="1080" t="s">
        <v>298</v>
      </c>
      <c r="F163" s="1065" t="s">
        <v>673</v>
      </c>
      <c r="G163" s="1075" t="s">
        <v>821</v>
      </c>
      <c r="H163" s="1075" t="s">
        <v>706</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8.5">
      <c r="B164" s="1067">
        <v>162</v>
      </c>
      <c r="C164" s="1068">
        <v>41149</v>
      </c>
      <c r="D164" s="1080" t="s">
        <v>580</v>
      </c>
      <c r="E164" s="1080" t="s">
        <v>298</v>
      </c>
      <c r="F164" s="1065" t="s">
        <v>674</v>
      </c>
      <c r="G164" s="1075" t="s">
        <v>821</v>
      </c>
      <c r="H164" s="1075" t="s">
        <v>706</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8.5">
      <c r="B165" s="1067">
        <v>163</v>
      </c>
      <c r="C165" s="1068">
        <v>41149</v>
      </c>
      <c r="D165" s="1080" t="s">
        <v>580</v>
      </c>
      <c r="E165" s="1080" t="s">
        <v>298</v>
      </c>
      <c r="F165" s="1065" t="s">
        <v>675</v>
      </c>
      <c r="G165" s="1075" t="s">
        <v>821</v>
      </c>
      <c r="H165" s="1075" t="s">
        <v>706</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8.5">
      <c r="B166" s="1067">
        <v>164</v>
      </c>
      <c r="C166" s="1068">
        <v>41149</v>
      </c>
      <c r="D166" s="1080" t="s">
        <v>580</v>
      </c>
      <c r="E166" s="1080" t="s">
        <v>298</v>
      </c>
      <c r="F166" s="1065" t="s">
        <v>676</v>
      </c>
      <c r="G166" s="1075" t="s">
        <v>820</v>
      </c>
      <c r="H166" s="1075" t="s">
        <v>691</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8.5">
      <c r="B167" s="1067">
        <v>165</v>
      </c>
      <c r="C167" s="1068">
        <v>41149</v>
      </c>
      <c r="D167" s="1080" t="s">
        <v>580</v>
      </c>
      <c r="E167" s="1080" t="s">
        <v>298</v>
      </c>
      <c r="F167" s="1065" t="s">
        <v>677</v>
      </c>
      <c r="G167" s="1075" t="s">
        <v>820</v>
      </c>
      <c r="H167" s="1075" t="s">
        <v>691</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8.5">
      <c r="B168" s="1067">
        <v>166</v>
      </c>
      <c r="C168" s="1068">
        <v>41149</v>
      </c>
      <c r="D168" s="1080" t="s">
        <v>580</v>
      </c>
      <c r="E168" s="1080" t="s">
        <v>298</v>
      </c>
      <c r="F168" s="1065" t="s">
        <v>819</v>
      </c>
      <c r="G168" s="1075" t="s">
        <v>822</v>
      </c>
      <c r="H168" s="1075" t="s">
        <v>823</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8.5">
      <c r="B169" s="1067">
        <v>167</v>
      </c>
      <c r="C169" s="1068">
        <v>41149</v>
      </c>
      <c r="D169" s="1080" t="s">
        <v>580</v>
      </c>
      <c r="E169" s="1080" t="s">
        <v>298</v>
      </c>
      <c r="F169" s="1065" t="s">
        <v>824</v>
      </c>
      <c r="G169" s="1075" t="s">
        <v>822</v>
      </c>
      <c r="H169" s="1075" t="s">
        <v>823</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8.5">
      <c r="B170" s="1067">
        <v>168</v>
      </c>
      <c r="C170" s="1068">
        <v>41149</v>
      </c>
      <c r="D170" s="1080" t="s">
        <v>580</v>
      </c>
      <c r="E170" s="1080" t="s">
        <v>298</v>
      </c>
      <c r="F170" s="1065" t="s">
        <v>825</v>
      </c>
      <c r="G170" s="1075" t="s">
        <v>822</v>
      </c>
      <c r="H170" s="1075" t="s">
        <v>823</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8.5">
      <c r="B171" s="1067">
        <v>169</v>
      </c>
      <c r="C171" s="1068">
        <v>41149</v>
      </c>
      <c r="D171" s="1080" t="s">
        <v>580</v>
      </c>
      <c r="E171" s="1080" t="s">
        <v>298</v>
      </c>
      <c r="F171" s="1065" t="s">
        <v>826</v>
      </c>
      <c r="G171" s="1075" t="s">
        <v>822</v>
      </c>
      <c r="H171" s="1075" t="s">
        <v>823</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8.5">
      <c r="B172" s="1067">
        <v>170</v>
      </c>
      <c r="C172" s="1068">
        <v>41149</v>
      </c>
      <c r="D172" s="1080" t="s">
        <v>580</v>
      </c>
      <c r="E172" s="1080" t="s">
        <v>298</v>
      </c>
      <c r="F172" s="1065" t="s">
        <v>827</v>
      </c>
      <c r="G172" s="1075" t="s">
        <v>822</v>
      </c>
      <c r="H172" s="1075" t="s">
        <v>823</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8.5">
      <c r="B173" s="1067">
        <v>171</v>
      </c>
      <c r="C173" s="1068">
        <v>41149</v>
      </c>
      <c r="D173" s="1080" t="s">
        <v>580</v>
      </c>
      <c r="E173" s="1080" t="s">
        <v>298</v>
      </c>
      <c r="F173" s="1065" t="s">
        <v>828</v>
      </c>
      <c r="G173" s="1075" t="s">
        <v>822</v>
      </c>
      <c r="H173" s="1075" t="s">
        <v>823</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8.5">
      <c r="B174" s="1067">
        <v>172</v>
      </c>
      <c r="C174" s="1068">
        <v>41149</v>
      </c>
      <c r="D174" s="1080" t="s">
        <v>580</v>
      </c>
      <c r="E174" s="1080" t="s">
        <v>298</v>
      </c>
      <c r="F174" s="1065" t="s">
        <v>829</v>
      </c>
      <c r="G174" s="1075" t="s">
        <v>822</v>
      </c>
      <c r="H174" s="1075" t="s">
        <v>823</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8.5">
      <c r="B175" s="1067">
        <v>173</v>
      </c>
      <c r="C175" s="1068">
        <v>41149</v>
      </c>
      <c r="D175" s="1080" t="s">
        <v>580</v>
      </c>
      <c r="E175" s="1080" t="s">
        <v>298</v>
      </c>
      <c r="F175" s="1065" t="s">
        <v>830</v>
      </c>
      <c r="G175" s="1075" t="s">
        <v>822</v>
      </c>
      <c r="H175" s="1075" t="s">
        <v>823</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8.5">
      <c r="B176" s="1067">
        <v>174</v>
      </c>
      <c r="C176" s="1068">
        <v>41149</v>
      </c>
      <c r="D176" s="1080" t="s">
        <v>580</v>
      </c>
      <c r="E176" s="1080" t="s">
        <v>298</v>
      </c>
      <c r="F176" s="1065" t="s">
        <v>831</v>
      </c>
      <c r="G176" s="1075" t="s">
        <v>822</v>
      </c>
      <c r="H176" s="1075" t="s">
        <v>823</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8.5">
      <c r="B177" s="1067">
        <v>175</v>
      </c>
      <c r="C177" s="1068">
        <v>41149</v>
      </c>
      <c r="D177" s="1080" t="s">
        <v>580</v>
      </c>
      <c r="E177" s="1080" t="s">
        <v>298</v>
      </c>
      <c r="F177" s="1065" t="s">
        <v>832</v>
      </c>
      <c r="G177" s="1075" t="s">
        <v>822</v>
      </c>
      <c r="H177" s="1075" t="s">
        <v>823</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8.5">
      <c r="B178" s="1067">
        <v>176</v>
      </c>
      <c r="C178" s="1068">
        <v>41149</v>
      </c>
      <c r="D178" s="1080" t="s">
        <v>580</v>
      </c>
      <c r="E178" s="1080" t="s">
        <v>298</v>
      </c>
      <c r="F178" s="1065" t="s">
        <v>833</v>
      </c>
      <c r="G178" s="1075" t="s">
        <v>821</v>
      </c>
      <c r="H178" s="1075" t="s">
        <v>706</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580</v>
      </c>
      <c r="E179" s="1080" t="s">
        <v>298</v>
      </c>
      <c r="F179" s="1065" t="s">
        <v>834</v>
      </c>
      <c r="G179" s="1075" t="s">
        <v>744</v>
      </c>
      <c r="H179" s="1075" t="s">
        <v>768</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8.5">
      <c r="B180" s="1067">
        <v>178</v>
      </c>
      <c r="C180" s="1068">
        <v>41149</v>
      </c>
      <c r="D180" s="1080" t="s">
        <v>580</v>
      </c>
      <c r="E180" s="1080" t="s">
        <v>298</v>
      </c>
      <c r="F180" s="1065" t="s">
        <v>836</v>
      </c>
      <c r="G180" s="1075" t="s">
        <v>799</v>
      </c>
      <c r="H180" s="1075" t="s">
        <v>801</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2.75">
      <c r="B181" s="1067">
        <v>179</v>
      </c>
      <c r="C181" s="1068">
        <v>41149</v>
      </c>
      <c r="D181" s="1080" t="s">
        <v>580</v>
      </c>
      <c r="E181" s="1080" t="s">
        <v>298</v>
      </c>
      <c r="F181" s="1065" t="s">
        <v>837</v>
      </c>
      <c r="G181" s="1075" t="s">
        <v>622</v>
      </c>
      <c r="H181" s="1075" t="s">
        <v>623</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580</v>
      </c>
      <c r="E182" s="1080" t="s">
        <v>102</v>
      </c>
      <c r="F182" s="1065" t="s">
        <v>838</v>
      </c>
      <c r="G182" s="1075" t="s">
        <v>839</v>
      </c>
      <c r="H182" s="1075" t="s">
        <v>840</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8.5">
      <c r="B183" s="1067">
        <v>181</v>
      </c>
      <c r="C183" s="1068">
        <v>41149</v>
      </c>
      <c r="D183" s="1080" t="s">
        <v>580</v>
      </c>
      <c r="E183" s="1080" t="s">
        <v>102</v>
      </c>
      <c r="F183" s="1065" t="s">
        <v>582</v>
      </c>
      <c r="G183" s="1075" t="s">
        <v>734</v>
      </c>
      <c r="H183" s="1075" t="s">
        <v>709</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8.5">
      <c r="B184" s="1067">
        <v>182</v>
      </c>
      <c r="C184" s="1068">
        <v>41149</v>
      </c>
      <c r="D184" s="1080" t="s">
        <v>580</v>
      </c>
      <c r="E184" s="1080" t="s">
        <v>102</v>
      </c>
      <c r="F184" s="1065" t="s">
        <v>838</v>
      </c>
      <c r="G184" s="1075" t="s">
        <v>734</v>
      </c>
      <c r="H184" s="1075" t="s">
        <v>709</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8.5">
      <c r="B185" s="1067">
        <v>183</v>
      </c>
      <c r="C185" s="1068">
        <v>41149</v>
      </c>
      <c r="D185" s="1080" t="s">
        <v>580</v>
      </c>
      <c r="E185" s="1080" t="s">
        <v>102</v>
      </c>
      <c r="F185" s="1065" t="s">
        <v>842</v>
      </c>
      <c r="G185" s="1075" t="s">
        <v>799</v>
      </c>
      <c r="H185" s="1075" t="s">
        <v>800</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8.5">
      <c r="B186" s="1067">
        <v>184</v>
      </c>
      <c r="C186" s="1068">
        <v>41149</v>
      </c>
      <c r="D186" s="1080" t="s">
        <v>580</v>
      </c>
      <c r="E186" s="1080" t="s">
        <v>102</v>
      </c>
      <c r="F186" s="1065" t="s">
        <v>843</v>
      </c>
      <c r="G186" s="1075" t="s">
        <v>740</v>
      </c>
      <c r="H186" s="1075" t="s">
        <v>788</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8.5">
      <c r="B187" s="1067">
        <v>185</v>
      </c>
      <c r="C187" s="1068">
        <v>41149</v>
      </c>
      <c r="D187" s="1080" t="s">
        <v>580</v>
      </c>
      <c r="E187" s="1080" t="s">
        <v>102</v>
      </c>
      <c r="F187" s="1065" t="s">
        <v>844</v>
      </c>
      <c r="G187" s="1075" t="s">
        <v>740</v>
      </c>
      <c r="H187" s="1075" t="s">
        <v>788</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580</v>
      </c>
      <c r="E188" s="1080" t="s">
        <v>102</v>
      </c>
      <c r="F188" s="1065" t="s">
        <v>651</v>
      </c>
      <c r="G188" s="1075" t="s">
        <v>744</v>
      </c>
      <c r="H188" s="1075" t="s">
        <v>768</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580</v>
      </c>
      <c r="E189" s="1080" t="s">
        <v>102</v>
      </c>
      <c r="F189" s="1065" t="s">
        <v>845</v>
      </c>
      <c r="G189" s="1075" t="s">
        <v>744</v>
      </c>
      <c r="H189" s="1075" t="s">
        <v>768</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8.5">
      <c r="B190" s="1067">
        <v>188</v>
      </c>
      <c r="C190" s="1068">
        <v>41149</v>
      </c>
      <c r="D190" s="1080" t="s">
        <v>580</v>
      </c>
      <c r="E190" s="1080" t="s">
        <v>102</v>
      </c>
      <c r="F190" s="1065" t="s">
        <v>846</v>
      </c>
      <c r="G190" s="1075" t="s">
        <v>847</v>
      </c>
      <c r="H190" s="1075" t="s">
        <v>848</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8.5">
      <c r="B191" s="1067">
        <v>189</v>
      </c>
      <c r="C191" s="1068">
        <v>41149</v>
      </c>
      <c r="D191" s="1080" t="s">
        <v>580</v>
      </c>
      <c r="E191" s="1080" t="s">
        <v>102</v>
      </c>
      <c r="F191" s="1065" t="s">
        <v>849</v>
      </c>
      <c r="G191" s="1075" t="s">
        <v>847</v>
      </c>
      <c r="H191" s="1075" t="s">
        <v>851</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8.5">
      <c r="B192" s="1067">
        <v>190</v>
      </c>
      <c r="C192" s="1068">
        <v>41149</v>
      </c>
      <c r="D192" s="1080" t="s">
        <v>580</v>
      </c>
      <c r="E192" s="1080" t="s">
        <v>102</v>
      </c>
      <c r="F192" s="1065" t="s">
        <v>850</v>
      </c>
      <c r="G192" s="1075" t="s">
        <v>847</v>
      </c>
      <c r="H192" s="1075" t="s">
        <v>852</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580</v>
      </c>
      <c r="E193" s="1087" t="s">
        <v>102</v>
      </c>
      <c r="F193" s="1065" t="s">
        <v>853</v>
      </c>
      <c r="G193" s="1075" t="s">
        <v>854</v>
      </c>
      <c r="H193" s="1075" t="s">
        <v>855</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580</v>
      </c>
      <c r="E194" s="1087" t="s">
        <v>102</v>
      </c>
      <c r="F194" s="1065" t="s">
        <v>676</v>
      </c>
      <c r="G194" s="1075" t="s">
        <v>770</v>
      </c>
      <c r="H194" s="1075" t="s">
        <v>856</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8.5">
      <c r="B195" s="1067">
        <v>193</v>
      </c>
      <c r="C195" s="1068">
        <v>41150</v>
      </c>
      <c r="D195" s="1087" t="s">
        <v>580</v>
      </c>
      <c r="E195" s="1087" t="s">
        <v>102</v>
      </c>
      <c r="F195" s="1065" t="s">
        <v>713</v>
      </c>
      <c r="G195" s="1075" t="s">
        <v>858</v>
      </c>
      <c r="H195" s="1075" t="s">
        <v>859</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8.5">
      <c r="B196" s="1067">
        <v>194</v>
      </c>
      <c r="C196" s="1068">
        <v>41150</v>
      </c>
      <c r="D196" s="1087" t="s">
        <v>580</v>
      </c>
      <c r="E196" s="1087" t="s">
        <v>102</v>
      </c>
      <c r="F196" s="1065" t="s">
        <v>677</v>
      </c>
      <c r="G196" s="1075" t="s">
        <v>821</v>
      </c>
      <c r="H196" s="1075" t="s">
        <v>706</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8.5">
      <c r="B197" s="1067">
        <v>195</v>
      </c>
      <c r="C197" s="1068">
        <v>41150</v>
      </c>
      <c r="D197" s="1087" t="s">
        <v>580</v>
      </c>
      <c r="E197" s="1087" t="s">
        <v>102</v>
      </c>
      <c r="F197" s="1065" t="s">
        <v>678</v>
      </c>
      <c r="G197" s="1075" t="s">
        <v>821</v>
      </c>
      <c r="H197" s="1075" t="s">
        <v>706</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8.5">
      <c r="B198" s="1067">
        <v>196</v>
      </c>
      <c r="C198" s="1068">
        <v>41150</v>
      </c>
      <c r="D198" s="1087" t="s">
        <v>580</v>
      </c>
      <c r="E198" s="1087" t="s">
        <v>102</v>
      </c>
      <c r="F198" s="1065" t="s">
        <v>860</v>
      </c>
      <c r="G198" s="1075" t="s">
        <v>821</v>
      </c>
      <c r="H198" s="1075" t="s">
        <v>706</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8.5">
      <c r="B199" s="1067">
        <v>197</v>
      </c>
      <c r="C199" s="1068">
        <v>41150</v>
      </c>
      <c r="D199" s="1087" t="s">
        <v>580</v>
      </c>
      <c r="E199" s="1087" t="s">
        <v>102</v>
      </c>
      <c r="F199" s="1065" t="s">
        <v>815</v>
      </c>
      <c r="G199" s="1075" t="s">
        <v>821</v>
      </c>
      <c r="H199" s="1075" t="s">
        <v>706</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8.5">
      <c r="B200" s="1067">
        <v>198</v>
      </c>
      <c r="C200" s="1068">
        <v>41150</v>
      </c>
      <c r="D200" s="1087" t="s">
        <v>580</v>
      </c>
      <c r="E200" s="1087" t="s">
        <v>102</v>
      </c>
      <c r="F200" s="1065" t="s">
        <v>861</v>
      </c>
      <c r="G200" s="1075" t="s">
        <v>821</v>
      </c>
      <c r="H200" s="1075" t="s">
        <v>706</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8.5">
      <c r="B201" s="1067">
        <v>199</v>
      </c>
      <c r="C201" s="1068">
        <v>41150</v>
      </c>
      <c r="D201" s="1087" t="s">
        <v>580</v>
      </c>
      <c r="E201" s="1087" t="s">
        <v>102</v>
      </c>
      <c r="F201" s="1065" t="s">
        <v>862</v>
      </c>
      <c r="G201" s="1075" t="s">
        <v>820</v>
      </c>
      <c r="H201" s="1075" t="s">
        <v>691</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8.5">
      <c r="B202" s="1067">
        <v>200</v>
      </c>
      <c r="C202" s="1068">
        <v>41150</v>
      </c>
      <c r="D202" s="1087" t="s">
        <v>580</v>
      </c>
      <c r="E202" s="1087" t="s">
        <v>102</v>
      </c>
      <c r="F202" s="1065" t="s">
        <v>863</v>
      </c>
      <c r="G202" s="1075" t="s">
        <v>820</v>
      </c>
      <c r="H202" s="1075" t="s">
        <v>691</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8.5">
      <c r="B203" s="1067">
        <v>201</v>
      </c>
      <c r="C203" s="1068">
        <v>41150</v>
      </c>
      <c r="D203" s="1087" t="s">
        <v>580</v>
      </c>
      <c r="E203" s="1087" t="s">
        <v>368</v>
      </c>
      <c r="F203" s="1065" t="s">
        <v>722</v>
      </c>
      <c r="G203" s="1075" t="s">
        <v>820</v>
      </c>
      <c r="H203" s="1075" t="s">
        <v>691</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8.5">
      <c r="B204" s="1067">
        <v>202</v>
      </c>
      <c r="C204" s="1068">
        <v>41150</v>
      </c>
      <c r="D204" s="1087" t="s">
        <v>580</v>
      </c>
      <c r="E204" s="1087" t="s">
        <v>102</v>
      </c>
      <c r="F204" s="1065" t="s">
        <v>815</v>
      </c>
      <c r="G204" s="1075" t="s">
        <v>864</v>
      </c>
      <c r="H204" s="1075" t="s">
        <v>865</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2.75">
      <c r="B205" s="1067">
        <v>203</v>
      </c>
      <c r="C205" s="1068">
        <v>41150</v>
      </c>
      <c r="D205" s="1087" t="s">
        <v>580</v>
      </c>
      <c r="E205" s="1087" t="s">
        <v>102</v>
      </c>
      <c r="F205" s="1065" t="s">
        <v>866</v>
      </c>
      <c r="G205" s="1075" t="s">
        <v>622</v>
      </c>
      <c r="H205" s="1075" t="s">
        <v>623</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8.5">
      <c r="B206" s="1067">
        <v>204</v>
      </c>
      <c r="C206" s="1068">
        <v>41150</v>
      </c>
      <c r="D206" s="1087" t="s">
        <v>580</v>
      </c>
      <c r="E206" s="1087" t="s">
        <v>327</v>
      </c>
      <c r="F206" s="1065" t="s">
        <v>582</v>
      </c>
      <c r="G206" s="1075" t="s">
        <v>586</v>
      </c>
      <c r="H206" s="1075" t="s">
        <v>587</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8.5">
      <c r="B207" s="1067">
        <v>205</v>
      </c>
      <c r="C207" s="1068">
        <v>41150</v>
      </c>
      <c r="D207" s="1087" t="s">
        <v>580</v>
      </c>
      <c r="E207" s="1087" t="s">
        <v>327</v>
      </c>
      <c r="F207" s="1065" t="s">
        <v>585</v>
      </c>
      <c r="G207" s="1075" t="s">
        <v>586</v>
      </c>
      <c r="H207" s="1075" t="s">
        <v>587</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580</v>
      </c>
      <c r="E208" s="1087" t="s">
        <v>327</v>
      </c>
      <c r="F208" s="1065" t="s">
        <v>585</v>
      </c>
      <c r="G208" s="1075" t="s">
        <v>867</v>
      </c>
      <c r="H208" s="1075" t="s">
        <v>868</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8.5">
      <c r="B209" s="1067">
        <v>207</v>
      </c>
      <c r="C209" s="1068">
        <v>41150</v>
      </c>
      <c r="D209" s="1087" t="s">
        <v>580</v>
      </c>
      <c r="E209" s="1087" t="s">
        <v>327</v>
      </c>
      <c r="F209" s="1065" t="s">
        <v>650</v>
      </c>
      <c r="G209" s="1075" t="s">
        <v>869</v>
      </c>
      <c r="H209" s="1075" t="s">
        <v>870</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8.5">
      <c r="B210" s="1067">
        <v>208</v>
      </c>
      <c r="C210" s="1068">
        <v>41150</v>
      </c>
      <c r="D210" s="1087" t="s">
        <v>580</v>
      </c>
      <c r="E210" s="1087" t="s">
        <v>102</v>
      </c>
      <c r="F210" s="1065" t="s">
        <v>652</v>
      </c>
      <c r="G210" s="1075" t="s">
        <v>869</v>
      </c>
      <c r="H210" s="1075" t="s">
        <v>870</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8.5">
      <c r="B211" s="1067">
        <v>209</v>
      </c>
      <c r="C211" s="1068">
        <v>41150</v>
      </c>
      <c r="D211" s="1087" t="s">
        <v>580</v>
      </c>
      <c r="E211" s="1087" t="s">
        <v>327</v>
      </c>
      <c r="F211" s="1065" t="s">
        <v>650</v>
      </c>
      <c r="G211" s="1075" t="s">
        <v>871</v>
      </c>
      <c r="H211" s="1075" t="s">
        <v>872</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2.75">
      <c r="B212" s="1067">
        <v>210</v>
      </c>
      <c r="C212" s="1068">
        <v>41150</v>
      </c>
      <c r="D212" s="1087" t="s">
        <v>580</v>
      </c>
      <c r="E212" s="1087" t="s">
        <v>327</v>
      </c>
      <c r="F212" s="1065" t="s">
        <v>873</v>
      </c>
      <c r="G212" s="1075" t="s">
        <v>622</v>
      </c>
      <c r="H212" s="1075" t="s">
        <v>623</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8.5">
      <c r="B213" s="1067">
        <v>211</v>
      </c>
      <c r="C213" s="1068">
        <v>41150</v>
      </c>
      <c r="D213" s="1087" t="s">
        <v>580</v>
      </c>
      <c r="E213" s="1087" t="s">
        <v>326</v>
      </c>
      <c r="F213" s="1065" t="s">
        <v>582</v>
      </c>
      <c r="G213" s="1075" t="s">
        <v>586</v>
      </c>
      <c r="H213" s="1075" t="s">
        <v>587</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8.5">
      <c r="B214" s="1067">
        <v>212</v>
      </c>
      <c r="C214" s="1068">
        <v>41150</v>
      </c>
      <c r="D214" s="1087" t="s">
        <v>580</v>
      </c>
      <c r="E214" s="1087" t="s">
        <v>326</v>
      </c>
      <c r="F214" s="1065" t="s">
        <v>874</v>
      </c>
      <c r="G214" s="1075" t="s">
        <v>586</v>
      </c>
      <c r="H214" s="1075" t="s">
        <v>587</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580</v>
      </c>
      <c r="E215" s="1087" t="s">
        <v>326</v>
      </c>
      <c r="F215" s="1065" t="s">
        <v>874</v>
      </c>
      <c r="G215" s="1075" t="s">
        <v>867</v>
      </c>
      <c r="H215" s="1075" t="s">
        <v>875</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8.5">
      <c r="B216" s="1067">
        <v>214</v>
      </c>
      <c r="C216" s="1068">
        <v>41150</v>
      </c>
      <c r="D216" s="1087" t="s">
        <v>580</v>
      </c>
      <c r="E216" s="1087" t="s">
        <v>326</v>
      </c>
      <c r="F216" s="1065" t="s">
        <v>699</v>
      </c>
      <c r="G216" s="1075" t="s">
        <v>876</v>
      </c>
      <c r="H216" s="1075" t="s">
        <v>877</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8.5">
      <c r="B217" s="1067">
        <v>215</v>
      </c>
      <c r="C217" s="1068">
        <v>41150</v>
      </c>
      <c r="D217" s="1087" t="s">
        <v>580</v>
      </c>
      <c r="E217" s="1087" t="s">
        <v>326</v>
      </c>
      <c r="F217" s="1065" t="s">
        <v>878</v>
      </c>
      <c r="G217" s="1075" t="s">
        <v>740</v>
      </c>
      <c r="H217" s="1075" t="s">
        <v>788</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8.5">
      <c r="B218" s="1067">
        <v>216</v>
      </c>
      <c r="C218" s="1068">
        <v>41150</v>
      </c>
      <c r="D218" s="1087" t="s">
        <v>580</v>
      </c>
      <c r="E218" s="1087" t="s">
        <v>326</v>
      </c>
      <c r="F218" s="1065" t="s">
        <v>879</v>
      </c>
      <c r="G218" s="1075" t="s">
        <v>740</v>
      </c>
      <c r="H218" s="1075" t="s">
        <v>788</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8.5">
      <c r="B219" s="1067">
        <v>217</v>
      </c>
      <c r="C219" s="1068">
        <v>41150</v>
      </c>
      <c r="D219" s="1087" t="s">
        <v>580</v>
      </c>
      <c r="E219" s="1087" t="s">
        <v>327</v>
      </c>
      <c r="F219" s="1065" t="s">
        <v>880</v>
      </c>
      <c r="G219" s="1075" t="s">
        <v>740</v>
      </c>
      <c r="H219" s="1075" t="s">
        <v>788</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8.5">
      <c r="B220" s="1067">
        <v>218</v>
      </c>
      <c r="C220" s="1068">
        <v>41150</v>
      </c>
      <c r="D220" s="1087" t="s">
        <v>580</v>
      </c>
      <c r="E220" s="1087" t="s">
        <v>327</v>
      </c>
      <c r="F220" s="1065" t="s">
        <v>881</v>
      </c>
      <c r="G220" s="1075" t="s">
        <v>740</v>
      </c>
      <c r="H220" s="1075" t="s">
        <v>788</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2.75">
      <c r="B221" s="1067">
        <v>219</v>
      </c>
      <c r="C221" s="1068">
        <v>41150</v>
      </c>
      <c r="D221" s="1087" t="s">
        <v>580</v>
      </c>
      <c r="E221" s="1087" t="s">
        <v>326</v>
      </c>
      <c r="F221" s="1065" t="s">
        <v>882</v>
      </c>
      <c r="G221" s="1075" t="s">
        <v>622</v>
      </c>
      <c r="H221" s="1075" t="s">
        <v>623</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8.5">
      <c r="B222" s="1067">
        <v>220</v>
      </c>
      <c r="C222" s="1068">
        <v>41150</v>
      </c>
      <c r="D222" s="1087" t="s">
        <v>580</v>
      </c>
      <c r="E222" s="1087" t="s">
        <v>326</v>
      </c>
      <c r="F222" s="1065" t="s">
        <v>647</v>
      </c>
      <c r="G222" s="1075" t="s">
        <v>869</v>
      </c>
      <c r="H222" s="1075" t="s">
        <v>870</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8.5">
      <c r="B223" s="1067">
        <v>221</v>
      </c>
      <c r="C223" s="1068">
        <v>41150</v>
      </c>
      <c r="D223" s="1087" t="s">
        <v>580</v>
      </c>
      <c r="E223" s="1087" t="s">
        <v>327</v>
      </c>
      <c r="F223" s="1065" t="s">
        <v>650</v>
      </c>
      <c r="G223" s="1075" t="s">
        <v>883</v>
      </c>
      <c r="H223" s="1075" t="s">
        <v>884</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ht="28.5">
      <c r="B224" s="1067">
        <v>222</v>
      </c>
      <c r="C224" s="1068">
        <v>41150</v>
      </c>
      <c r="D224" s="1087" t="s">
        <v>580</v>
      </c>
      <c r="E224" s="1087" t="s">
        <v>326</v>
      </c>
      <c r="F224" s="1065" t="s">
        <v>647</v>
      </c>
      <c r="G224" s="1075" t="s">
        <v>883</v>
      </c>
      <c r="H224" s="1075" t="s">
        <v>885</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8.5">
      <c r="B225" s="1067">
        <v>223</v>
      </c>
      <c r="C225" s="1068">
        <v>41150</v>
      </c>
      <c r="D225" s="1087" t="s">
        <v>580</v>
      </c>
      <c r="E225" s="1087" t="s">
        <v>369</v>
      </c>
      <c r="F225" s="1065" t="s">
        <v>886</v>
      </c>
      <c r="G225" s="1075" t="s">
        <v>740</v>
      </c>
      <c r="H225" s="1075" t="s">
        <v>788</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8.5">
      <c r="B226" s="1067">
        <v>224</v>
      </c>
      <c r="C226" s="1068">
        <v>41150</v>
      </c>
      <c r="D226" s="1087" t="s">
        <v>580</v>
      </c>
      <c r="E226" s="1087" t="s">
        <v>369</v>
      </c>
      <c r="F226" s="1065" t="s">
        <v>887</v>
      </c>
      <c r="G226" s="1075" t="s">
        <v>740</v>
      </c>
      <c r="H226" s="1075" t="s">
        <v>788</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8.5">
      <c r="B227" s="1067">
        <v>225</v>
      </c>
      <c r="C227" s="1068">
        <v>41150</v>
      </c>
      <c r="D227" s="1087" t="s">
        <v>580</v>
      </c>
      <c r="E227" s="1087" t="s">
        <v>369</v>
      </c>
      <c r="F227" s="1065" t="s">
        <v>888</v>
      </c>
      <c r="G227" s="1075" t="s">
        <v>889</v>
      </c>
      <c r="H227" s="1075" t="s">
        <v>865</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8.5">
      <c r="B228" s="1067">
        <v>226</v>
      </c>
      <c r="C228" s="1068">
        <v>41150</v>
      </c>
      <c r="D228" s="1087" t="s">
        <v>580</v>
      </c>
      <c r="E228" s="1087" t="s">
        <v>369</v>
      </c>
      <c r="F228" s="1065" t="s">
        <v>767</v>
      </c>
      <c r="G228" s="1075" t="s">
        <v>869</v>
      </c>
      <c r="H228" s="1075" t="s">
        <v>870</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580</v>
      </c>
      <c r="E229" s="1087" t="s">
        <v>369</v>
      </c>
      <c r="F229" s="1065" t="s">
        <v>767</v>
      </c>
      <c r="G229" s="1075" t="s">
        <v>891</v>
      </c>
      <c r="H229" s="1075" t="s">
        <v>885</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2.75">
      <c r="B230" s="1067">
        <v>228</v>
      </c>
      <c r="C230" s="1068">
        <v>41150</v>
      </c>
      <c r="D230" s="1087" t="s">
        <v>580</v>
      </c>
      <c r="E230" s="1087" t="s">
        <v>369</v>
      </c>
      <c r="F230" s="1065" t="s">
        <v>882</v>
      </c>
      <c r="G230" s="1075" t="s">
        <v>622</v>
      </c>
      <c r="H230" s="1075" t="s">
        <v>623</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8.5">
      <c r="B231" s="1067">
        <v>229</v>
      </c>
      <c r="C231" s="1068">
        <v>41150</v>
      </c>
      <c r="D231" s="1087" t="s">
        <v>580</v>
      </c>
      <c r="E231" s="1087" t="s">
        <v>369</v>
      </c>
      <c r="F231" s="1065" t="s">
        <v>582</v>
      </c>
      <c r="G231" s="1075" t="s">
        <v>586</v>
      </c>
      <c r="H231" s="1075" t="s">
        <v>587</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8.5">
      <c r="B232" s="1067">
        <v>230</v>
      </c>
      <c r="C232" s="1068">
        <v>41150</v>
      </c>
      <c r="D232" s="1087" t="s">
        <v>580</v>
      </c>
      <c r="E232" s="1087" t="s">
        <v>369</v>
      </c>
      <c r="F232" s="1065" t="s">
        <v>874</v>
      </c>
      <c r="G232" s="1075" t="s">
        <v>586</v>
      </c>
      <c r="H232" s="1075" t="s">
        <v>587</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580</v>
      </c>
      <c r="E233" s="1087" t="s">
        <v>327</v>
      </c>
      <c r="F233" s="1065" t="s">
        <v>792</v>
      </c>
      <c r="G233" s="1075" t="s">
        <v>892</v>
      </c>
      <c r="H233" s="1075" t="s">
        <v>893</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580</v>
      </c>
      <c r="E234" s="1087" t="s">
        <v>327</v>
      </c>
      <c r="F234" s="1065" t="s">
        <v>793</v>
      </c>
      <c r="G234" s="1075" t="s">
        <v>892</v>
      </c>
      <c r="H234" s="1075" t="s">
        <v>893</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580</v>
      </c>
      <c r="E235" s="1087" t="s">
        <v>326</v>
      </c>
      <c r="F235" s="1065" t="s">
        <v>792</v>
      </c>
      <c r="G235" s="1075" t="s">
        <v>892</v>
      </c>
      <c r="H235" s="1075" t="s">
        <v>893</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580</v>
      </c>
      <c r="E236" s="1087" t="s">
        <v>326</v>
      </c>
      <c r="F236" s="1065" t="s">
        <v>793</v>
      </c>
      <c r="G236" s="1075" t="s">
        <v>892</v>
      </c>
      <c r="H236" s="1075" t="s">
        <v>893</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580</v>
      </c>
      <c r="E237" s="1087" t="s">
        <v>369</v>
      </c>
      <c r="F237" s="1065" t="s">
        <v>792</v>
      </c>
      <c r="G237" s="1075" t="s">
        <v>892</v>
      </c>
      <c r="H237" s="1075" t="s">
        <v>893</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580</v>
      </c>
      <c r="E238" s="1087" t="s">
        <v>369</v>
      </c>
      <c r="F238" s="1065" t="s">
        <v>793</v>
      </c>
      <c r="G238" s="1075" t="s">
        <v>892</v>
      </c>
      <c r="H238" s="1075" t="s">
        <v>893</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580</v>
      </c>
      <c r="E239" s="1087" t="s">
        <v>329</v>
      </c>
      <c r="F239" s="1065" t="s">
        <v>792</v>
      </c>
      <c r="G239" s="1075" t="s">
        <v>892</v>
      </c>
      <c r="H239" s="1075" t="s">
        <v>893</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580</v>
      </c>
      <c r="E240" s="1087" t="s">
        <v>329</v>
      </c>
      <c r="F240" s="1065" t="s">
        <v>793</v>
      </c>
      <c r="G240" s="1075" t="s">
        <v>892</v>
      </c>
      <c r="H240" s="1075" t="s">
        <v>893</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ht="28.5">
      <c r="B241" s="1067">
        <v>239</v>
      </c>
      <c r="C241" s="1068">
        <v>41150</v>
      </c>
      <c r="D241" s="1087" t="s">
        <v>580</v>
      </c>
      <c r="E241" s="1087" t="s">
        <v>329</v>
      </c>
      <c r="F241" s="1065" t="s">
        <v>894</v>
      </c>
      <c r="G241" s="1075" t="s">
        <v>895</v>
      </c>
      <c r="H241" s="1075" t="s">
        <v>896</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8.5">
      <c r="B242" s="1067">
        <v>240</v>
      </c>
      <c r="C242" s="1068">
        <v>41150</v>
      </c>
      <c r="D242" s="1087" t="s">
        <v>580</v>
      </c>
      <c r="E242" s="1087" t="s">
        <v>329</v>
      </c>
      <c r="F242" s="1065" t="s">
        <v>582</v>
      </c>
      <c r="G242" s="1075" t="s">
        <v>586</v>
      </c>
      <c r="H242" s="1075" t="s">
        <v>587</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8.5">
      <c r="B243" s="1067">
        <v>241</v>
      </c>
      <c r="C243" s="1068">
        <v>41150</v>
      </c>
      <c r="D243" s="1087" t="s">
        <v>580</v>
      </c>
      <c r="E243" s="1087" t="s">
        <v>329</v>
      </c>
      <c r="F243" s="1065" t="s">
        <v>894</v>
      </c>
      <c r="G243" s="1075" t="s">
        <v>586</v>
      </c>
      <c r="H243" s="1075" t="s">
        <v>587</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8.5">
      <c r="B244" s="1067">
        <v>242</v>
      </c>
      <c r="C244" s="1068">
        <v>41150</v>
      </c>
      <c r="D244" s="1087" t="s">
        <v>580</v>
      </c>
      <c r="E244" s="1087" t="s">
        <v>329</v>
      </c>
      <c r="F244" s="1065" t="s">
        <v>886</v>
      </c>
      <c r="G244" s="1075" t="s">
        <v>740</v>
      </c>
      <c r="H244" s="1075" t="s">
        <v>788</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8.5">
      <c r="B245" s="1067">
        <v>243</v>
      </c>
      <c r="C245" s="1068">
        <v>41150</v>
      </c>
      <c r="D245" s="1087" t="s">
        <v>580</v>
      </c>
      <c r="E245" s="1087" t="s">
        <v>329</v>
      </c>
      <c r="F245" s="1065" t="s">
        <v>887</v>
      </c>
      <c r="G245" s="1075" t="s">
        <v>740</v>
      </c>
      <c r="H245" s="1075" t="s">
        <v>788</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8.5">
      <c r="B246" s="1067">
        <v>244</v>
      </c>
      <c r="C246" s="1068">
        <v>41150</v>
      </c>
      <c r="D246" s="1087" t="s">
        <v>580</v>
      </c>
      <c r="E246" s="1087" t="s">
        <v>329</v>
      </c>
      <c r="F246" s="1065" t="s">
        <v>890</v>
      </c>
      <c r="G246" s="1075" t="s">
        <v>869</v>
      </c>
      <c r="H246" s="1075" t="s">
        <v>870</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580</v>
      </c>
      <c r="E247" s="1087" t="s">
        <v>329</v>
      </c>
      <c r="F247" s="1065" t="s">
        <v>767</v>
      </c>
      <c r="G247" s="1075" t="s">
        <v>891</v>
      </c>
      <c r="H247" s="1075" t="s">
        <v>897</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8.5">
      <c r="B248" s="1067">
        <v>246</v>
      </c>
      <c r="C248" s="1068">
        <v>41150</v>
      </c>
      <c r="D248" s="1087" t="s">
        <v>580</v>
      </c>
      <c r="E248" s="1087" t="s">
        <v>329</v>
      </c>
      <c r="F248" s="1065" t="s">
        <v>900</v>
      </c>
      <c r="G248" s="1075" t="s">
        <v>898</v>
      </c>
      <c r="H248" s="1075" t="s">
        <v>899</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580</v>
      </c>
      <c r="E249" s="1087" t="s">
        <v>437</v>
      </c>
      <c r="F249" s="1065" t="s">
        <v>901</v>
      </c>
      <c r="G249" s="1075" t="s">
        <v>867</v>
      </c>
      <c r="H249" s="1075" t="s">
        <v>902</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580</v>
      </c>
      <c r="E250" s="1087" t="s">
        <v>437</v>
      </c>
      <c r="F250" s="1065" t="s">
        <v>903</v>
      </c>
      <c r="G250" s="1075" t="s">
        <v>770</v>
      </c>
      <c r="H250" s="1075" t="s">
        <v>904</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580</v>
      </c>
      <c r="E251" s="1087" t="s">
        <v>437</v>
      </c>
      <c r="F251" s="1065" t="s">
        <v>903</v>
      </c>
      <c r="G251" s="1075" t="s">
        <v>867</v>
      </c>
      <c r="H251" s="1075" t="s">
        <v>905</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580</v>
      </c>
      <c r="E252" s="1087" t="s">
        <v>437</v>
      </c>
      <c r="F252" s="1065" t="s">
        <v>906</v>
      </c>
      <c r="G252" s="1075" t="s">
        <v>867</v>
      </c>
      <c r="H252" s="1075" t="s">
        <v>907</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580</v>
      </c>
      <c r="E253" s="1087" t="s">
        <v>437</v>
      </c>
      <c r="F253" s="1065" t="s">
        <v>908</v>
      </c>
      <c r="G253" s="1075" t="s">
        <v>867</v>
      </c>
      <c r="H253" s="1075" t="s">
        <v>912</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580</v>
      </c>
      <c r="E254" s="1087" t="s">
        <v>437</v>
      </c>
      <c r="F254" s="1065" t="s">
        <v>909</v>
      </c>
      <c r="G254" s="1075" t="s">
        <v>867</v>
      </c>
      <c r="H254" s="1075" t="s">
        <v>913</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580</v>
      </c>
      <c r="E255" s="1087" t="s">
        <v>437</v>
      </c>
      <c r="F255" s="1065" t="s">
        <v>910</v>
      </c>
      <c r="G255" s="1075" t="s">
        <v>867</v>
      </c>
      <c r="H255" s="1075" t="s">
        <v>868</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580</v>
      </c>
      <c r="E256" s="1087" t="s">
        <v>437</v>
      </c>
      <c r="F256" s="1065" t="s">
        <v>911</v>
      </c>
      <c r="G256" s="1075" t="s">
        <v>867</v>
      </c>
      <c r="H256" s="1075" t="s">
        <v>875</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580</v>
      </c>
      <c r="E257" s="1087" t="s">
        <v>437</v>
      </c>
      <c r="F257" s="1065" t="s">
        <v>914</v>
      </c>
      <c r="G257" s="1075" t="s">
        <v>867</v>
      </c>
      <c r="H257" s="1075" t="s">
        <v>916</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580</v>
      </c>
      <c r="E258" s="1087" t="s">
        <v>437</v>
      </c>
      <c r="F258" s="1065" t="s">
        <v>915</v>
      </c>
      <c r="G258" s="1075" t="s">
        <v>867</v>
      </c>
      <c r="H258" s="1075" t="s">
        <v>917</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580</v>
      </c>
      <c r="E259" s="1087" t="s">
        <v>437</v>
      </c>
      <c r="F259" s="1065" t="s">
        <v>906</v>
      </c>
      <c r="G259" s="1075" t="s">
        <v>770</v>
      </c>
      <c r="H259" s="1075" t="s">
        <v>904</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580</v>
      </c>
      <c r="E260" s="1087" t="s">
        <v>437</v>
      </c>
      <c r="F260" s="1065" t="s">
        <v>910</v>
      </c>
      <c r="G260" s="1075" t="s">
        <v>770</v>
      </c>
      <c r="H260" s="1075" t="s">
        <v>904</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580</v>
      </c>
      <c r="E261" s="1087" t="s">
        <v>437</v>
      </c>
      <c r="F261" s="1065" t="s">
        <v>908</v>
      </c>
      <c r="G261" s="1075" t="s">
        <v>770</v>
      </c>
      <c r="H261" s="1075" t="s">
        <v>904</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580</v>
      </c>
      <c r="E262" s="1087" t="s">
        <v>349</v>
      </c>
      <c r="F262" s="1065" t="s">
        <v>645</v>
      </c>
      <c r="G262" s="1075" t="s">
        <v>891</v>
      </c>
      <c r="H262" s="1075" t="s">
        <v>897</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580</v>
      </c>
      <c r="E263" s="1087" t="s">
        <v>349</v>
      </c>
      <c r="F263" s="1065" t="s">
        <v>761</v>
      </c>
      <c r="G263" s="1075" t="s">
        <v>891</v>
      </c>
      <c r="H263" s="1075" t="s">
        <v>897</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7">
      <c r="B264" s="1067">
        <v>262</v>
      </c>
      <c r="C264" s="1068">
        <v>41150</v>
      </c>
      <c r="D264" s="1087" t="s">
        <v>580</v>
      </c>
      <c r="E264" s="1087" t="s">
        <v>349</v>
      </c>
      <c r="F264" s="1065" t="s">
        <v>918</v>
      </c>
      <c r="G264" s="1075" t="s">
        <v>869</v>
      </c>
      <c r="H264" s="1075" t="s">
        <v>919</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2.75">
      <c r="B265" s="1067">
        <v>263</v>
      </c>
      <c r="C265" s="1068">
        <v>41150</v>
      </c>
      <c r="D265" s="1087" t="s">
        <v>580</v>
      </c>
      <c r="E265" s="1087" t="s">
        <v>100</v>
      </c>
      <c r="F265" s="1065" t="s">
        <v>920</v>
      </c>
      <c r="G265" s="1075" t="s">
        <v>869</v>
      </c>
      <c r="H265" s="1075" t="s">
        <v>922</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580</v>
      </c>
      <c r="E266" s="1087" t="s">
        <v>100</v>
      </c>
      <c r="F266" s="1065" t="s">
        <v>921</v>
      </c>
      <c r="G266" s="1075" t="s">
        <v>891</v>
      </c>
      <c r="H266" s="1075" t="s">
        <v>897</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2.75">
      <c r="B267" s="1067">
        <v>265</v>
      </c>
      <c r="C267" s="1068">
        <v>41150</v>
      </c>
      <c r="D267" s="1087" t="s">
        <v>580</v>
      </c>
      <c r="E267" s="1087" t="s">
        <v>101</v>
      </c>
      <c r="F267" s="1065" t="s">
        <v>923</v>
      </c>
      <c r="G267" s="1075" t="s">
        <v>869</v>
      </c>
      <c r="H267" s="1075" t="s">
        <v>922</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580</v>
      </c>
      <c r="E268" s="1087" t="s">
        <v>101</v>
      </c>
      <c r="F268" s="1065" t="s">
        <v>923</v>
      </c>
      <c r="G268" s="1075" t="s">
        <v>891</v>
      </c>
      <c r="H268" s="1075" t="s">
        <v>768</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580</v>
      </c>
      <c r="E269" s="1087" t="s">
        <v>298</v>
      </c>
      <c r="F269" s="1065" t="s">
        <v>834</v>
      </c>
      <c r="G269" s="1075" t="s">
        <v>891</v>
      </c>
      <c r="H269" s="1075" t="s">
        <v>768</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8.5">
      <c r="B270" s="1067">
        <v>268</v>
      </c>
      <c r="C270" s="1068">
        <v>41150</v>
      </c>
      <c r="D270" s="1087" t="s">
        <v>580</v>
      </c>
      <c r="E270" s="1087" t="s">
        <v>298</v>
      </c>
      <c r="F270" s="1065" t="s">
        <v>759</v>
      </c>
      <c r="G270" s="1075" t="s">
        <v>930</v>
      </c>
      <c r="H270" s="1075" t="s">
        <v>600</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8.5">
      <c r="B271" s="1067">
        <v>269</v>
      </c>
      <c r="C271" s="1068">
        <v>41150</v>
      </c>
      <c r="D271" s="1087" t="s">
        <v>580</v>
      </c>
      <c r="E271" s="1087" t="s">
        <v>298</v>
      </c>
      <c r="F271" s="1065" t="s">
        <v>844</v>
      </c>
      <c r="G271" s="1075" t="s">
        <v>930</v>
      </c>
      <c r="H271" s="1075" t="s">
        <v>600</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8.5">
      <c r="B272" s="1067">
        <v>270</v>
      </c>
      <c r="C272" s="1068">
        <v>41150</v>
      </c>
      <c r="D272" s="1087" t="s">
        <v>580</v>
      </c>
      <c r="E272" s="1087" t="s">
        <v>298</v>
      </c>
      <c r="F272" s="1065" t="s">
        <v>760</v>
      </c>
      <c r="G272" s="1075" t="s">
        <v>930</v>
      </c>
      <c r="H272" s="1075" t="s">
        <v>600</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8.5">
      <c r="B273" s="1067">
        <v>271</v>
      </c>
      <c r="C273" s="1068">
        <v>41150</v>
      </c>
      <c r="D273" s="1087" t="s">
        <v>580</v>
      </c>
      <c r="E273" s="1087" t="s">
        <v>298</v>
      </c>
      <c r="F273" s="1065" t="s">
        <v>924</v>
      </c>
      <c r="G273" s="1075" t="s">
        <v>930</v>
      </c>
      <c r="H273" s="1075" t="s">
        <v>600</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8.5">
      <c r="B274" s="1067">
        <v>272</v>
      </c>
      <c r="C274" s="1068">
        <v>41150</v>
      </c>
      <c r="D274" s="1087" t="s">
        <v>580</v>
      </c>
      <c r="E274" s="1087" t="s">
        <v>298</v>
      </c>
      <c r="F274" s="1065" t="s">
        <v>925</v>
      </c>
      <c r="G274" s="1075" t="s">
        <v>930</v>
      </c>
      <c r="H274" s="1075" t="s">
        <v>600</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8.5">
      <c r="B275" s="1067">
        <v>273</v>
      </c>
      <c r="C275" s="1068">
        <v>41150</v>
      </c>
      <c r="D275" s="1087" t="s">
        <v>580</v>
      </c>
      <c r="E275" s="1087" t="s">
        <v>298</v>
      </c>
      <c r="F275" s="1065" t="s">
        <v>926</v>
      </c>
      <c r="G275" s="1075" t="s">
        <v>930</v>
      </c>
      <c r="H275" s="1075" t="s">
        <v>600</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8.5">
      <c r="B276" s="1067">
        <v>274</v>
      </c>
      <c r="C276" s="1068">
        <v>41150</v>
      </c>
      <c r="D276" s="1087" t="s">
        <v>580</v>
      </c>
      <c r="E276" s="1087" t="s">
        <v>298</v>
      </c>
      <c r="F276" s="1065" t="s">
        <v>927</v>
      </c>
      <c r="G276" s="1075" t="s">
        <v>930</v>
      </c>
      <c r="H276" s="1075" t="s">
        <v>600</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8.5">
      <c r="B277" s="1067">
        <v>275</v>
      </c>
      <c r="C277" s="1068">
        <v>41150</v>
      </c>
      <c r="D277" s="1087" t="s">
        <v>580</v>
      </c>
      <c r="E277" s="1087" t="s">
        <v>298</v>
      </c>
      <c r="F277" s="1065" t="s">
        <v>928</v>
      </c>
      <c r="G277" s="1075" t="s">
        <v>930</v>
      </c>
      <c r="H277" s="1075" t="s">
        <v>600</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8.5">
      <c r="B278" s="1067">
        <v>276</v>
      </c>
      <c r="C278" s="1068">
        <v>41150</v>
      </c>
      <c r="D278" s="1087" t="s">
        <v>580</v>
      </c>
      <c r="E278" s="1087" t="s">
        <v>298</v>
      </c>
      <c r="F278" s="1065" t="s">
        <v>929</v>
      </c>
      <c r="G278" s="1075" t="s">
        <v>930</v>
      </c>
      <c r="H278" s="1075" t="s">
        <v>600</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580</v>
      </c>
      <c r="E279" s="1087" t="s">
        <v>102</v>
      </c>
      <c r="F279" s="1065" t="s">
        <v>931</v>
      </c>
      <c r="G279" s="1075" t="s">
        <v>891</v>
      </c>
      <c r="H279" s="1075" t="s">
        <v>768</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580</v>
      </c>
      <c r="E280" s="1087" t="s">
        <v>100</v>
      </c>
      <c r="F280" s="1065" t="s">
        <v>932</v>
      </c>
      <c r="G280" s="1075" t="s">
        <v>891</v>
      </c>
      <c r="H280" s="1075" t="s">
        <v>933</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580</v>
      </c>
      <c r="E281" s="1087" t="s">
        <v>368</v>
      </c>
      <c r="F281" s="1065" t="s">
        <v>934</v>
      </c>
      <c r="G281" s="1075" t="s">
        <v>935</v>
      </c>
      <c r="H281" s="1075" t="s">
        <v>936</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580</v>
      </c>
      <c r="E282" s="1087" t="s">
        <v>349</v>
      </c>
      <c r="F282" s="1065" t="s">
        <v>937</v>
      </c>
      <c r="G282" s="1075" t="s">
        <v>891</v>
      </c>
      <c r="H282" s="1075" t="s">
        <v>933</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580</v>
      </c>
      <c r="E283" s="1087" t="s">
        <v>101</v>
      </c>
      <c r="F283" s="1065" t="s">
        <v>938</v>
      </c>
      <c r="G283" s="1075" t="s">
        <v>939</v>
      </c>
      <c r="H283" s="1075" t="s">
        <v>940</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8.5">
      <c r="B284" s="1067">
        <v>282</v>
      </c>
      <c r="C284" s="1068">
        <v>41150</v>
      </c>
      <c r="D284" s="1087" t="s">
        <v>580</v>
      </c>
      <c r="E284" s="1087" t="s">
        <v>298</v>
      </c>
      <c r="F284" s="1065" t="s">
        <v>941</v>
      </c>
      <c r="G284" s="1075" t="s">
        <v>939</v>
      </c>
      <c r="H284" s="1075" t="s">
        <v>942</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580</v>
      </c>
      <c r="E285" s="1087" t="s">
        <v>298</v>
      </c>
      <c r="F285" s="1065" t="s">
        <v>934</v>
      </c>
      <c r="G285" s="1075" t="s">
        <v>943</v>
      </c>
      <c r="H285" s="1075" t="s">
        <v>944</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8.5">
      <c r="B286" s="1067">
        <v>284</v>
      </c>
      <c r="C286" s="1068">
        <v>41150</v>
      </c>
      <c r="D286" s="1087" t="s">
        <v>580</v>
      </c>
      <c r="E286" s="1087" t="s">
        <v>102</v>
      </c>
      <c r="F286" s="1065" t="s">
        <v>792</v>
      </c>
      <c r="G286" s="1075" t="s">
        <v>945</v>
      </c>
      <c r="H286" s="1075" t="s">
        <v>809</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8.5">
      <c r="B287" s="1067">
        <v>285</v>
      </c>
      <c r="C287" s="1068">
        <v>41150</v>
      </c>
      <c r="D287" s="1087" t="s">
        <v>580</v>
      </c>
      <c r="E287" s="1087" t="s">
        <v>102</v>
      </c>
      <c r="F287" s="1065" t="s">
        <v>946</v>
      </c>
      <c r="G287" s="1075" t="s">
        <v>939</v>
      </c>
      <c r="H287" s="1075" t="s">
        <v>942</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580</v>
      </c>
      <c r="E288" s="1087" t="s">
        <v>102</v>
      </c>
      <c r="F288" s="1065" t="s">
        <v>693</v>
      </c>
      <c r="G288" s="1075" t="s">
        <v>943</v>
      </c>
      <c r="H288" s="1075" t="s">
        <v>944</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580</v>
      </c>
      <c r="E289" s="1087" t="s">
        <v>102</v>
      </c>
      <c r="F289" s="1065" t="s">
        <v>693</v>
      </c>
      <c r="G289" s="1075" t="s">
        <v>947</v>
      </c>
      <c r="H289" s="1075" t="s">
        <v>948</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8.5">
      <c r="B290" s="1067">
        <v>288</v>
      </c>
      <c r="C290" s="1068">
        <v>41150</v>
      </c>
      <c r="D290" s="1087" t="s">
        <v>580</v>
      </c>
      <c r="E290" s="1087" t="s">
        <v>327</v>
      </c>
      <c r="F290" s="1065" t="s">
        <v>949</v>
      </c>
      <c r="G290" s="1075" t="s">
        <v>939</v>
      </c>
      <c r="H290" s="1075" t="s">
        <v>950</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580</v>
      </c>
      <c r="E291" s="1087" t="s">
        <v>327</v>
      </c>
      <c r="F291" s="1065" t="s">
        <v>951</v>
      </c>
      <c r="G291" s="1075" t="s">
        <v>891</v>
      </c>
      <c r="H291" s="1075" t="s">
        <v>952</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580</v>
      </c>
      <c r="E292" s="1087" t="s">
        <v>102</v>
      </c>
      <c r="F292" s="1065" t="s">
        <v>946</v>
      </c>
      <c r="G292" s="1075" t="s">
        <v>891</v>
      </c>
      <c r="H292" s="1075" t="s">
        <v>952</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580</v>
      </c>
      <c r="E293" s="1087" t="s">
        <v>298</v>
      </c>
      <c r="F293" s="1065" t="s">
        <v>941</v>
      </c>
      <c r="G293" s="1075" t="s">
        <v>891</v>
      </c>
      <c r="H293" s="1075" t="s">
        <v>952</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580</v>
      </c>
      <c r="E294" s="1087" t="s">
        <v>101</v>
      </c>
      <c r="F294" s="1065" t="s">
        <v>937</v>
      </c>
      <c r="G294" s="1075" t="s">
        <v>891</v>
      </c>
      <c r="H294" s="1075" t="s">
        <v>952</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580</v>
      </c>
      <c r="E295" s="1087" t="s">
        <v>327</v>
      </c>
      <c r="F295" s="1065" t="s">
        <v>693</v>
      </c>
      <c r="G295" s="1075" t="s">
        <v>943</v>
      </c>
      <c r="H295" s="1075" t="s">
        <v>944</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580</v>
      </c>
      <c r="E296" s="1087" t="s">
        <v>326</v>
      </c>
      <c r="F296" s="1065" t="s">
        <v>953</v>
      </c>
      <c r="G296" s="1075" t="s">
        <v>891</v>
      </c>
      <c r="H296" s="1075" t="s">
        <v>952</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580</v>
      </c>
      <c r="E297" s="1087" t="s">
        <v>326</v>
      </c>
      <c r="F297" s="1065" t="s">
        <v>693</v>
      </c>
      <c r="G297" s="1075" t="s">
        <v>943</v>
      </c>
      <c r="H297" s="1075" t="s">
        <v>944</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580</v>
      </c>
      <c r="E298" s="1087" t="s">
        <v>326</v>
      </c>
      <c r="F298" s="1065" t="s">
        <v>693</v>
      </c>
      <c r="G298" s="1075" t="s">
        <v>954</v>
      </c>
      <c r="H298" s="1075" t="s">
        <v>955</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580</v>
      </c>
      <c r="E299" s="1087" t="s">
        <v>369</v>
      </c>
      <c r="F299" s="1065" t="s">
        <v>953</v>
      </c>
      <c r="G299" s="1075" t="s">
        <v>891</v>
      </c>
      <c r="H299" s="1075" t="s">
        <v>952</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580</v>
      </c>
      <c r="E300" s="1087" t="s">
        <v>369</v>
      </c>
      <c r="F300" s="1065" t="s">
        <v>693</v>
      </c>
      <c r="G300" s="1075" t="s">
        <v>943</v>
      </c>
      <c r="H300" s="1075" t="s">
        <v>944</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580</v>
      </c>
      <c r="E301" s="1087" t="s">
        <v>369</v>
      </c>
      <c r="F301" s="1065" t="s">
        <v>693</v>
      </c>
      <c r="G301" s="1075" t="s">
        <v>891</v>
      </c>
      <c r="H301" s="1075" t="s">
        <v>952</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580</v>
      </c>
      <c r="E302" s="1087" t="s">
        <v>329</v>
      </c>
      <c r="F302" s="1065" t="s">
        <v>953</v>
      </c>
      <c r="G302" s="1075" t="s">
        <v>891</v>
      </c>
      <c r="H302" s="1075" t="s">
        <v>952</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580</v>
      </c>
      <c r="E303" s="1087" t="s">
        <v>329</v>
      </c>
      <c r="F303" s="1065" t="s">
        <v>693</v>
      </c>
      <c r="G303" s="1075" t="s">
        <v>943</v>
      </c>
      <c r="H303" s="1075" t="s">
        <v>944</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580</v>
      </c>
      <c r="E304" s="1087" t="s">
        <v>329</v>
      </c>
      <c r="F304" s="1065" t="s">
        <v>693</v>
      </c>
      <c r="G304" s="1075" t="s">
        <v>891</v>
      </c>
      <c r="H304" s="1075" t="s">
        <v>952</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580</v>
      </c>
      <c r="E305" s="1087" t="s">
        <v>437</v>
      </c>
      <c r="F305" s="1065" t="s">
        <v>692</v>
      </c>
      <c r="G305" s="1075" t="s">
        <v>770</v>
      </c>
      <c r="H305" s="1075" t="s">
        <v>865</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8.5">
      <c r="B306" s="1067">
        <v>304</v>
      </c>
      <c r="C306" s="1068">
        <v>41150</v>
      </c>
      <c r="D306" s="1087" t="s">
        <v>580</v>
      </c>
      <c r="E306" s="1087" t="s">
        <v>581</v>
      </c>
      <c r="F306" s="1065" t="s">
        <v>767</v>
      </c>
      <c r="G306" s="1075" t="s">
        <v>740</v>
      </c>
      <c r="H306" s="1075" t="s">
        <v>788</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8.5">
      <c r="B307" s="1067">
        <v>305</v>
      </c>
      <c r="C307" s="1068">
        <v>41150</v>
      </c>
      <c r="D307" s="1087" t="s">
        <v>580</v>
      </c>
      <c r="E307" s="1087" t="s">
        <v>581</v>
      </c>
      <c r="F307" s="1065" t="s">
        <v>645</v>
      </c>
      <c r="G307" s="1075" t="s">
        <v>930</v>
      </c>
      <c r="H307" s="1075" t="s">
        <v>957</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8.5">
      <c r="B308" s="1067">
        <v>306</v>
      </c>
      <c r="C308" s="1068">
        <v>41150</v>
      </c>
      <c r="D308" s="1087" t="s">
        <v>580</v>
      </c>
      <c r="E308" s="1087" t="s">
        <v>581</v>
      </c>
      <c r="F308" s="1065" t="s">
        <v>646</v>
      </c>
      <c r="G308" s="1075" t="s">
        <v>930</v>
      </c>
      <c r="H308" s="1075" t="s">
        <v>958</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8.5">
      <c r="B309" s="1067">
        <v>307</v>
      </c>
      <c r="C309" s="1068">
        <v>41150</v>
      </c>
      <c r="D309" s="1087" t="s">
        <v>580</v>
      </c>
      <c r="E309" s="1087" t="s">
        <v>581</v>
      </c>
      <c r="F309" s="1065" t="s">
        <v>647</v>
      </c>
      <c r="G309" s="1075" t="s">
        <v>930</v>
      </c>
      <c r="H309" s="1075" t="s">
        <v>959</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8.5">
      <c r="B310" s="1067">
        <v>308</v>
      </c>
      <c r="C310" s="1068">
        <v>41150</v>
      </c>
      <c r="D310" s="1087" t="s">
        <v>580</v>
      </c>
      <c r="E310" s="1087" t="s">
        <v>581</v>
      </c>
      <c r="F310" s="1065" t="s">
        <v>648</v>
      </c>
      <c r="G310" s="1075" t="s">
        <v>930</v>
      </c>
      <c r="H310" s="1075" t="s">
        <v>960</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8.5">
      <c r="B311" s="1067">
        <v>309</v>
      </c>
      <c r="C311" s="1068">
        <v>41150</v>
      </c>
      <c r="D311" s="1087" t="s">
        <v>580</v>
      </c>
      <c r="E311" s="1087" t="s">
        <v>581</v>
      </c>
      <c r="F311" s="1065" t="s">
        <v>649</v>
      </c>
      <c r="G311" s="1075" t="s">
        <v>930</v>
      </c>
      <c r="H311" s="1075" t="s">
        <v>961</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8.5">
      <c r="B312" s="1067">
        <v>310</v>
      </c>
      <c r="C312" s="1068">
        <v>41150</v>
      </c>
      <c r="D312" s="1087" t="s">
        <v>580</v>
      </c>
      <c r="E312" s="1087" t="s">
        <v>581</v>
      </c>
      <c r="F312" s="1065" t="s">
        <v>650</v>
      </c>
      <c r="G312" s="1075" t="s">
        <v>930</v>
      </c>
      <c r="H312" s="1075" t="s">
        <v>962</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8.5">
      <c r="B313" s="1067">
        <v>311</v>
      </c>
      <c r="C313" s="1068">
        <v>41150</v>
      </c>
      <c r="D313" s="1087" t="s">
        <v>580</v>
      </c>
      <c r="E313" s="1087" t="s">
        <v>581</v>
      </c>
      <c r="F313" s="1065" t="s">
        <v>651</v>
      </c>
      <c r="G313" s="1075" t="s">
        <v>930</v>
      </c>
      <c r="H313" s="1075" t="s">
        <v>963</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8.5">
      <c r="B314" s="1067">
        <v>312</v>
      </c>
      <c r="C314" s="1068">
        <v>41150</v>
      </c>
      <c r="D314" s="1087" t="s">
        <v>580</v>
      </c>
      <c r="E314" s="1087" t="s">
        <v>581</v>
      </c>
      <c r="F314" s="1065" t="s">
        <v>652</v>
      </c>
      <c r="G314" s="1075" t="s">
        <v>930</v>
      </c>
      <c r="H314" s="1075" t="s">
        <v>964</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8.5">
      <c r="B315" s="1067">
        <v>313</v>
      </c>
      <c r="C315" s="1068">
        <v>41150</v>
      </c>
      <c r="D315" s="1087" t="s">
        <v>580</v>
      </c>
      <c r="E315" s="1087" t="s">
        <v>367</v>
      </c>
      <c r="F315" s="1065" t="s">
        <v>966</v>
      </c>
      <c r="G315" s="1075" t="s">
        <v>967</v>
      </c>
      <c r="H315" s="1075" t="s">
        <v>968</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2.75">
      <c r="B316" s="1067">
        <v>314</v>
      </c>
      <c r="C316" s="1068">
        <v>41150</v>
      </c>
      <c r="D316" s="1087" t="s">
        <v>580</v>
      </c>
      <c r="E316" s="1087" t="s">
        <v>368</v>
      </c>
      <c r="F316" s="1065" t="s">
        <v>970</v>
      </c>
      <c r="G316" s="1075" t="s">
        <v>971</v>
      </c>
      <c r="H316" s="1075" t="s">
        <v>972</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2.75">
      <c r="B317" s="1067">
        <v>315</v>
      </c>
      <c r="C317" s="1068">
        <v>41150</v>
      </c>
      <c r="D317" s="1087" t="s">
        <v>580</v>
      </c>
      <c r="E317" s="1087" t="s">
        <v>368</v>
      </c>
      <c r="F317" s="1065" t="s">
        <v>973</v>
      </c>
      <c r="G317" s="1075" t="s">
        <v>971</v>
      </c>
      <c r="H317" s="1075" t="s">
        <v>972</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2.75">
      <c r="B318" s="1067">
        <v>316</v>
      </c>
      <c r="C318" s="1068">
        <v>41150</v>
      </c>
      <c r="D318" s="1087" t="s">
        <v>580</v>
      </c>
      <c r="E318" s="1087" t="s">
        <v>368</v>
      </c>
      <c r="F318" s="1065" t="s">
        <v>974</v>
      </c>
      <c r="G318" s="1075" t="s">
        <v>971</v>
      </c>
      <c r="H318" s="1075" t="s">
        <v>972</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2.75">
      <c r="B319" s="1067">
        <v>317</v>
      </c>
      <c r="C319" s="1068">
        <v>41150</v>
      </c>
      <c r="D319" s="1087" t="s">
        <v>580</v>
      </c>
      <c r="E319" s="1087" t="s">
        <v>368</v>
      </c>
      <c r="F319" s="1065" t="s">
        <v>975</v>
      </c>
      <c r="G319" s="1075" t="s">
        <v>971</v>
      </c>
      <c r="H319" s="1075" t="s">
        <v>972</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2.75">
      <c r="B320" s="1067">
        <v>318</v>
      </c>
      <c r="C320" s="1068">
        <v>41150</v>
      </c>
      <c r="D320" s="1087" t="s">
        <v>580</v>
      </c>
      <c r="E320" s="1087" t="s">
        <v>368</v>
      </c>
      <c r="F320" s="1065" t="s">
        <v>976</v>
      </c>
      <c r="G320" s="1075" t="s">
        <v>971</v>
      </c>
      <c r="H320" s="1075" t="s">
        <v>972</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2.75">
      <c r="B321" s="1067">
        <v>319</v>
      </c>
      <c r="C321" s="1068">
        <v>41150</v>
      </c>
      <c r="D321" s="1087" t="s">
        <v>580</v>
      </c>
      <c r="E321" s="1087" t="s">
        <v>368</v>
      </c>
      <c r="F321" s="1065" t="s">
        <v>977</v>
      </c>
      <c r="G321" s="1075" t="s">
        <v>971</v>
      </c>
      <c r="H321" s="1075" t="s">
        <v>972</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2.75">
      <c r="B322" s="1067">
        <v>320</v>
      </c>
      <c r="C322" s="1068">
        <v>41150</v>
      </c>
      <c r="D322" s="1087" t="s">
        <v>580</v>
      </c>
      <c r="E322" s="1087" t="s">
        <v>368</v>
      </c>
      <c r="F322" s="1065" t="s">
        <v>978</v>
      </c>
      <c r="G322" s="1075" t="s">
        <v>971</v>
      </c>
      <c r="H322" s="1075" t="s">
        <v>972</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2.75">
      <c r="B323" s="1067">
        <v>321</v>
      </c>
      <c r="C323" s="1068">
        <v>41150</v>
      </c>
      <c r="D323" s="1087" t="s">
        <v>580</v>
      </c>
      <c r="E323" s="1087" t="s">
        <v>368</v>
      </c>
      <c r="F323" s="1065" t="s">
        <v>979</v>
      </c>
      <c r="G323" s="1075" t="s">
        <v>971</v>
      </c>
      <c r="H323" s="1075" t="s">
        <v>972</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2.75">
      <c r="B324" s="1067">
        <v>322</v>
      </c>
      <c r="C324" s="1068">
        <v>41150</v>
      </c>
      <c r="D324" s="1087" t="s">
        <v>580</v>
      </c>
      <c r="E324" s="1087" t="s">
        <v>368</v>
      </c>
      <c r="F324" s="1065" t="s">
        <v>980</v>
      </c>
      <c r="G324" s="1075" t="s">
        <v>971</v>
      </c>
      <c r="H324" s="1075" t="s">
        <v>972</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2.75">
      <c r="B325" s="1067">
        <v>323</v>
      </c>
      <c r="C325" s="1068">
        <v>41150</v>
      </c>
      <c r="D325" s="1087" t="s">
        <v>580</v>
      </c>
      <c r="E325" s="1087" t="s">
        <v>368</v>
      </c>
      <c r="F325" s="1065" t="s">
        <v>981</v>
      </c>
      <c r="G325" s="1075" t="s">
        <v>971</v>
      </c>
      <c r="H325" s="1075" t="s">
        <v>972</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2.75">
      <c r="B326" s="1067">
        <v>324</v>
      </c>
      <c r="C326" s="1068">
        <v>41150</v>
      </c>
      <c r="D326" s="1087" t="s">
        <v>580</v>
      </c>
      <c r="E326" s="1087" t="s">
        <v>368</v>
      </c>
      <c r="F326" s="1065" t="s">
        <v>982</v>
      </c>
      <c r="G326" s="1075" t="s">
        <v>971</v>
      </c>
      <c r="H326" s="1075" t="s">
        <v>972</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8.5">
      <c r="B327" s="1067">
        <v>325</v>
      </c>
      <c r="C327" s="1068">
        <v>41150</v>
      </c>
      <c r="D327" s="1087" t="s">
        <v>580</v>
      </c>
      <c r="E327" s="1087" t="s">
        <v>349</v>
      </c>
      <c r="F327" s="1065" t="s">
        <v>983</v>
      </c>
      <c r="G327" s="1075" t="s">
        <v>984</v>
      </c>
      <c r="H327" s="1075" t="s">
        <v>985</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8.5">
      <c r="B328" s="1067">
        <v>326</v>
      </c>
      <c r="C328" s="1068">
        <v>41150</v>
      </c>
      <c r="D328" s="1087" t="s">
        <v>580</v>
      </c>
      <c r="E328" s="1087" t="s">
        <v>100</v>
      </c>
      <c r="F328" s="1065" t="s">
        <v>983</v>
      </c>
      <c r="G328" s="1075" t="s">
        <v>987</v>
      </c>
      <c r="H328" s="1075" t="s">
        <v>988</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8.5">
      <c r="B329" s="1067">
        <v>327</v>
      </c>
      <c r="C329" s="1068">
        <v>41150</v>
      </c>
      <c r="D329" s="1087" t="s">
        <v>580</v>
      </c>
      <c r="E329" s="1087" t="s">
        <v>101</v>
      </c>
      <c r="F329" s="1065" t="s">
        <v>966</v>
      </c>
      <c r="G329" s="1075" t="s">
        <v>986</v>
      </c>
      <c r="H329" s="1075" t="s">
        <v>985</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8.5">
      <c r="B330" s="1067">
        <v>328</v>
      </c>
      <c r="C330" s="1068">
        <v>41150</v>
      </c>
      <c r="D330" s="1087" t="s">
        <v>580</v>
      </c>
      <c r="E330" s="1087" t="s">
        <v>298</v>
      </c>
      <c r="F330" s="1065" t="s">
        <v>983</v>
      </c>
      <c r="G330" s="1075" t="s">
        <v>984</v>
      </c>
      <c r="H330" s="1075" t="s">
        <v>985</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8.5">
      <c r="B331" s="1067">
        <v>329</v>
      </c>
      <c r="C331" s="1068">
        <v>41150</v>
      </c>
      <c r="D331" s="1087" t="s">
        <v>580</v>
      </c>
      <c r="E331" s="1087" t="s">
        <v>327</v>
      </c>
      <c r="F331" s="1065" t="s">
        <v>900</v>
      </c>
      <c r="G331" s="1075" t="s">
        <v>989</v>
      </c>
      <c r="H331" s="1075" t="s">
        <v>990</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8.5">
      <c r="B332" s="1067">
        <v>330</v>
      </c>
      <c r="C332" s="1068">
        <v>41150</v>
      </c>
      <c r="D332" s="1087" t="s">
        <v>580</v>
      </c>
      <c r="E332" s="1087" t="s">
        <v>326</v>
      </c>
      <c r="F332" s="1065" t="s">
        <v>900</v>
      </c>
      <c r="G332" s="1075" t="s">
        <v>992</v>
      </c>
      <c r="H332" s="1075" t="s">
        <v>991</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8.5">
      <c r="B333" s="1067">
        <v>331</v>
      </c>
      <c r="C333" s="1068">
        <v>41150</v>
      </c>
      <c r="D333" s="1087" t="s">
        <v>580</v>
      </c>
      <c r="E333" s="1087" t="s">
        <v>369</v>
      </c>
      <c r="F333" s="1065" t="s">
        <v>900</v>
      </c>
      <c r="G333" s="1075" t="s">
        <v>993</v>
      </c>
      <c r="H333" s="1075" t="s">
        <v>985</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8.5">
      <c r="B334" s="1067">
        <v>332</v>
      </c>
      <c r="C334" s="1068">
        <v>41150</v>
      </c>
      <c r="D334" s="1087" t="s">
        <v>580</v>
      </c>
      <c r="E334" s="1087" t="s">
        <v>329</v>
      </c>
      <c r="F334" s="1065" t="s">
        <v>886</v>
      </c>
      <c r="G334" s="1075" t="s">
        <v>994</v>
      </c>
      <c r="H334" s="1075" t="s">
        <v>995</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2.75">
      <c r="B335" s="1067">
        <v>333</v>
      </c>
      <c r="C335" s="1068">
        <v>41150</v>
      </c>
      <c r="D335" s="1093" t="s">
        <v>552</v>
      </c>
      <c r="E335" s="1093" t="s">
        <v>437</v>
      </c>
      <c r="F335" s="1065" t="s">
        <v>996</v>
      </c>
      <c r="G335" s="1075" t="s">
        <v>997</v>
      </c>
      <c r="H335" s="1075" t="s">
        <v>998</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8.5">
      <c r="B336" s="1067">
        <v>334</v>
      </c>
      <c r="C336" s="1068">
        <v>41150</v>
      </c>
      <c r="D336" s="1107" t="s">
        <v>552</v>
      </c>
      <c r="E336" s="1107" t="s">
        <v>368</v>
      </c>
      <c r="F336" s="1110" t="s">
        <v>1000</v>
      </c>
      <c r="G336" s="1075" t="s">
        <v>999</v>
      </c>
      <c r="H336" s="1075" t="s">
        <v>1001</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8.5">
      <c r="A337" s="1066"/>
      <c r="B337" s="1067"/>
      <c r="C337" s="1068">
        <v>41150</v>
      </c>
      <c r="D337" s="1107" t="s">
        <v>552</v>
      </c>
      <c r="E337" s="1107" t="s">
        <v>368</v>
      </c>
      <c r="F337" s="1110" t="s">
        <v>1005</v>
      </c>
      <c r="G337" s="1075" t="s">
        <v>1006</v>
      </c>
      <c r="H337" s="1075" t="s">
        <v>1007</v>
      </c>
      <c r="I337" s="1068">
        <f>Table1[[#This Row],[Date]]</f>
        <v>41150</v>
      </c>
      <c r="J337" s="46"/>
      <c r="K337" s="46"/>
      <c r="AE337" s="1065"/>
      <c r="AF337" s="1065"/>
      <c r="AG337" s="1065"/>
      <c r="AH337" s="1065"/>
    </row>
    <row r="338" spans="1:34" ht="28.5">
      <c r="B338" s="1067">
        <v>335</v>
      </c>
      <c r="C338" s="1068">
        <v>41150</v>
      </c>
      <c r="D338" s="1107" t="s">
        <v>552</v>
      </c>
      <c r="E338" s="1107" t="s">
        <v>349</v>
      </c>
      <c r="F338" s="1065" t="s">
        <v>1002</v>
      </c>
      <c r="G338" s="1075" t="s">
        <v>999</v>
      </c>
      <c r="H338" s="1075" t="s">
        <v>1001</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2.75">
      <c r="B339" s="1067">
        <v>336</v>
      </c>
      <c r="C339" s="1068">
        <v>41150</v>
      </c>
      <c r="D339" s="1107" t="s">
        <v>552</v>
      </c>
      <c r="E339" s="1107" t="s">
        <v>101</v>
      </c>
      <c r="F339" s="1110" t="s">
        <v>1003</v>
      </c>
      <c r="G339" s="1075" t="s">
        <v>999</v>
      </c>
      <c r="H339" s="1075" t="s">
        <v>1001</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8.5">
      <c r="B340" s="1067">
        <v>337</v>
      </c>
      <c r="C340" s="1068">
        <v>41150</v>
      </c>
      <c r="D340" s="1107" t="s">
        <v>552</v>
      </c>
      <c r="E340" s="1107" t="s">
        <v>298</v>
      </c>
      <c r="F340" s="1065" t="s">
        <v>1004</v>
      </c>
      <c r="G340" s="1075" t="s">
        <v>999</v>
      </c>
      <c r="H340" s="1075" t="s">
        <v>1001</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8.5">
      <c r="B341" s="1067">
        <v>338</v>
      </c>
      <c r="C341" s="1068">
        <v>41150</v>
      </c>
      <c r="D341" s="1107" t="s">
        <v>552</v>
      </c>
      <c r="E341" s="1107" t="s">
        <v>102</v>
      </c>
      <c r="F341" s="1110" t="s">
        <v>1008</v>
      </c>
      <c r="G341" s="1075" t="s">
        <v>999</v>
      </c>
      <c r="H341" s="1075" t="s">
        <v>1001</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8.5">
      <c r="B342" s="1067">
        <v>339</v>
      </c>
      <c r="C342" s="1068">
        <v>41150</v>
      </c>
      <c r="D342" s="1107" t="s">
        <v>552</v>
      </c>
      <c r="E342" s="1107" t="s">
        <v>369</v>
      </c>
      <c r="F342" s="1065" t="s">
        <v>1009</v>
      </c>
      <c r="G342" s="1075" t="s">
        <v>999</v>
      </c>
      <c r="H342" s="1075" t="s">
        <v>1001</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8.5">
      <c r="B343" s="1067">
        <v>340</v>
      </c>
      <c r="C343" s="1068">
        <v>41150</v>
      </c>
      <c r="D343" s="1107" t="s">
        <v>552</v>
      </c>
      <c r="E343" s="1107" t="s">
        <v>329</v>
      </c>
      <c r="F343" s="1065" t="s">
        <v>1010</v>
      </c>
      <c r="G343" s="1075" t="s">
        <v>999</v>
      </c>
      <c r="H343" s="1075" t="s">
        <v>1001</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8.5">
      <c r="A344" s="1127"/>
      <c r="B344" s="1128">
        <v>341</v>
      </c>
      <c r="C344" s="1129">
        <v>41150</v>
      </c>
      <c r="D344" s="1108" t="s">
        <v>580</v>
      </c>
      <c r="E344" s="1108" t="s">
        <v>298</v>
      </c>
      <c r="F344" s="1065" t="s">
        <v>1012</v>
      </c>
      <c r="G344" s="1075" t="s">
        <v>1014</v>
      </c>
      <c r="H344" s="1075" t="s">
        <v>1015</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8.5">
      <c r="A345" s="1127"/>
      <c r="B345" s="1128">
        <v>342</v>
      </c>
      <c r="C345" s="1129">
        <v>41150</v>
      </c>
      <c r="D345" s="1108" t="s">
        <v>580</v>
      </c>
      <c r="E345" s="1108" t="s">
        <v>298</v>
      </c>
      <c r="F345" s="1065" t="s">
        <v>1013</v>
      </c>
      <c r="G345" s="1075" t="s">
        <v>1014</v>
      </c>
      <c r="H345" s="1075" t="s">
        <v>1015</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1011</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8.5">
      <c r="B347" s="1067">
        <v>344</v>
      </c>
      <c r="C347" s="1068">
        <v>41159</v>
      </c>
      <c r="D347" s="1130" t="s">
        <v>580</v>
      </c>
      <c r="E347" s="1130" t="s">
        <v>298</v>
      </c>
      <c r="F347" s="1065" t="s">
        <v>1018</v>
      </c>
      <c r="G347" s="1075" t="s">
        <v>1019</v>
      </c>
      <c r="H347" s="1075" t="s">
        <v>1020</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552</v>
      </c>
      <c r="E348" s="1131" t="s">
        <v>367</v>
      </c>
      <c r="G348" s="1075" t="s">
        <v>1021</v>
      </c>
      <c r="H348" s="1075" t="s">
        <v>1022</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552</v>
      </c>
      <c r="E349" s="1131" t="s">
        <v>101</v>
      </c>
      <c r="F349" s="1065" t="s">
        <v>1025</v>
      </c>
      <c r="G349" s="1075" t="s">
        <v>1026</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8.5">
      <c r="B350" s="1067">
        <v>347</v>
      </c>
      <c r="C350" s="1068">
        <v>41186</v>
      </c>
      <c r="D350" s="1132" t="s">
        <v>580</v>
      </c>
      <c r="E350" s="1132" t="s">
        <v>367</v>
      </c>
      <c r="F350" s="1065" t="s">
        <v>1027</v>
      </c>
      <c r="G350" s="1075" t="s">
        <v>1028</v>
      </c>
      <c r="H350" s="1075" t="s">
        <v>1030</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2.75">
      <c r="B351" s="1067">
        <v>348</v>
      </c>
      <c r="C351" s="1068">
        <v>41186</v>
      </c>
      <c r="D351" s="1133" t="s">
        <v>580</v>
      </c>
      <c r="E351" s="1132" t="s">
        <v>102</v>
      </c>
      <c r="F351" s="1065" t="s">
        <v>713</v>
      </c>
      <c r="G351" s="1075" t="s">
        <v>1029</v>
      </c>
      <c r="H351" s="1075" t="s">
        <v>1031</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71.25">
      <c r="B352" s="1067">
        <v>349</v>
      </c>
      <c r="C352" s="1068">
        <v>41186</v>
      </c>
      <c r="D352" s="1133" t="s">
        <v>580</v>
      </c>
      <c r="E352" s="1132" t="s">
        <v>368</v>
      </c>
      <c r="F352" s="1065" t="s">
        <v>1033</v>
      </c>
      <c r="G352" s="1075" t="s">
        <v>1032</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8.5">
      <c r="B353" s="1067">
        <v>350</v>
      </c>
      <c r="C353" s="1068">
        <v>41186</v>
      </c>
      <c r="D353" s="1133" t="s">
        <v>580</v>
      </c>
      <c r="E353" s="1132" t="s">
        <v>437</v>
      </c>
      <c r="F353" s="1065" t="s">
        <v>1034</v>
      </c>
      <c r="G353" s="1075" t="s">
        <v>1035</v>
      </c>
      <c r="H353" s="1075" t="s">
        <v>1048</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2.75">
      <c r="B354" s="1067">
        <v>351</v>
      </c>
      <c r="C354" s="1068">
        <v>41186</v>
      </c>
      <c r="D354" s="1133" t="s">
        <v>580</v>
      </c>
      <c r="E354" s="1132" t="s">
        <v>101</v>
      </c>
      <c r="F354" s="1065" t="s">
        <v>1036</v>
      </c>
      <c r="G354" s="1075" t="s">
        <v>1053</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2.75">
      <c r="B355" s="1067">
        <v>352</v>
      </c>
      <c r="C355" s="1068">
        <v>41186</v>
      </c>
      <c r="D355" s="1133" t="s">
        <v>580</v>
      </c>
      <c r="E355" s="1132" t="s">
        <v>327</v>
      </c>
      <c r="F355" s="1065" t="s">
        <v>699</v>
      </c>
      <c r="G355" s="1075" t="s">
        <v>1037</v>
      </c>
      <c r="H355" s="1075" t="s">
        <v>1049</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2.75">
      <c r="B356" s="1067">
        <v>353</v>
      </c>
      <c r="C356" s="1068">
        <v>41186</v>
      </c>
      <c r="D356" s="1133" t="s">
        <v>580</v>
      </c>
      <c r="E356" s="1132" t="s">
        <v>326</v>
      </c>
      <c r="F356" s="1065" t="s">
        <v>807</v>
      </c>
      <c r="G356" s="1075" t="s">
        <v>1038</v>
      </c>
      <c r="H356" s="1075" t="s">
        <v>1050</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8.5">
      <c r="B357" s="1067">
        <v>354</v>
      </c>
      <c r="C357" s="1068">
        <v>41186</v>
      </c>
      <c r="D357" s="1133" t="s">
        <v>580</v>
      </c>
      <c r="E357" s="1132" t="s">
        <v>298</v>
      </c>
      <c r="F357" s="1065" t="s">
        <v>1018</v>
      </c>
      <c r="G357" s="1075" t="s">
        <v>1039</v>
      </c>
      <c r="H357" s="1075" t="s">
        <v>1051</v>
      </c>
      <c r="I357" s="1068" t="s">
        <v>1052</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2.75">
      <c r="B358" s="1067">
        <v>355</v>
      </c>
      <c r="C358" s="1068">
        <v>41187</v>
      </c>
      <c r="D358" s="1133" t="s">
        <v>580</v>
      </c>
      <c r="E358" s="1133" t="s">
        <v>437</v>
      </c>
      <c r="F358" s="1065" t="s">
        <v>1040</v>
      </c>
      <c r="G358" s="1075" t="s">
        <v>1043</v>
      </c>
      <c r="H358" s="1075" t="s">
        <v>1042</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8.5">
      <c r="B359" s="1067">
        <v>356</v>
      </c>
      <c r="C359" s="1068">
        <v>41187</v>
      </c>
      <c r="D359" s="1133" t="s">
        <v>580</v>
      </c>
      <c r="E359" s="1133" t="s">
        <v>437</v>
      </c>
      <c r="F359" s="1065" t="s">
        <v>1047</v>
      </c>
      <c r="G359" s="1075" t="s">
        <v>1041</v>
      </c>
      <c r="H359" s="1075" t="s">
        <v>1046</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8.5">
      <c r="B360" s="1067">
        <v>357</v>
      </c>
      <c r="C360" s="1068">
        <v>41187</v>
      </c>
      <c r="D360" s="1133" t="s">
        <v>580</v>
      </c>
      <c r="E360" s="1133" t="s">
        <v>437</v>
      </c>
      <c r="F360" s="1065" t="s">
        <v>1047</v>
      </c>
      <c r="G360" s="1075" t="s">
        <v>1041</v>
      </c>
      <c r="H360" s="1075" t="s">
        <v>1045</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8.5">
      <c r="B361" s="1067">
        <v>358</v>
      </c>
      <c r="C361" s="1068">
        <v>41187</v>
      </c>
      <c r="D361" s="1133" t="s">
        <v>580</v>
      </c>
      <c r="E361" s="1133" t="s">
        <v>437</v>
      </c>
      <c r="F361" s="1065" t="s">
        <v>1047</v>
      </c>
      <c r="G361" s="1075" t="s">
        <v>1041</v>
      </c>
      <c r="H361" s="1075" t="s">
        <v>1044</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580</v>
      </c>
      <c r="E362" s="1133" t="s">
        <v>326</v>
      </c>
      <c r="F362" s="1065" t="s">
        <v>1055</v>
      </c>
      <c r="G362" s="1075" t="s">
        <v>1056</v>
      </c>
      <c r="H362" s="1075" t="s">
        <v>1057</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abSelected="1" zoomScaleNormal="100" workbookViewId="0">
      <selection activeCell="A3" sqref="A3"/>
    </sheetView>
  </sheetViews>
  <sheetFormatPr defaultColWidth="5.625" defaultRowHeight="14.25" outlineLevelCol="1"/>
  <cols>
    <col min="1" max="1" width="13.75" style="379" customWidth="1"/>
    <col min="2" max="2" width="2.625" style="160" customWidth="1"/>
    <col min="3" max="3" width="2.625" style="820" customWidth="1"/>
    <col min="4" max="12" width="7.125" customWidth="1"/>
    <col min="13" max="13" width="7.125" style="248" customWidth="1"/>
    <col min="14" max="22" width="1.625" customWidth="1"/>
    <col min="23" max="24" width="2.625" customWidth="1"/>
    <col min="25" max="25" width="2.625" style="176" customWidth="1"/>
    <col min="26" max="26" width="33" style="176" customWidth="1"/>
    <col min="27" max="32" width="10.625" style="176" customWidth="1"/>
    <col min="33" max="33" width="8.625" style="176" customWidth="1"/>
    <col min="34" max="34" width="6.625" style="160" customWidth="1" outlineLevel="1"/>
    <col min="35" max="35" width="5.625" style="160" customWidth="1" outlineLevel="1"/>
    <col min="36" max="37" width="9.875" style="160" customWidth="1" outlineLevel="1"/>
    <col min="38" max="50" width="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7" t="s">
        <v>125</v>
      </c>
      <c r="E2" s="1177"/>
      <c r="F2" s="1177"/>
      <c r="G2" s="1177"/>
      <c r="H2" s="1177"/>
      <c r="I2" s="416"/>
      <c r="J2" s="416"/>
      <c r="K2" s="416"/>
      <c r="L2" s="1179">
        <f ca="1">TODAY()</f>
        <v>41810</v>
      </c>
      <c r="M2" s="1179"/>
      <c r="N2" s="1179"/>
      <c r="O2" s="1179"/>
      <c r="P2" s="1179"/>
      <c r="Q2" s="1179"/>
      <c r="R2" s="1179"/>
      <c r="S2" s="1179"/>
      <c r="T2" s="1179"/>
      <c r="U2" s="1179"/>
      <c r="V2" s="1179"/>
      <c r="W2" s="1179"/>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59" t="s">
        <v>416</v>
      </c>
      <c r="L3" s="1159"/>
      <c r="M3" s="1159"/>
      <c r="N3" s="1159"/>
      <c r="O3" s="1159"/>
      <c r="P3" s="1159"/>
      <c r="Q3" s="1159"/>
      <c r="R3" s="1159"/>
      <c r="S3" s="1159"/>
      <c r="T3" s="1159"/>
      <c r="U3" s="1159"/>
      <c r="V3" s="1159"/>
      <c r="W3" s="1159"/>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83" t="str">
        <f>C.2Name</f>
        <v>Grants Pass Limited Maintenance Plans for CO and PM10</v>
      </c>
      <c r="E4" s="1183"/>
      <c r="F4" s="1183"/>
      <c r="G4" s="1183"/>
      <c r="H4" s="1183"/>
      <c r="I4" s="1183"/>
      <c r="J4" s="1183"/>
      <c r="K4" s="1183"/>
      <c r="L4" s="1183"/>
      <c r="M4" s="1183"/>
      <c r="N4" s="1183"/>
      <c r="O4" s="1183"/>
      <c r="P4" s="1183"/>
      <c r="Q4" s="1183"/>
      <c r="R4" s="1183"/>
      <c r="S4" s="1183"/>
      <c r="T4" s="1183"/>
      <c r="U4" s="1183"/>
      <c r="V4" s="1183"/>
      <c r="W4" s="1183"/>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27" customHeight="1">
      <c r="B5" s="555"/>
      <c r="C5" s="813"/>
      <c r="D5" s="1182" t="str">
        <f>C.4Program&amp;" - "&amp;IF(C.4Media="cross media",C.4Media,C.4Media&amp;" quality")</f>
        <v>State Implementation Plan - air quality</v>
      </c>
      <c r="E5" s="1182"/>
      <c r="F5" s="1182"/>
      <c r="G5" s="1182"/>
      <c r="H5" s="1182"/>
      <c r="I5" s="1182"/>
      <c r="J5" s="1182"/>
      <c r="K5" s="1182"/>
      <c r="L5" s="1182"/>
      <c r="M5" s="1182"/>
      <c r="N5" s="1182"/>
      <c r="O5" s="1182"/>
      <c r="P5" s="1182"/>
      <c r="Q5" s="1182"/>
      <c r="R5" s="1182"/>
      <c r="S5" s="1182"/>
      <c r="T5" s="1182"/>
      <c r="U5" s="1182"/>
      <c r="V5" s="1182"/>
      <c r="W5" s="1182"/>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8" t="s">
        <v>214</v>
      </c>
      <c r="E6" s="1178"/>
      <c r="F6" s="1178"/>
      <c r="G6" s="1178"/>
      <c r="H6" s="1178"/>
      <c r="I6" s="1180"/>
      <c r="J6" s="1181"/>
      <c r="K6" s="1181"/>
      <c r="L6" s="1181"/>
      <c r="M6" s="1184" t="s">
        <v>443</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19.25" customHeight="1">
      <c r="B7" s="556"/>
      <c r="C7" s="496"/>
      <c r="D7" s="1187" t="str">
        <f>C.2Summary</f>
        <v xml:space="preserve">Grants Pass meets the federal air quality standards for PM10 and CO. The Clean Air Act requires 10-year maintenance plans for these pollutants. This rulemaking is the second maintenance plan, which applies until 2024.  A major consideration is the urgency to complete this rulemaking by the end of the year.  This will remove the requirement for costly computer modeling for the transportation conformity analysis, which is not needed  due to the low pollution levels in this community.  This also allows the option of adopting a "limited" maintenance plan, which are simpler and easier plans to adopt for communities which have improved air quality.  Both will require a State Implementation Plan revision and submittal to EPA.   </v>
      </c>
      <c r="E7" s="1187"/>
      <c r="F7" s="1187"/>
      <c r="G7" s="1187"/>
      <c r="H7" s="1187"/>
      <c r="I7" s="508">
        <v>1</v>
      </c>
      <c r="J7" s="1188" t="s">
        <v>1121</v>
      </c>
      <c r="K7" s="1189"/>
      <c r="L7" s="1189"/>
      <c r="M7" s="1184"/>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21" customHeight="1">
      <c r="B8" s="556"/>
      <c r="C8" s="496"/>
      <c r="D8" s="1187"/>
      <c r="E8" s="1187"/>
      <c r="F8" s="1187"/>
      <c r="G8" s="1187"/>
      <c r="H8" s="1187"/>
      <c r="I8" s="508">
        <v>2</v>
      </c>
      <c r="J8" s="1186" t="s">
        <v>367</v>
      </c>
      <c r="K8" s="1186"/>
      <c r="L8" s="1186"/>
      <c r="M8" s="1185"/>
      <c r="N8" s="1190" t="s">
        <v>220</v>
      </c>
      <c r="O8" s="1190"/>
      <c r="P8" s="1190"/>
      <c r="Q8" s="1190"/>
      <c r="R8" s="1190"/>
      <c r="S8" s="1190"/>
      <c r="T8" s="1190"/>
      <c r="U8" s="1190"/>
      <c r="V8" s="1190"/>
      <c r="W8" s="1190"/>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21" customHeight="1">
      <c r="B9" s="556"/>
      <c r="C9" s="496"/>
      <c r="D9" s="1187"/>
      <c r="E9" s="1187"/>
      <c r="F9" s="1187"/>
      <c r="G9" s="1187"/>
      <c r="H9" s="1187"/>
      <c r="I9" s="508">
        <v>3</v>
      </c>
      <c r="J9" s="1191" t="s">
        <v>368</v>
      </c>
      <c r="K9" s="1192"/>
      <c r="L9" s="1148"/>
      <c r="M9" s="835"/>
      <c r="N9" s="1154">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C.3ComplexityRating</f>
        <v>1</v>
      </c>
      <c r="AI9" s="147"/>
      <c r="AJ9" s="146"/>
      <c r="AK9" s="146"/>
      <c r="AL9" s="163"/>
      <c r="AM9" s="163"/>
      <c r="AN9" s="163"/>
      <c r="AO9" s="163"/>
      <c r="AP9" s="163"/>
      <c r="AQ9" s="163"/>
      <c r="AR9" s="163"/>
      <c r="AS9" s="163"/>
      <c r="AT9" s="163"/>
      <c r="AU9" s="163"/>
      <c r="AV9" s="163"/>
      <c r="AW9" s="163"/>
      <c r="AX9" s="163"/>
      <c r="AY9" s="163"/>
      <c r="AZ9" s="163"/>
      <c r="BA9" s="163"/>
    </row>
    <row r="10" spans="2:53" s="66" customFormat="1" ht="21" customHeight="1">
      <c r="B10" s="556"/>
      <c r="C10" s="496"/>
      <c r="D10" s="1187"/>
      <c r="E10" s="1187"/>
      <c r="F10" s="1187"/>
      <c r="G10" s="1187"/>
      <c r="H10" s="1187"/>
      <c r="I10" s="508">
        <v>4</v>
      </c>
      <c r="J10" s="1149" t="s">
        <v>349</v>
      </c>
      <c r="K10" s="1148"/>
      <c r="L10" s="1148"/>
      <c r="M10" s="835">
        <f>C.4SeverityRating</f>
        <v>7</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1</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21" customHeight="1">
      <c r="B11" s="556"/>
      <c r="C11" s="496"/>
      <c r="D11" s="1187"/>
      <c r="E11" s="1187"/>
      <c r="F11" s="1187"/>
      <c r="G11" s="1187"/>
      <c r="H11" s="1187"/>
      <c r="I11" s="508">
        <v>5</v>
      </c>
      <c r="J11" s="1191" t="s">
        <v>100</v>
      </c>
      <c r="K11" s="1192"/>
      <c r="L11" s="1148"/>
      <c r="M11" s="835">
        <f>C.5SeverityRating</f>
        <v>1</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1</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21" customHeight="1">
      <c r="B12" s="556"/>
      <c r="C12" s="496"/>
      <c r="D12" s="1187"/>
      <c r="E12" s="1187"/>
      <c r="F12" s="1187"/>
      <c r="G12" s="1187"/>
      <c r="H12" s="1187"/>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6</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21" customHeight="1">
      <c r="B13" s="556"/>
      <c r="C13" s="496"/>
      <c r="D13" s="1187"/>
      <c r="E13" s="1187"/>
      <c r="F13" s="1187"/>
      <c r="G13" s="1187"/>
      <c r="H13" s="1187"/>
      <c r="I13" s="508">
        <v>7</v>
      </c>
      <c r="J13" s="1191" t="s">
        <v>298</v>
      </c>
      <c r="K13" s="1192"/>
      <c r="L13" s="1148"/>
      <c r="M13" s="835">
        <f>C.7SeverityRating</f>
        <v>5</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1</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21" customHeight="1">
      <c r="B14" s="556"/>
      <c r="C14" s="496"/>
      <c r="D14" s="1187"/>
      <c r="E14" s="1187"/>
      <c r="F14" s="1187"/>
      <c r="G14" s="1187"/>
      <c r="H14" s="1187"/>
      <c r="I14" s="508">
        <v>8</v>
      </c>
      <c r="J14" s="1149" t="s">
        <v>102</v>
      </c>
      <c r="K14" s="1148"/>
      <c r="L14" s="1148"/>
      <c r="M14" s="835">
        <f>C.8SeverityRating</f>
        <v>1</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1</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21" customHeight="1">
      <c r="B15" s="556"/>
      <c r="C15" s="496"/>
      <c r="D15" s="1187"/>
      <c r="E15" s="1187"/>
      <c r="F15" s="1187"/>
      <c r="G15" s="1187"/>
      <c r="H15" s="1187"/>
      <c r="I15" s="508">
        <v>9</v>
      </c>
      <c r="J15" s="1191" t="s">
        <v>327</v>
      </c>
      <c r="K15" s="1192"/>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1</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21" customHeight="1">
      <c r="B16" s="556"/>
      <c r="C16" s="496"/>
      <c r="D16" s="1187"/>
      <c r="E16" s="1187"/>
      <c r="F16" s="1187"/>
      <c r="G16" s="1187"/>
      <c r="H16" s="1187"/>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1</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21" customHeight="1">
      <c r="B17" s="556"/>
      <c r="C17" s="496"/>
      <c r="D17" s="1187"/>
      <c r="E17" s="1187"/>
      <c r="F17" s="1187"/>
      <c r="G17" s="1187"/>
      <c r="H17" s="1187"/>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1</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21" customHeight="1">
      <c r="B18" s="556"/>
      <c r="C18" s="496"/>
      <c r="D18" s="1187"/>
      <c r="E18" s="1187"/>
      <c r="F18" s="1187"/>
      <c r="G18" s="1187"/>
      <c r="H18" s="1187"/>
      <c r="I18" s="508">
        <v>12</v>
      </c>
      <c r="J18" s="1191" t="s">
        <v>329</v>
      </c>
      <c r="K18" s="1192"/>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1</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41.2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175" t="s">
        <v>104</v>
      </c>
      <c r="D20" s="1176"/>
      <c r="E20" s="1176"/>
      <c r="F20" s="1176"/>
      <c r="G20" s="1176"/>
      <c r="H20" s="152"/>
      <c r="I20" s="1193" t="s">
        <v>233</v>
      </c>
      <c r="J20" s="1194"/>
      <c r="K20" s="1194"/>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174" t="s">
        <v>0</v>
      </c>
      <c r="E21" s="1174"/>
      <c r="F21" s="1174"/>
      <c r="G21" s="1174"/>
      <c r="H21" s="1174"/>
      <c r="I21" s="1174"/>
      <c r="J21" s="1174"/>
      <c r="K21" s="1174"/>
      <c r="L21" s="1174"/>
      <c r="M21" s="1174"/>
      <c r="N21" s="1174"/>
      <c r="O21" s="1174"/>
      <c r="P21" s="1174"/>
      <c r="Q21" s="1174"/>
      <c r="R21" s="1174"/>
      <c r="S21" s="1174"/>
      <c r="T21" s="1174"/>
      <c r="U21" s="1174"/>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95">
        <f>C.6SStartYr</f>
        <v>2014</v>
      </c>
      <c r="E22" s="1196"/>
      <c r="F22" s="1196"/>
      <c r="G22" s="1197"/>
      <c r="H22" s="1195">
        <f>D22+1</f>
        <v>2015</v>
      </c>
      <c r="I22" s="1196"/>
      <c r="J22" s="1196"/>
      <c r="K22" s="1197"/>
      <c r="L22" s="1195">
        <f>D22+2</f>
        <v>2016</v>
      </c>
      <c r="M22" s="1196"/>
      <c r="N22" s="1196"/>
      <c r="O22" s="1196"/>
      <c r="P22" s="1196"/>
      <c r="Q22" s="1196"/>
      <c r="R22" s="1196"/>
      <c r="S22" s="1196"/>
      <c r="T22" s="1196"/>
      <c r="U22" s="1197"/>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70" t="s">
        <v>209</v>
      </c>
      <c r="O23" s="1171"/>
      <c r="P23" s="1171"/>
      <c r="Q23" s="1171"/>
      <c r="R23" s="1170" t="s">
        <v>191</v>
      </c>
      <c r="S23" s="1171"/>
      <c r="T23" s="1171"/>
      <c r="U23" s="1172"/>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
      </c>
      <c r="E24" s="409" t="str">
        <f>IF(D24="Effective&gt;","",IF(AND(C.6SStartYr=$D$22,C.6SStartQtr=2),"&lt;Start",IF(AND(C.6SEffectiveYr=$D$22,C.6SEffectiveQtr=2),"Effective&gt;",IF(OR(D24="&lt;Start",D24="---"),"---",""))))</f>
        <v>&lt;Start</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v>
      </c>
      <c r="H24" s="155" t="str">
        <f>IF(G24="Effective&gt;","",IF(AND(C.6SStartYr=$H$22,C.6SStartQtr=1),"&lt;Start",IF(AND(C.6SEffectiveYr=$H$22,C.6SEffectiveQtr=1),"Effective&gt;",IF(OR(G24="&lt;Start",G24="---"),"---",""))))</f>
        <v>Effective&gt;</v>
      </c>
      <c r="I24" s="409" t="str">
        <f>IF(H24="Effective&gt;","",IF(AND(C.6SStartYr=$H$22,C.6SStartQtr=2),"&lt;Start",IF(AND(C.6SEffectiveYr=$H$22,C.6SEffectiveQtr=2),"Effective&gt;",IF(OR(H24="&lt;Start",H24="---"),"---",""))))</f>
        <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62" t="str">
        <f>IF(M24="Effective&gt;","",IF(AND(C.6SStartYr=$L$22,C.6SStartQtr=3),"&lt;Start",IF(AND(C.6SEffectiveYr=$L$22,C.6SEffectiveQtr=3),"Effective&gt;",IF(OR(M24="&lt;Start",M24="---"),"---",""))))</f>
        <v/>
      </c>
      <c r="O24" s="1162"/>
      <c r="P24" s="1162"/>
      <c r="Q24" s="1162"/>
      <c r="R24" s="1162" t="str">
        <f>IF(N24="Effective&gt;","",IF(AND(C.6SStartYr=$L$22,C.6SStartQtr=4),"&lt;Start",IF(AND(C.6SEffectiveYr=$L$22,C.6SEffectiveQtr=4),"Effective&gt;",IF(OR(N24="&lt;Start",N24="---"),"---",""))))</f>
        <v/>
      </c>
      <c r="S24" s="1162"/>
      <c r="T24" s="1162"/>
      <c r="U24" s="1162"/>
      <c r="V24" s="1167"/>
      <c r="W24" s="1168"/>
      <c r="X24" s="1169"/>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62" t="str">
        <f>IF(OR(M25="&lt;AdvCom&gt;",M25="End&gt;"),"",IF(AND(C.6SACStartYr=$L$22,C.6SACStartQtr=2,C.6SACEndYr=$L$22,C.7SACEndQtr=3),"&lt;AdvCom&gt;",IF(AND(C.6SACStartYr=$L$22,C.6SACStartQtr=3),"&lt;AdvCom",IF(AND(C.6SACEndYr=$L$22,C.7SACEndQtr=3),"End&gt;",IF(OR(M25="&lt;AdvCom",M25="---"),"---","")))))</f>
        <v/>
      </c>
      <c r="O25" s="1162"/>
      <c r="P25" s="1162"/>
      <c r="Q25" s="1162"/>
      <c r="R25" s="1162" t="str">
        <f>IF(OR(N25="&lt;AdvCom&gt;",N25="End&gt;"),"",IF(AND(C.6SACStartYr=$L$22,C.6SACStartQtr=4,C.6SACEndYr=$L$22,C.7SACEndQtr=4),"&lt;AdvCom&gt;",IF(AND(C.6SACStartYr=$L$22,C.6SACStartQtr=4),"&lt;AdvCom",IF(AND(C.6SACEndYr=$L$22,C.7SACEndQtr=4),"End&gt;",IF(OR(N25="&lt;AdvCom",N25="---"),"---","")))))</f>
        <v/>
      </c>
      <c r="S25" s="1162"/>
      <c r="T25" s="1162"/>
      <c r="U25" s="1163"/>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&lt;Notice</v>
      </c>
      <c r="G26" s="409" t="str">
        <f>IF(OR(F26="&lt;Notice&gt;",F26="End&gt;"),"",IF(AND(C.6SNoticeStartYr=$D$22,C.6SNoticeStartQtr=4,C.6SNoticeEndYr=$D$22,C.6SNoticeEndQtr=4),"&lt;Notice&gt;",IF(AND(C.6SNoticeStartYr=$D$22,C.6SNoticeStartQtr=4),"&lt;Notice",IF(AND(C.6SNoticeEndYr=$D$22,C.6SNoticeEndQtr=4),"End&gt;",IF(OR(F26="&lt;Notice",F26="---"),"---","")))))</f>
        <v>End&gt;</v>
      </c>
      <c r="H26" s="155" t="str">
        <f>IF(OR(G26="&lt;Notice&gt;",G26="End&gt;"),"",IF(AND(C.6SNoticeStartYr=$H$22,C.6SNoticeStartQtr=1,C.6SNoticeEndYr=$H$22,C.6SNoticeEndQtr=1),"&lt;Notice&gt;",IF(AND(C.6SNoticeStartYr=$H$22,C.6SNoticeStartQtr=1),"&lt;Notice",IF(AND(C.6SNoticeEndYr=$H$22,C.6SNoticeEndQtr=1),"End&gt;",IF(OR(G26="&lt;Notice",G26="---"),"---","")))))</f>
        <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62" t="str">
        <f>IF(OR(M26="&lt;Notice&gt;",M26="End&gt;"),"",IF(AND(C.6SNoticeStartYr=$L$22,C.6SNoticeStartQtr=3,C.6SNoticeEndYr=$L$22,C.6SNoticeEndQtr=3),"&lt;Notice&gt;",IF(AND(C.6SNoticeStartYr=$L$22,C.6SNoticeStartQtr=3),"&lt;Notice",IF(AND(C.6SNoticeEndYr=$L$22,C.6SNoticeEndQtr=3),"End&gt;",IF(OR(M26="&lt;Notice",M26="---"),"---","")))))</f>
        <v/>
      </c>
      <c r="O26" s="1162"/>
      <c r="P26" s="1162"/>
      <c r="Q26" s="1162"/>
      <c r="R26" s="1162" t="str">
        <f>IF(OR(N26="&lt;Notice&gt;",N26="End&gt;"),"",IF(AND(C.6SNoticeStartYr=$L$22,C.6SNoticeStartQtr=4,C.6SNoticeEndYr=$L$22,C.6SNoticeEndQtr=4),"&lt;Notice&gt;",IF(AND(C.6SNoticeStartYr=$L$22,C.6SNoticeStartQtr=4),"&lt;Notice",IF(AND(C.6SNoticeEndYr=$L$22,C.6SNoticeEndQtr=4),"End&gt;",IF(OR(N26="&lt;Notice",N26="---"),"---","")))))</f>
        <v/>
      </c>
      <c r="S26" s="1162"/>
      <c r="T26" s="1162"/>
      <c r="U26" s="1163"/>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
      </c>
      <c r="H27" s="155" t="str">
        <f>IF(AND(C.6SEQCYr=$H$22,C.6SEQCQtr=1),"EQC","")</f>
        <v>EQC</v>
      </c>
      <c r="I27" s="409" t="str">
        <f>IF(AND(C.6SEQCYr=$H$22,C.6SEQCQtr=2),"EQC","")</f>
        <v/>
      </c>
      <c r="J27" s="409" t="str">
        <f>IF(AND(C.6SEQCYr=$H$22,C.6SEQCQtr=3),"EQC","")</f>
        <v/>
      </c>
      <c r="K27" s="409" t="str">
        <f>IF(AND(C.6SEQCYr=$H$22,C.6SEQCQtr=4),"EQC","")</f>
        <v/>
      </c>
      <c r="L27" s="156" t="str">
        <f>IF(AND(C.6SEQCYr=$L$22,C.6SEQCQtr=1),"EQC","")</f>
        <v/>
      </c>
      <c r="M27" s="1140" t="str">
        <f>IF(AND(C.6SEQCYr=$L$22,C.6SEQCQtr=2),"EQC","")</f>
        <v/>
      </c>
      <c r="N27" s="1164" t="str">
        <f>IF(AND(C.6SEQCYr=$L$22,C.6SEQCQtr=3),"EQC","")</f>
        <v/>
      </c>
      <c r="O27" s="1164"/>
      <c r="P27" s="1164"/>
      <c r="Q27" s="1164"/>
      <c r="R27" s="1164" t="str">
        <f>IF(AND(C.6SEQCYr=$L$22,C.6SEQCQtr=4),"EQC","")</f>
        <v/>
      </c>
      <c r="S27" s="1164"/>
      <c r="T27" s="1164"/>
      <c r="U27" s="1165"/>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1</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204" t="s">
        <v>1058</v>
      </c>
      <c r="E29" s="1204"/>
      <c r="F29" s="1204"/>
      <c r="G29" s="1204"/>
      <c r="H29" s="120"/>
      <c r="I29" s="989" t="s">
        <v>130</v>
      </c>
      <c r="K29" s="783"/>
      <c r="L29" s="822">
        <f>C.2ComplianceRating</f>
        <v>4</v>
      </c>
      <c r="M29" s="1202" t="str">
        <f>'2Basics'!AA52</f>
        <v>reduced</v>
      </c>
      <c r="N29" s="1202"/>
      <c r="O29" s="1202"/>
      <c r="P29" s="1202"/>
      <c r="Q29" s="1202"/>
      <c r="R29" s="1202"/>
      <c r="S29" s="1202"/>
      <c r="T29" s="1202"/>
      <c r="U29" s="1202"/>
      <c r="V29" s="1202"/>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205" t="str">
        <f>"● "&amp;C.5EnvironmentalCorrelation</f>
        <v>● address an environmental problem indirectly.</v>
      </c>
      <c r="E30" s="1205"/>
      <c r="F30" s="1205"/>
      <c r="G30" s="1205"/>
      <c r="H30" s="1205"/>
      <c r="I30" s="990" t="s">
        <v>131</v>
      </c>
      <c r="J30" s="120"/>
      <c r="K30" s="806"/>
      <c r="L30" s="824">
        <f>C.2PenaltyRating</f>
        <v>0</v>
      </c>
      <c r="M30" s="1203" t="str">
        <f>C.2Penalties</f>
        <v>not involved</v>
      </c>
      <c r="N30" s="1203"/>
      <c r="O30" s="1203"/>
      <c r="P30" s="1203"/>
      <c r="Q30" s="1203"/>
      <c r="R30" s="1203"/>
      <c r="S30" s="1203"/>
      <c r="T30" s="1203"/>
      <c r="U30" s="1203"/>
      <c r="V30" s="1203"/>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205"/>
      <c r="E31" s="1205"/>
      <c r="F31" s="1205"/>
      <c r="G31" s="1205"/>
      <c r="H31" s="1205"/>
      <c r="I31" s="990" t="s">
        <v>442</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205" t="str">
        <f>IF(C.5EnvCorrolation=0,"","● "&amp;C.5EnvReach)</f>
        <v>● have a local environmental reach.</v>
      </c>
      <c r="E32" s="1205"/>
      <c r="F32" s="1205"/>
      <c r="G32" s="1205"/>
      <c r="H32" s="1134"/>
      <c r="I32" s="991" t="s">
        <v>2</v>
      </c>
      <c r="J32" s="853"/>
      <c r="K32" s="825"/>
      <c r="L32" s="824">
        <f>'7Financial'!AA19</f>
        <v>0</v>
      </c>
      <c r="M32" s="1201" t="str">
        <f>C.7Fee</f>
        <v>not involved</v>
      </c>
      <c r="N32" s="1201"/>
      <c r="O32" s="1201"/>
      <c r="P32" s="1201"/>
      <c r="Q32" s="1201"/>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205"/>
      <c r="E33" s="1205"/>
      <c r="F33" s="1205"/>
      <c r="G33" s="1205"/>
      <c r="H33" s="1134"/>
      <c r="I33" s="992" t="s">
        <v>145</v>
      </c>
      <c r="J33" s="853"/>
      <c r="K33" s="825"/>
      <c r="L33" s="826">
        <f>C.2SIPRating</f>
        <v>7</v>
      </c>
      <c r="M33" s="868" t="str">
        <f>C.2StateImplementatonPlan</f>
        <v>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205" t="str">
        <f>IF(C.5EnvCorrolation=0,"","● "&amp;C.5epaDialog)</f>
        <v>● align with 1 action in the EPA Strategic Plan.</v>
      </c>
      <c r="E34" s="1205"/>
      <c r="F34" s="1205"/>
      <c r="G34" s="1205"/>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205"/>
      <c r="E35" s="1205"/>
      <c r="F35" s="1205"/>
      <c r="G35" s="1205"/>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205" t="str">
        <f>IF(C.5EnvCorrolation=0,"","● "&amp;C.5NaturalStepDialog)</f>
        <v>● do not have a selection for Natural Step support at this time.</v>
      </c>
      <c r="E36" s="1205"/>
      <c r="F36" s="1205"/>
      <c r="G36" s="1205"/>
      <c r="H36" s="1205" t="str">
        <f>C.5DoNothing</f>
        <v/>
      </c>
      <c r="I36" s="1205"/>
      <c r="J36" s="1205"/>
      <c r="K36" s="1205"/>
      <c r="L36" s="1205"/>
      <c r="M36" s="1205"/>
      <c r="N36" s="1205"/>
      <c r="O36" s="1205"/>
      <c r="P36" s="1205"/>
      <c r="Q36" s="1205"/>
      <c r="R36" s="1205"/>
      <c r="S36" s="1205"/>
      <c r="T36" s="1205"/>
      <c r="U36" s="1205"/>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73" t="s">
        <v>206</v>
      </c>
      <c r="E37" s="1173"/>
      <c r="F37" s="1173"/>
      <c r="G37" s="1173"/>
      <c r="H37" s="1173" t="s">
        <v>207</v>
      </c>
      <c r="I37" s="1173"/>
      <c r="J37" s="1173"/>
      <c r="K37" s="1173"/>
      <c r="L37" s="1173" t="s">
        <v>208</v>
      </c>
      <c r="M37" s="1173"/>
      <c r="N37" s="1173"/>
      <c r="O37" s="1173"/>
      <c r="P37" s="1173"/>
      <c r="Q37" s="1173"/>
      <c r="R37" s="1173"/>
      <c r="S37" s="1173"/>
      <c r="T37" s="1173"/>
      <c r="U37" s="1173"/>
      <c r="V37" s="1173"/>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6" t="s">
        <v>215</v>
      </c>
      <c r="E38" s="1166"/>
      <c r="F38" s="1166"/>
      <c r="G38" s="1166"/>
      <c r="H38" s="1166" t="s">
        <v>234</v>
      </c>
      <c r="I38" s="1166"/>
      <c r="J38" s="1166"/>
      <c r="K38" s="1166"/>
      <c r="L38" s="1166" t="s">
        <v>235</v>
      </c>
      <c r="M38" s="1166"/>
      <c r="N38" s="1166"/>
      <c r="O38" s="1166"/>
      <c r="P38" s="1166"/>
      <c r="Q38" s="1166"/>
      <c r="R38" s="1166"/>
      <c r="S38" s="1166"/>
      <c r="T38" s="1166"/>
      <c r="U38" s="1166"/>
      <c r="V38" s="1166"/>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117" customHeight="1">
      <c r="B39" s="558"/>
      <c r="C39" s="421"/>
      <c r="D39" s="1200" t="str">
        <f>C.2Ideal</f>
        <v>Maintenance plans help keep CO and PM10 levels in Grants Pass below harmful levels and help prevent the community from exceeding federal health standards.</v>
      </c>
      <c r="E39" s="1200"/>
      <c r="F39" s="1200"/>
      <c r="G39" s="1200"/>
      <c r="H39" s="1199" t="str">
        <f>C.2Reality</f>
        <v>We are updating Grants Pass's 10-year maintenance plans for CO and PM10 as required by the Clean Air Act.</v>
      </c>
      <c r="I39" s="1199"/>
      <c r="J39" s="1199"/>
      <c r="K39" s="1199"/>
      <c r="L39" s="1198" t="str">
        <f>C.2Consequences</f>
        <v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v>
      </c>
      <c r="M39" s="1198"/>
      <c r="N39" s="1198"/>
      <c r="O39" s="1198"/>
      <c r="P39" s="1198"/>
      <c r="Q39" s="1198"/>
      <c r="R39" s="1198"/>
      <c r="S39" s="1198"/>
      <c r="T39" s="1198"/>
      <c r="U39" s="1198"/>
      <c r="V39" s="1198"/>
      <c r="W39" s="1198"/>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61" t="s">
        <v>418</v>
      </c>
      <c r="E40" s="1161"/>
      <c r="F40" s="1161"/>
      <c r="G40" s="1161"/>
      <c r="H40" s="1161" t="s">
        <v>419</v>
      </c>
      <c r="I40" s="1161"/>
      <c r="J40" s="1161"/>
      <c r="K40" s="1161"/>
      <c r="L40" s="809" t="s">
        <v>441</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52.5" customHeight="1">
      <c r="B41" s="558"/>
      <c r="C41" s="421"/>
      <c r="D41" s="1210" t="str">
        <f>C.2Alternatives</f>
        <v>There are no alternatives because the updating the plans is required by Clean Air Act.</v>
      </c>
      <c r="E41" s="1210"/>
      <c r="F41" s="1210"/>
      <c r="G41" s="1210"/>
      <c r="H41" s="1160" t="str">
        <f>C.2Research</f>
        <v xml:space="preserve">We are using  existing emissions inventory and monitoring data. </v>
      </c>
      <c r="I41" s="1160"/>
      <c r="J41" s="1160"/>
      <c r="K41" s="1160"/>
      <c r="L41" s="1206" t="str">
        <f>C.2Models</f>
        <v>DEQ and other states have developed similar plans that can be used as models for this rulemaking.</v>
      </c>
      <c r="M41" s="1206"/>
      <c r="N41" s="1206"/>
      <c r="O41" s="1206"/>
      <c r="P41" s="1206"/>
      <c r="Q41" s="1206"/>
      <c r="R41" s="1206"/>
      <c r="S41" s="1206"/>
      <c r="T41" s="1206"/>
      <c r="U41" s="1206"/>
      <c r="V41" s="1206"/>
      <c r="W41" s="1206"/>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2.8</v>
      </c>
      <c r="D42" s="807" t="s">
        <v>417</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204" t="str">
        <f>C.3Summary</f>
        <v>Interest in this proposal is low/medium. DEQ does not plan to appoint an advisory committee.</v>
      </c>
      <c r="E43" s="1204"/>
      <c r="F43" s="1204"/>
      <c r="G43" s="1204"/>
      <c r="I43" s="854" t="str">
        <f>'3Stakeholders'!D8</f>
        <v>Business</v>
      </c>
      <c r="J43" s="855"/>
      <c r="K43" s="871">
        <f>'3Stakeholders'!AB8</f>
        <v>0</v>
      </c>
      <c r="L43" s="1207" t="str">
        <f>'3Stakeholders'!AA8</f>
        <v xml:space="preserve">not affected </v>
      </c>
      <c r="M43" s="1208"/>
      <c r="N43" s="1208"/>
      <c r="O43" s="1208"/>
      <c r="P43" s="1208"/>
      <c r="Q43" s="1208"/>
      <c r="R43" s="1208"/>
      <c r="S43" s="1208"/>
      <c r="T43" s="1208"/>
      <c r="U43" s="1208"/>
      <c r="V43" s="1208"/>
      <c r="W43" s="1208"/>
      <c r="X43" s="1209"/>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204"/>
      <c r="E44" s="1204"/>
      <c r="F44" s="1204"/>
      <c r="G44" s="1204"/>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 customHeight="1">
      <c r="B45" s="556"/>
      <c r="C45" s="815"/>
      <c r="D45" s="1204"/>
      <c r="E45" s="1204"/>
      <c r="F45" s="1204"/>
      <c r="G45" s="1204"/>
      <c r="I45" s="854" t="str">
        <f>'3Stakeholders'!D10</f>
        <v>City/county/state</v>
      </c>
      <c r="J45" s="855"/>
      <c r="K45" s="871">
        <f>'3Stakeholders'!AB10</f>
        <v>3</v>
      </c>
      <c r="L45" s="858" t="str">
        <f>'3Stakeholders'!AA10</f>
        <v>affects  under 100 currently regulated</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204"/>
      <c r="E46" s="1204"/>
      <c r="F46" s="1204"/>
      <c r="G46" s="1204"/>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204"/>
      <c r="E47" s="1204"/>
      <c r="F47" s="1204"/>
      <c r="G47" s="1204"/>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204"/>
      <c r="E48" s="1204"/>
      <c r="F48" s="1204"/>
      <c r="G48" s="1204"/>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57">
        <f ca="1">TODAY()</f>
        <v>41810</v>
      </c>
      <c r="K49" s="1157"/>
      <c r="L49" s="1157"/>
      <c r="M49" s="1157"/>
      <c r="N49" s="1157"/>
      <c r="O49" s="1157"/>
      <c r="P49" s="1157"/>
      <c r="Q49" s="1157"/>
      <c r="R49" s="1157"/>
      <c r="S49" s="1157"/>
      <c r="T49" s="1157"/>
      <c r="U49" s="1157"/>
      <c r="V49" s="1157"/>
      <c r="W49" s="1157"/>
      <c r="X49" s="1158"/>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5">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H36:U36"/>
    <mergeCell ref="L41:W41"/>
    <mergeCell ref="L43:X43"/>
    <mergeCell ref="D40:G40"/>
    <mergeCell ref="D41:G41"/>
    <mergeCell ref="D43:G48"/>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5" priority="85">
      <formula>IF(OR(D25="&lt;AdvCom",D25="&lt;AdvCom&gt;",D25="---",D25="End&gt;"),TRUE)</formula>
    </cfRule>
  </conditionalFormatting>
  <conditionalFormatting sqref="D26:U26">
    <cfRule type="expression" dxfId="364" priority="81">
      <formula>IF(OR(D26="&lt;Notice",D26="&lt;Notice&gt;",D26="---",D26="End&gt;"),TRUE)</formula>
    </cfRule>
  </conditionalFormatting>
  <conditionalFormatting sqref="D24:U24">
    <cfRule type="expression" dxfId="363" priority="80">
      <formula>IF(OR(D24="&lt;Start",D24="---",D24="Effective&gt;"),TRUE)</formula>
    </cfRule>
  </conditionalFormatting>
  <conditionalFormatting sqref="E23">
    <cfRule type="expression" dxfId="362" priority="77">
      <formula>IF(ISODD($D$22),TRUE)</formula>
    </cfRule>
  </conditionalFormatting>
  <conditionalFormatting sqref="I23">
    <cfRule type="expression" dxfId="361" priority="76">
      <formula>IF(ISODD($H$22),TRUE)</formula>
    </cfRule>
  </conditionalFormatting>
  <conditionalFormatting sqref="M23">
    <cfRule type="expression" dxfId="360" priority="75">
      <formula>IF(ISODD($L$22),TRUE)</formula>
    </cfRule>
  </conditionalFormatting>
  <conditionalFormatting sqref="W9:W18">
    <cfRule type="expression" dxfId="359" priority="38" stopIfTrue="1">
      <formula>IF($AH9&lt;10,TRUE,)</formula>
    </cfRule>
  </conditionalFormatting>
  <conditionalFormatting sqref="N9:N18">
    <cfRule type="expression" dxfId="358" priority="39" stopIfTrue="1">
      <formula>IF($AH9&lt;1,TRUE,)</formula>
    </cfRule>
  </conditionalFormatting>
  <conditionalFormatting sqref="O9:O18">
    <cfRule type="expression" dxfId="357" priority="40" stopIfTrue="1">
      <formula>IF($AH9&lt;2,TRUE,)</formula>
    </cfRule>
  </conditionalFormatting>
  <conditionalFormatting sqref="P9:P18">
    <cfRule type="expression" dxfId="356" priority="41" stopIfTrue="1">
      <formula>IF(AH9&lt;3,TRUE,)</formula>
    </cfRule>
  </conditionalFormatting>
  <conditionalFormatting sqref="Q9:Q18">
    <cfRule type="expression" dxfId="355" priority="42" stopIfTrue="1">
      <formula>IF($AH9&lt;4,TRUE,)</formula>
    </cfRule>
  </conditionalFormatting>
  <conditionalFormatting sqref="R9:R18">
    <cfRule type="expression" dxfId="354" priority="43" stopIfTrue="1">
      <formula>IF($AH9&lt;5,TRUE,)</formula>
    </cfRule>
  </conditionalFormatting>
  <conditionalFormatting sqref="S9:S18">
    <cfRule type="expression" dxfId="353" priority="44" stopIfTrue="1">
      <formula>IF($AH9&lt;6,TRUE,)</formula>
    </cfRule>
  </conditionalFormatting>
  <conditionalFormatting sqref="T9:T18">
    <cfRule type="expression" dxfId="352" priority="45" stopIfTrue="1">
      <formula>IF($AH9&lt;7,TRUE,)</formula>
    </cfRule>
  </conditionalFormatting>
  <conditionalFormatting sqref="U9:U18">
    <cfRule type="expression" dxfId="351" priority="46" stopIfTrue="1">
      <formula>IF($AH9&lt;8,TRUE,)</formula>
    </cfRule>
  </conditionalFormatting>
  <conditionalFormatting sqref="V9:V18">
    <cfRule type="expression" dxfId="350"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9"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31" activePane="bottomRight" state="frozen"/>
      <selection pane="topRight" activeCell="C1" sqref="C1"/>
      <selection pane="bottomLeft" activeCell="A5" sqref="A5"/>
      <selection pane="bottomRight" activeCell="A39" sqref="A39:XFD45"/>
    </sheetView>
  </sheetViews>
  <sheetFormatPr defaultRowHeight="14.25" outlineLevelRow="1" outlineLevelCol="1"/>
  <cols>
    <col min="1" max="1" width="41.375" style="160" customWidth="1"/>
    <col min="2" max="2" width="3" style="1042" customWidth="1"/>
    <col min="3" max="3" width="24.25" style="910" customWidth="1" outlineLevel="1"/>
    <col min="4" max="4" width="3.25" style="911" customWidth="1"/>
    <col min="5" max="5" width="25.75" style="160" customWidth="1" outlineLevel="1"/>
    <col min="6" max="6" width="3.25" style="160" customWidth="1"/>
    <col min="7" max="7" width="25.75" style="160" customWidth="1" outlineLevel="1"/>
    <col min="8" max="8" width="3.25" style="160" customWidth="1"/>
    <col min="9" max="9" width="25.625" style="160" customWidth="1" outlineLevel="1"/>
    <col min="10" max="10" width="6.875" style="160" customWidth="1"/>
    <col min="11" max="11" width="31.5" style="160" customWidth="1"/>
    <col min="12" max="12" width="13.5" style="160" customWidth="1"/>
    <col min="13" max="13" width="1.75" style="160" customWidth="1"/>
    <col min="14" max="14" width="18.5" style="160" customWidth="1"/>
    <col min="15" max="16" width="9" style="160" customWidth="1"/>
    <col min="17" max="17" width="1.625" style="160" customWidth="1"/>
    <col min="18" max="18" width="12.875" style="160" customWidth="1"/>
    <col min="19" max="19" width="19.75" style="160" customWidth="1"/>
    <col min="20" max="23" width="9" style="160" customWidth="1"/>
    <col min="24" max="24" width="1.625" style="160" customWidth="1"/>
    <col min="25" max="25" width="20" style="160" customWidth="1"/>
    <col min="26" max="26" width="19.125" style="160" customWidth="1"/>
    <col min="27" max="27" width="18.75" style="160" customWidth="1"/>
    <col min="28" max="28" width="26.625" style="160" customWidth="1"/>
    <col min="29" max="29" width="8.625" style="160" customWidth="1"/>
    <col min="30" max="30" width="16" style="160" customWidth="1"/>
    <col min="31" max="31" width="8.375" style="160" customWidth="1"/>
    <col min="32" max="32" width="9.375" style="160" customWidth="1"/>
    <col min="33" max="33" width="1.75" style="160" customWidth="1"/>
    <col min="34" max="34" width="13.375" style="160" customWidth="1"/>
    <col min="35" max="39" width="9" style="160" customWidth="1"/>
    <col min="40" max="40" width="2.75" style="160" customWidth="1"/>
    <col min="41" max="41" width="1.625" style="160" customWidth="1"/>
    <col min="42" max="42" width="12.625" style="160" customWidth="1"/>
    <col min="43" max="47" width="9" style="160" customWidth="1"/>
    <col min="48" max="48" width="1.625" style="160" customWidth="1"/>
    <col min="49" max="49" width="11.875" style="160" customWidth="1"/>
    <col min="50" max="50" width="11.5" style="160" customWidth="1"/>
    <col min="51" max="51" width="10.375" style="160" customWidth="1"/>
    <col min="52" max="52" width="12.375" style="160" customWidth="1"/>
    <col min="53" max="53" width="10.25" style="160" customWidth="1"/>
    <col min="54" max="54" width="1.75" style="160" customWidth="1"/>
    <col min="55" max="55" width="14.5" style="160" customWidth="1"/>
    <col min="56" max="61" width="9" style="160" customWidth="1"/>
    <col min="62" max="62" width="1.625" style="160" customWidth="1"/>
    <col min="63" max="63" width="20.625" style="160" customWidth="1"/>
    <col min="64" max="68" width="9" style="160" customWidth="1"/>
    <col min="69" max="69" width="1.625" style="160" customWidth="1"/>
    <col min="70" max="70" width="20.625" style="160" customWidth="1"/>
    <col min="71" max="71" width="11.5" style="160" customWidth="1"/>
    <col min="72" max="72" width="10.375" style="160" customWidth="1"/>
    <col min="73" max="73" width="12.375" style="160" customWidth="1"/>
    <col min="74" max="74" width="10.25" style="160" customWidth="1"/>
    <col min="75" max="75" width="1.75" style="160" customWidth="1"/>
    <col min="76" max="76" width="20.625" style="160" customWidth="1"/>
    <col min="77" max="81" width="9" style="160" customWidth="1"/>
    <col min="82" max="82" width="1.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11" t="s">
        <v>0</v>
      </c>
    </row>
    <row r="3" spans="1:11" s="915" customFormat="1" ht="15.75" customHeight="1">
      <c r="A3" s="965"/>
      <c r="B3" s="1036" t="str">
        <f>IF(C.4Media="air","AQ",IF(C.4Media="water","WQ",IF(C.4Media="land","LQ","CP")))</f>
        <v>AQ</v>
      </c>
      <c r="C3" s="967" t="str">
        <f>C.4Program</f>
        <v>State Implementation Plan</v>
      </c>
      <c r="D3" s="965"/>
      <c r="E3" s="914"/>
      <c r="F3" s="913"/>
      <c r="G3" s="913"/>
      <c r="H3" s="913"/>
      <c r="I3" s="913"/>
      <c r="J3" s="913"/>
      <c r="K3" s="1211"/>
    </row>
    <row r="4" spans="1:11" ht="19.5" customHeight="1">
      <c r="A4" s="914"/>
      <c r="B4" s="1212" t="str">
        <f>C.2Divisions</f>
        <v>200</v>
      </c>
      <c r="C4" s="1212"/>
      <c r="D4" s="966"/>
      <c r="E4" s="914"/>
      <c r="F4" s="913"/>
      <c r="G4" s="913"/>
      <c r="H4" s="913"/>
      <c r="I4" s="913"/>
      <c r="J4" s="913"/>
      <c r="K4" s="1211"/>
    </row>
    <row r="5" spans="1:11" ht="19.5" hidden="1" customHeight="1">
      <c r="A5" s="914"/>
      <c r="B5" s="1044" t="s">
        <v>0</v>
      </c>
      <c r="C5" s="968" t="str">
        <f ca="1">CELL("filename")</f>
        <v>http://deqsps/programs/rulemaking/aq/gplimited/docs/1-Planning/[CONSIDERATIONS.xlsx]Summary</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461</v>
      </c>
      <c r="B7" s="1040"/>
      <c r="C7" s="956" t="str">
        <f>C.2Summary</f>
        <v xml:space="preserve">Grants Pass meets the federal air quality standards for PM10 and CO. The Clean Air Act requires 10-year maintenance plans for these pollutants. This rulemaking is the second maintenance plan, which applies until 2024.  A major consideration is the urgency to complete this rulemaking by the end of the year.  This will remove the requirement for costly computer modeling for the transportation conformity analysis, which is not needed  due to the low pollution levels in this community.  This also allows the option of adopting a "limited" maintenance plan, which are simpler and easier plans to adopt for communities which have improved air quality.  Both will require a State Implementation Plan revision and submittal to EPA.   </v>
      </c>
      <c r="D7" s="898"/>
      <c r="E7" s="919"/>
    </row>
    <row r="8" spans="1:11" ht="15" customHeight="1" collapsed="1">
      <c r="A8" s="922" t="s">
        <v>446</v>
      </c>
      <c r="B8" s="1037">
        <f>AVERAGEIF(B31:B175,"&gt;0")</f>
        <v>3.1315789473684212</v>
      </c>
      <c r="C8" s="923" t="str">
        <f>LOWER(C.2PermTemp)</f>
        <v>permanent</v>
      </c>
      <c r="D8" s="912"/>
      <c r="E8" s="919"/>
    </row>
    <row r="9" spans="1:11" ht="15" customHeight="1">
      <c r="A9" s="924" t="s">
        <v>448</v>
      </c>
      <c r="B9" s="1045"/>
      <c r="C9" s="926" t="str">
        <f>C.2Divisions</f>
        <v>200</v>
      </c>
      <c r="D9" s="925"/>
      <c r="E9" s="919"/>
    </row>
    <row r="10" spans="1:11" ht="15" customHeight="1">
      <c r="A10" s="924" t="s">
        <v>460</v>
      </c>
      <c r="B10" s="1045"/>
      <c r="C10" s="926"/>
      <c r="D10" s="925"/>
      <c r="E10" s="919"/>
    </row>
    <row r="11" spans="1:11" ht="15" customHeight="1">
      <c r="A11" s="918" t="s">
        <v>382</v>
      </c>
      <c r="B11" s="1046">
        <f>'2Basics'!X10</f>
        <v>3</v>
      </c>
      <c r="C11" s="926" t="str">
        <f>'2Basics'!H10</f>
        <v>somewhat true</v>
      </c>
      <c r="D11" s="925"/>
      <c r="E11" s="919"/>
    </row>
    <row r="12" spans="1:11" ht="15" customHeight="1">
      <c r="A12" s="918" t="s">
        <v>383</v>
      </c>
      <c r="B12" s="1046">
        <f>'2Basics'!X11</f>
        <v>1</v>
      </c>
      <c r="C12" s="926" t="str">
        <f>'2Basics'!H11</f>
        <v>definitely true</v>
      </c>
      <c r="D12" s="925"/>
      <c r="E12" s="919"/>
    </row>
    <row r="13" spans="1:11" ht="15" customHeight="1">
      <c r="A13" s="918" t="s">
        <v>384</v>
      </c>
      <c r="B13" s="1046">
        <f>'2Basics'!X12</f>
        <v>1</v>
      </c>
      <c r="C13" s="926" t="str">
        <f>'2Basics'!H12</f>
        <v>definitely true</v>
      </c>
      <c r="D13" s="925"/>
      <c r="E13" s="919"/>
    </row>
    <row r="14" spans="1:11" ht="15" customHeight="1">
      <c r="A14" s="918" t="s">
        <v>388</v>
      </c>
      <c r="B14" s="1046">
        <f>'2Basics'!X13</f>
        <v>1</v>
      </c>
      <c r="C14" s="926" t="str">
        <f>'2Basics'!H13</f>
        <v>definitely true</v>
      </c>
      <c r="D14" s="925"/>
      <c r="E14" s="919"/>
    </row>
    <row r="15" spans="1:11" ht="15" customHeight="1">
      <c r="A15" s="918" t="s">
        <v>387</v>
      </c>
      <c r="B15" s="1046">
        <f>'2Basics'!X14</f>
        <v>1</v>
      </c>
      <c r="C15" s="926" t="str">
        <f>'2Basics'!H14</f>
        <v>definitely true</v>
      </c>
      <c r="D15" s="925"/>
      <c r="E15" s="919"/>
    </row>
    <row r="16" spans="1:11" ht="15" customHeight="1">
      <c r="A16" s="918" t="s">
        <v>386</v>
      </c>
      <c r="B16" s="1046">
        <f>'2Basics'!X15</f>
        <v>1</v>
      </c>
      <c r="C16" s="926" t="str">
        <f>'2Basics'!H15</f>
        <v>definitely true</v>
      </c>
      <c r="D16" s="925"/>
      <c r="E16" s="919"/>
    </row>
    <row r="17" spans="1:5" ht="15" customHeight="1">
      <c r="A17" s="918" t="s">
        <v>385</v>
      </c>
      <c r="B17" s="1046">
        <f>'2Basics'!X16</f>
        <v>1</v>
      </c>
      <c r="C17" s="926" t="str">
        <f>'2Basics'!H16</f>
        <v>definitely true</v>
      </c>
      <c r="D17" s="925"/>
      <c r="E17" s="919"/>
    </row>
    <row r="18" spans="1:5" ht="15" customHeight="1">
      <c r="A18" s="918" t="s">
        <v>449</v>
      </c>
      <c r="B18" s="1046">
        <f>'2Basics'!X17</f>
        <v>0</v>
      </c>
      <c r="C18" s="926" t="str">
        <f>'2Basics'!H17</f>
        <v>does not apply</v>
      </c>
      <c r="D18" s="925"/>
      <c r="E18" s="919"/>
    </row>
    <row r="19" spans="1:5" s="915" customFormat="1" ht="15" hidden="1" customHeight="1" outlineLevel="1">
      <c r="A19" s="957" t="s">
        <v>462</v>
      </c>
      <c r="B19" s="1046"/>
      <c r="C19" s="959" t="str">
        <f>C.2Ideal</f>
        <v>Maintenance plans help keep CO and PM10 levels in Grants Pass below harmful levels and help prevent the community from exceeding federal health standards.</v>
      </c>
      <c r="D19" s="925"/>
      <c r="E19" s="919"/>
    </row>
    <row r="20" spans="1:5" s="915" customFormat="1" ht="15" hidden="1" customHeight="1" outlineLevel="1">
      <c r="A20" s="957" t="s">
        <v>463</v>
      </c>
      <c r="B20" s="1046"/>
      <c r="C20" s="959" t="str">
        <f>C.2IdealLong</f>
        <v>blank</v>
      </c>
      <c r="D20" s="925"/>
      <c r="E20" s="919"/>
    </row>
    <row r="21" spans="1:5" s="915" customFormat="1" ht="15" hidden="1" customHeight="1" outlineLevel="1">
      <c r="A21" s="957" t="s">
        <v>468</v>
      </c>
      <c r="B21" s="1046"/>
      <c r="C21" s="959" t="str">
        <f>C.2Reality</f>
        <v>We are updating Grants Pass's 10-year maintenance plans for CO and PM10 as required by the Clean Air Act.</v>
      </c>
      <c r="D21" s="925"/>
      <c r="E21" s="919"/>
    </row>
    <row r="22" spans="1:5" s="915" customFormat="1" ht="15" hidden="1" customHeight="1" outlineLevel="1">
      <c r="A22" s="957" t="s">
        <v>464</v>
      </c>
      <c r="B22" s="1046"/>
      <c r="C22" s="959" t="str">
        <f>C.2Reality</f>
        <v>We are updating Grants Pass's 10-year maintenance plans for CO and PM10 as required by the Clean Air Act.</v>
      </c>
      <c r="D22" s="925"/>
      <c r="E22" s="919"/>
    </row>
    <row r="23" spans="1:5" s="915" customFormat="1" ht="15" hidden="1" customHeight="1" outlineLevel="1">
      <c r="A23" s="957" t="s">
        <v>465</v>
      </c>
      <c r="B23" s="1046"/>
      <c r="C23" s="959" t="str">
        <f>C.2Consequences</f>
        <v xml:space="preserve">If we do not update the plans, we will not be in compliance with the Clean Air Act.  By adopting limited maintenance plans for the next ten years,  Grants Pass local government will see signficant cost savings by not having to conduct modeling associated with conformity analysis. </v>
      </c>
      <c r="D23" s="925"/>
      <c r="E23" s="919"/>
    </row>
    <row r="24" spans="1:5" s="915" customFormat="1" ht="15" hidden="1" customHeight="1" outlineLevel="1">
      <c r="A24" s="957" t="s">
        <v>466</v>
      </c>
      <c r="B24" s="1046"/>
      <c r="C24" s="959" t="str">
        <f>C.2ConsequencesLong</f>
        <v>blank</v>
      </c>
      <c r="D24" s="925"/>
      <c r="E24" s="919"/>
    </row>
    <row r="25" spans="1:5" s="915" customFormat="1" ht="15" hidden="1" customHeight="1" outlineLevel="1">
      <c r="A25" s="957" t="s">
        <v>471</v>
      </c>
      <c r="B25" s="1046"/>
      <c r="C25" s="959" t="str">
        <f>C.2Alternatives</f>
        <v>There are no alternatives because the updating the plans is required by Clean Air Act.</v>
      </c>
      <c r="D25" s="925"/>
      <c r="E25" s="919"/>
    </row>
    <row r="26" spans="1:5" s="915" customFormat="1" ht="15" hidden="1" customHeight="1" outlineLevel="1">
      <c r="A26" s="957" t="s">
        <v>472</v>
      </c>
      <c r="B26" s="1046"/>
      <c r="C26" s="959" t="str">
        <f>C.2AlternativesLong</f>
        <v>blank</v>
      </c>
      <c r="D26" s="925"/>
      <c r="E26" s="919"/>
    </row>
    <row r="27" spans="1:5" ht="15" hidden="1" customHeight="1" outlineLevel="1">
      <c r="A27" s="924" t="s">
        <v>470</v>
      </c>
      <c r="B27" s="1045"/>
      <c r="C27" s="959" t="str">
        <f>C.2Research</f>
        <v xml:space="preserve">We are using  existing emissions inventory and monitoring data. </v>
      </c>
      <c r="D27" s="925"/>
      <c r="E27" s="919"/>
    </row>
    <row r="28" spans="1:5" ht="15" hidden="1" customHeight="1" outlineLevel="1">
      <c r="A28" s="924" t="s">
        <v>469</v>
      </c>
      <c r="B28" s="1045"/>
      <c r="C28" s="959" t="str">
        <f>C.2ResearchLong</f>
        <v>blank</v>
      </c>
      <c r="D28" s="925"/>
      <c r="E28" s="919"/>
    </row>
    <row r="29" spans="1:5" s="915" customFormat="1" ht="15" hidden="1" customHeight="1" outlineLevel="1">
      <c r="A29" s="924" t="s">
        <v>473</v>
      </c>
      <c r="B29" s="1045"/>
      <c r="C29" s="959" t="str">
        <f>C.2Models</f>
        <v>DEQ and other states have developed similar plans that can be used as models for this rulemaking.</v>
      </c>
      <c r="D29" s="925"/>
      <c r="E29" s="919"/>
    </row>
    <row r="30" spans="1:5" ht="15" hidden="1" customHeight="1" outlineLevel="1">
      <c r="A30" s="924" t="s">
        <v>474</v>
      </c>
      <c r="B30" s="1045"/>
      <c r="C30" s="958" t="s">
        <v>475</v>
      </c>
      <c r="D30" s="925"/>
      <c r="E30" s="919"/>
    </row>
    <row r="31" spans="1:5" ht="15" customHeight="1" collapsed="1">
      <c r="A31" s="924" t="s">
        <v>144</v>
      </c>
      <c r="B31" s="1046">
        <f>C.2LandUseRating</f>
        <v>0</v>
      </c>
      <c r="C31" s="928" t="str">
        <f>C.2LandUse</f>
        <v>not involved</v>
      </c>
      <c r="D31" s="927"/>
      <c r="E31" s="919"/>
    </row>
    <row r="32" spans="1:5" ht="15" customHeight="1">
      <c r="A32" s="924" t="s">
        <v>447</v>
      </c>
      <c r="B32" s="1046">
        <f>C.2SIPRating</f>
        <v>7</v>
      </c>
      <c r="C32" s="928" t="str">
        <f>C.2StateImplementatonPlan</f>
        <v>involved</v>
      </c>
      <c r="D32" s="927"/>
      <c r="E32" s="919"/>
    </row>
    <row r="33" spans="1:10" ht="15" customHeight="1">
      <c r="A33" s="924" t="s">
        <v>130</v>
      </c>
      <c r="B33" s="1046">
        <f>C.2ComplianceRating</f>
        <v>4</v>
      </c>
      <c r="C33" s="928" t="str">
        <f>C.2Compliance</f>
        <v>reduced</v>
      </c>
      <c r="D33" s="927"/>
      <c r="E33" s="919"/>
    </row>
    <row r="34" spans="1:10" ht="15" customHeight="1">
      <c r="A34" s="924" t="s">
        <v>131</v>
      </c>
      <c r="B34" s="1046">
        <f>C.2PenaltyRating</f>
        <v>0</v>
      </c>
      <c r="C34" s="928" t="str">
        <f>C.2Penalties</f>
        <v>not involved</v>
      </c>
      <c r="D34" s="927"/>
      <c r="E34" s="919"/>
    </row>
    <row r="35" spans="1:10" ht="15" customHeight="1">
      <c r="A35" s="924" t="s">
        <v>459</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3</v>
      </c>
      <c r="C42" s="933" t="str">
        <f>'3Stakeholders'!AA10</f>
        <v>affects  under 100 currently regulated</v>
      </c>
      <c r="D42" s="901"/>
      <c r="E42" s="919"/>
    </row>
    <row r="43" spans="1:10">
      <c r="A43" s="931" t="s">
        <v>123</v>
      </c>
      <c r="B43" s="1037">
        <f>'3Stakeholders'!AB11</f>
        <v>0</v>
      </c>
      <c r="C43" s="933" t="str">
        <f>'3Stakeholders'!AA11</f>
        <v xml:space="preserve">not affected </v>
      </c>
      <c r="D43" s="901"/>
      <c r="E43" s="919"/>
    </row>
    <row r="44" spans="1:10">
      <c r="A44" s="931" t="s">
        <v>454</v>
      </c>
      <c r="B44" s="1037">
        <f>'3Stakeholders'!AB12</f>
        <v>0</v>
      </c>
      <c r="C44" s="933" t="str">
        <f>'3Stakeholders'!AA12</f>
        <v xml:space="preserve">not affected </v>
      </c>
      <c r="D44" s="901"/>
      <c r="E44" s="919"/>
    </row>
    <row r="45" spans="1:10">
      <c r="A45" s="931" t="s">
        <v>455</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2</v>
      </c>
      <c r="C49" s="932" t="str">
        <f>'3Stakeholders'!Y22</f>
        <v>minor interest</v>
      </c>
      <c r="D49" s="901"/>
      <c r="E49" s="919"/>
    </row>
    <row r="50" spans="1:5" ht="15.75" customHeight="1">
      <c r="A50" s="931" t="s">
        <v>337</v>
      </c>
      <c r="B50" s="1037">
        <f>'3Stakeholders'!X23</f>
        <v>2</v>
      </c>
      <c r="C50" s="932" t="str">
        <f>'3Stakeholders'!Y23</f>
        <v>minor interest</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4</v>
      </c>
      <c r="C52" s="932" t="str">
        <f>'3Stakeholders'!Y25</f>
        <v>moderate interest</v>
      </c>
      <c r="D52" s="901"/>
      <c r="E52" s="919"/>
    </row>
    <row r="53" spans="1:5" ht="15.75" customHeight="1">
      <c r="A53" s="931" t="s">
        <v>340</v>
      </c>
      <c r="B53" s="1037">
        <f>'3Stakeholders'!X26</f>
        <v>2</v>
      </c>
      <c r="C53" s="932" t="str">
        <f>'3Stakeholders'!Y26</f>
        <v>minor interest</v>
      </c>
      <c r="D53" s="901"/>
      <c r="E53" s="919"/>
    </row>
    <row r="54" spans="1:5">
      <c r="A54" s="931" t="s">
        <v>341</v>
      </c>
      <c r="B54" s="1037">
        <f>'3Stakeholders'!X27</f>
        <v>4</v>
      </c>
      <c r="C54" s="932" t="str">
        <f>'3Stakeholders'!Y27</f>
        <v>moderate interest</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476</v>
      </c>
      <c r="B59" s="1037"/>
      <c r="C59" s="935" t="str">
        <f>C.3CommiteeAppointment</f>
        <v>none</v>
      </c>
      <c r="D59" s="901"/>
      <c r="E59" s="919"/>
    </row>
    <row r="60" spans="1:5">
      <c r="A60" s="931" t="s">
        <v>478</v>
      </c>
      <c r="B60" s="1037"/>
      <c r="C60" s="935" t="str">
        <f>C.3CommitteeType</f>
        <v xml:space="preserve"> </v>
      </c>
      <c r="D60" s="900"/>
      <c r="E60" s="919"/>
    </row>
    <row r="61" spans="1:5">
      <c r="A61" s="931" t="s">
        <v>477</v>
      </c>
      <c r="B61" s="1037"/>
      <c r="C61" s="983">
        <f>C.3NoOfACMeetings</f>
        <v>0</v>
      </c>
      <c r="D61" s="900"/>
      <c r="E61" s="919"/>
    </row>
    <row r="62" spans="1:5" s="915" customFormat="1" hidden="1" outlineLevel="1">
      <c r="A62" s="931" t="s">
        <v>479</v>
      </c>
      <c r="B62" s="1037"/>
      <c r="C62" s="984" t="str">
        <f>C.3AppointmentStrategy</f>
        <v xml:space="preserve"> </v>
      </c>
      <c r="D62" s="900"/>
      <c r="E62" s="919"/>
    </row>
    <row r="63" spans="1:5" s="915" customFormat="1" hidden="1" outlineLevel="1">
      <c r="A63" s="931" t="s">
        <v>480</v>
      </c>
      <c r="B63" s="1037"/>
      <c r="C63" s="984" t="str">
        <f>C.3InputUse</f>
        <v xml:space="preserve"> </v>
      </c>
      <c r="D63" s="900"/>
      <c r="E63" s="919"/>
    </row>
    <row r="64" spans="1:5" s="915" customFormat="1" collapsed="1">
      <c r="A64" s="930" t="s">
        <v>482</v>
      </c>
      <c r="B64" s="1037"/>
      <c r="C64" s="988"/>
      <c r="D64" s="900"/>
      <c r="E64" s="919"/>
    </row>
    <row r="65" spans="1:5" s="915" customFormat="1">
      <c r="A65" s="931" t="s">
        <v>483</v>
      </c>
      <c r="B65" s="1037"/>
      <c r="C65" s="988" t="str">
        <f>C.3WhereInfoMtgsHeld</f>
        <v>Regional</v>
      </c>
      <c r="D65" s="900"/>
      <c r="E65" s="919"/>
    </row>
    <row r="66" spans="1:5" s="915" customFormat="1">
      <c r="A66" s="931" t="s">
        <v>477</v>
      </c>
      <c r="B66" s="1037"/>
      <c r="C66" s="988">
        <f>C.3NoHearings</f>
        <v>1</v>
      </c>
      <c r="D66" s="900"/>
      <c r="E66" s="919"/>
    </row>
    <row r="67" spans="1:5" hidden="1" outlineLevel="1">
      <c r="A67" s="931" t="s">
        <v>484</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1</v>
      </c>
      <c r="C69" s="932" t="str">
        <f>C.4RatingBlurb</f>
        <v>definitely not complex</v>
      </c>
      <c r="D69" s="938"/>
      <c r="E69" s="919"/>
    </row>
    <row r="70" spans="1:5" s="915" customFormat="1" ht="15.75" customHeight="1">
      <c r="A70" s="930" t="s">
        <v>450</v>
      </c>
      <c r="B70" s="1038">
        <f>C.4SeverityRating</f>
        <v>7</v>
      </c>
      <c r="C70" s="997" t="str">
        <f>C.4SeverityStmt</f>
        <v>medium to high</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7</v>
      </c>
      <c r="C72" s="997" t="str">
        <f t="shared" ref="C72:C78" si="0">IF(B72=0,"does not apply","true")</f>
        <v>true</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7</v>
      </c>
      <c r="C76" s="997" t="str">
        <f t="shared" si="0"/>
        <v>true</v>
      </c>
      <c r="D76" s="902"/>
      <c r="E76" s="919"/>
    </row>
    <row r="77" spans="1:5" s="915" customFormat="1" ht="15.75" customHeight="1">
      <c r="A77" s="999" t="str">
        <f>'4Program'!D15</f>
        <v>dependencies</v>
      </c>
      <c r="B77" s="1038">
        <f>'4Program'!Z15</f>
        <v>0</v>
      </c>
      <c r="C77" s="997" t="str">
        <f t="shared" si="0"/>
        <v>does not apply</v>
      </c>
      <c r="D77" s="902"/>
      <c r="E77" s="919"/>
    </row>
    <row r="78" spans="1:5" s="915" customFormat="1" ht="15.75" customHeight="1">
      <c r="A78" s="999" t="str">
        <f>'4Program'!D16</f>
        <v>Doing nothing will continue to require modeling for conformity analysis, which is expensive for Grants Pass</v>
      </c>
      <c r="B78" s="1038">
        <f>'4Program'!Z16</f>
        <v>7</v>
      </c>
      <c r="C78" s="997" t="str">
        <f t="shared" si="0"/>
        <v>true</v>
      </c>
      <c r="D78" s="902"/>
      <c r="E78" s="919"/>
    </row>
    <row r="79" spans="1:5" s="915" customFormat="1" ht="15.75" hidden="1" customHeight="1" outlineLevel="1">
      <c r="A79" s="930" t="s">
        <v>487</v>
      </c>
      <c r="B79" s="1038"/>
      <c r="C79" s="935"/>
      <c r="D79" s="902"/>
      <c r="E79" s="919"/>
    </row>
    <row r="80" spans="1:5" s="915" customFormat="1" ht="15.75" hidden="1" customHeight="1" outlineLevel="1">
      <c r="A80" s="999" t="s">
        <v>488</v>
      </c>
      <c r="B80" s="1038"/>
      <c r="C80" s="935" t="str">
        <f>C.4SubjectProgramConsiderations</f>
        <v xml:space="preserve"> </v>
      </c>
      <c r="D80" s="902"/>
      <c r="E80" s="919"/>
    </row>
    <row r="81" spans="1:10" s="915" customFormat="1" ht="16.5" hidden="1" customHeight="1" outlineLevel="1">
      <c r="A81" s="999" t="s">
        <v>489</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491</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1</v>
      </c>
      <c r="C86" s="940" t="str">
        <f>C.5RatingBlurb</f>
        <v>definitely not complex</v>
      </c>
      <c r="D86" s="904"/>
      <c r="E86" s="919"/>
      <c r="F86" s="160"/>
      <c r="G86" s="160"/>
      <c r="H86" s="160"/>
      <c r="I86" s="160"/>
      <c r="J86" s="160"/>
    </row>
    <row r="87" spans="1:10" ht="15" customHeight="1">
      <c r="A87" s="934" t="s">
        <v>450</v>
      </c>
      <c r="B87" s="1052">
        <f>C.5SeverityRating</f>
        <v>1</v>
      </c>
      <c r="C87" s="932" t="str">
        <f>'5Environmental'!Y6</f>
        <v>low</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453</v>
      </c>
      <c r="B95" s="1039" t="s">
        <v>0</v>
      </c>
      <c r="C95" s="935"/>
      <c r="D95" s="944"/>
      <c r="E95" s="919"/>
    </row>
    <row r="96" spans="1:10" ht="15.75" customHeight="1">
      <c r="A96" s="1005" t="s">
        <v>452</v>
      </c>
      <c r="B96" s="1040" t="s">
        <v>0</v>
      </c>
      <c r="C96" s="928" t="str">
        <f>'5Environmental'!X4</f>
        <v>address an environmental problem indirectly.</v>
      </c>
      <c r="D96" s="919"/>
      <c r="E96" s="919"/>
    </row>
    <row r="97" spans="1:10" ht="15" customHeight="1">
      <c r="A97" s="947" t="s">
        <v>365</v>
      </c>
      <c r="B97" s="1052">
        <f>IF(C97="No",0,5)</f>
        <v>5</v>
      </c>
      <c r="C97" s="983" t="str">
        <f>C.5epaStrategicPlan</f>
        <v>Yes</v>
      </c>
      <c r="D97" s="927"/>
      <c r="E97" s="919"/>
    </row>
    <row r="98" spans="1:10" ht="15" customHeight="1">
      <c r="A98" s="947" t="s">
        <v>451</v>
      </c>
      <c r="B98" s="1052">
        <f>IF(C98="No",0,5)</f>
        <v>0</v>
      </c>
      <c r="C98" s="983" t="str">
        <f>C.5NaturalStep</f>
        <v>No</v>
      </c>
      <c r="D98" s="927"/>
      <c r="E98" s="919"/>
    </row>
    <row r="99" spans="1:10" ht="57" hidden="1" outlineLevel="1">
      <c r="A99" s="934" t="s">
        <v>243</v>
      </c>
      <c r="B99" s="1041"/>
      <c r="C99" s="1011" t="str">
        <f>C.5Description</f>
        <v>The second maintenance plan renews the commitment to keep the CO and PM10 below the health standards.</v>
      </c>
      <c r="D99" s="904"/>
      <c r="E99" s="919"/>
    </row>
    <row r="100" spans="1:10" s="915" customFormat="1" collapsed="1">
      <c r="A100" s="934" t="s">
        <v>492</v>
      </c>
      <c r="B100" s="1041">
        <f>C.5DataUncertainties</f>
        <v>1</v>
      </c>
      <c r="C100" s="1011" t="str">
        <f>C.5DataUncertaintiesBlurb</f>
        <v>no data uncertainties</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6</v>
      </c>
      <c r="C102" s="932" t="str">
        <f>C.6RatingBlurb</f>
        <v>potential for moderate complexity</v>
      </c>
      <c r="D102" s="904"/>
      <c r="E102" s="919"/>
    </row>
    <row r="103" spans="1:10" s="915" customFormat="1" ht="16.5" customHeight="1">
      <c r="A103" s="943" t="s">
        <v>493</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-Q to 2015-Q1</v>
      </c>
      <c r="D104" s="904"/>
      <c r="E104" s="919"/>
    </row>
    <row r="105" spans="1:10" s="915" customFormat="1" ht="15" customHeight="1">
      <c r="A105" s="946" t="s">
        <v>54</v>
      </c>
      <c r="B105" s="1041">
        <f>'6Timing'!Z11</f>
        <v>0</v>
      </c>
      <c r="C105" s="988" t="str">
        <f>C.6SACStart.YrQtr</f>
        <v>-Q</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456</v>
      </c>
      <c r="B107" s="1041">
        <f>IF(C107="not involved",0,MAX('6Timing'!Z13,'6Timing'!AB13,'6Timing'!AC13))</f>
        <v>0</v>
      </c>
      <c r="C107" s="923" t="str">
        <f>'6Timing'!AD13</f>
        <v>2014-Q3 to 2014-Q4</v>
      </c>
      <c r="D107" s="904"/>
      <c r="E107" s="919"/>
    </row>
    <row r="108" spans="1:10" ht="15" customHeight="1">
      <c r="A108" s="946" t="s">
        <v>457</v>
      </c>
      <c r="B108" s="1041">
        <f>'6Timing'!Z14</f>
        <v>7</v>
      </c>
      <c r="C108" s="923" t="str">
        <f>C.6SEQC.YrQtr</f>
        <v>2015-Q1</v>
      </c>
      <c r="D108" s="904"/>
      <c r="E108" s="919"/>
    </row>
    <row r="109" spans="1:10">
      <c r="A109" s="946" t="s">
        <v>55</v>
      </c>
      <c r="B109" s="1041">
        <f>'6Timing'!Z15</f>
        <v>7</v>
      </c>
      <c r="C109" s="1016" t="str">
        <f>C.6SEffective.YrQtr</f>
        <v>2015-Q1</v>
      </c>
    </row>
    <row r="110" spans="1:10" ht="15.75" hidden="1" customHeight="1" outlineLevel="1">
      <c r="A110" s="943" t="s">
        <v>494</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1</v>
      </c>
      <c r="C112" s="932" t="str">
        <f>C.7RatingBlurb</f>
        <v>definitely not complex</v>
      </c>
      <c r="D112" s="904"/>
      <c r="E112" s="919"/>
    </row>
    <row r="113" spans="1:5" ht="15" customHeight="1">
      <c r="A113" s="934" t="s">
        <v>450</v>
      </c>
      <c r="B113" s="1046">
        <f>C.5SeverityRating</f>
        <v>1</v>
      </c>
      <c r="C113" s="932" t="str">
        <f>'7Financial'!Y7</f>
        <v>medium</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7</v>
      </c>
      <c r="C119" s="932" t="str">
        <f>IF('7Financial'!X15=FALSE,"does not apply",LOWER('7Financial'!X15))</f>
        <v>true</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458</v>
      </c>
      <c r="B121" s="1041"/>
      <c r="C121" s="932"/>
      <c r="D121" s="904"/>
      <c r="E121" s="919"/>
    </row>
    <row r="122" spans="1:5" ht="15.75" customHeight="1">
      <c r="A122" s="947" t="s">
        <v>345</v>
      </c>
      <c r="B122" s="1041" t="s">
        <v>0</v>
      </c>
      <c r="C122" s="942" t="str">
        <f>'7Financial'!E5</f>
        <v>general fund</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3</v>
      </c>
      <c r="C124" s="935" t="s">
        <v>515</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3</v>
      </c>
      <c r="C128" s="1056" t="str">
        <f>'7Financial'!Y28</f>
        <v>moderate cost decrease</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444</v>
      </c>
      <c r="B132" s="1051">
        <f>'7Financial'!X32</f>
        <v>0</v>
      </c>
      <c r="C132" s="1056" t="str">
        <f>'7Financial'!Y32</f>
        <v>no fiscal impacts</v>
      </c>
      <c r="D132" s="950"/>
      <c r="E132" s="919"/>
    </row>
    <row r="133" spans="1:10" ht="15.75" customHeight="1">
      <c r="A133" s="947" t="s">
        <v>454</v>
      </c>
      <c r="B133" s="1051">
        <f>'7Financial'!X33</f>
        <v>0</v>
      </c>
      <c r="C133" s="1056" t="str">
        <f>'7Financial'!Y33</f>
        <v>no fiscal impacts</v>
      </c>
      <c r="D133" s="950"/>
      <c r="E133" s="919"/>
    </row>
    <row r="134" spans="1:10" ht="15.75" customHeight="1">
      <c r="A134" s="947" t="s">
        <v>455</v>
      </c>
      <c r="B134" s="1051">
        <f>'7Financial'!X34</f>
        <v>0</v>
      </c>
      <c r="C134" s="1056" t="str">
        <f>'7Financial'!Y34</f>
        <v>no fiscal impacts</v>
      </c>
      <c r="D134" s="950"/>
      <c r="E134" s="919"/>
    </row>
    <row r="135" spans="1:10" s="915" customFormat="1" ht="15.75" hidden="1" customHeight="1" outlineLevel="1">
      <c r="A135" s="934" t="s">
        <v>440</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514</v>
      </c>
      <c r="B137" s="1051"/>
      <c r="C137" s="1054" t="str">
        <f>'7Financial'!G23</f>
        <v xml:space="preserve">ORS </v>
      </c>
      <c r="D137" s="951"/>
      <c r="E137" s="919"/>
    </row>
    <row r="138" spans="1:10" s="915" customFormat="1" ht="15.75" customHeight="1">
      <c r="A138" s="999" t="s">
        <v>512</v>
      </c>
      <c r="B138" s="1051">
        <f>'7Financial'!AA19</f>
        <v>0</v>
      </c>
      <c r="C138" s="932" t="str">
        <f>'7Financial'!AB18</f>
        <v>does not apply</v>
      </c>
      <c r="D138" s="951"/>
      <c r="E138" s="919"/>
    </row>
    <row r="139" spans="1:10" s="915" customFormat="1" ht="15.75" customHeight="1">
      <c r="A139" s="1055" t="s">
        <v>507</v>
      </c>
      <c r="B139" s="1051">
        <f>IF(C139=TRUE,7,0)</f>
        <v>0</v>
      </c>
      <c r="C139" s="932" t="str">
        <f>IF('7Financial'!X19=FALSE,"does not apply",LOWER('7Financial'!X19))</f>
        <v>does not apply</v>
      </c>
      <c r="D139" s="951"/>
      <c r="E139" s="919"/>
    </row>
    <row r="140" spans="1:10" s="915" customFormat="1" ht="15.75" customHeight="1">
      <c r="A140" s="1055" t="s">
        <v>508</v>
      </c>
      <c r="B140" s="1051">
        <f t="shared" ref="B140:B141" si="1">IF(C140=TRUE,7,0)</f>
        <v>0</v>
      </c>
      <c r="C140" s="932" t="str">
        <f>IF('7Financial'!X20=FALSE,"does not apply",LOWER('7Financial'!X20))</f>
        <v>does not apply</v>
      </c>
      <c r="D140" s="951"/>
      <c r="E140" s="919"/>
    </row>
    <row r="141" spans="1:10" s="915" customFormat="1" ht="15.75" customHeight="1">
      <c r="A141" s="1055" t="s">
        <v>509</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516</v>
      </c>
      <c r="B143" s="1051"/>
      <c r="C143" s="1057" t="str">
        <f>'7Financial'!D47</f>
        <v xml:space="preserve"> </v>
      </c>
      <c r="D143" s="952"/>
      <c r="E143" s="919"/>
    </row>
    <row r="144" spans="1:10" s="819" customFormat="1" ht="30" customHeight="1" collapsed="1">
      <c r="A144" s="1058" t="s">
        <v>517</v>
      </c>
      <c r="B144" s="1051"/>
      <c r="C144" s="902"/>
      <c r="D144" s="905"/>
      <c r="E144" s="919"/>
      <c r="F144" s="160"/>
      <c r="G144" s="160"/>
      <c r="H144" s="160"/>
      <c r="I144" s="160"/>
      <c r="J144" s="160"/>
    </row>
    <row r="145" spans="1:5" ht="16.5" customHeight="1">
      <c r="A145" s="934" t="s">
        <v>239</v>
      </c>
      <c r="B145" s="1051">
        <f>C.8ComplexityRating</f>
        <v>1</v>
      </c>
      <c r="C145" s="932" t="str">
        <f>C.8ComplexityBlurb</f>
        <v>definitely not complex</v>
      </c>
      <c r="D145" s="904"/>
      <c r="E145" s="919"/>
    </row>
    <row r="146" spans="1:5" ht="15" customHeight="1">
      <c r="A146" s="934" t="s">
        <v>450</v>
      </c>
      <c r="B146" s="1051">
        <f>C.8SeverityRating</f>
        <v>1</v>
      </c>
      <c r="C146" s="942" t="str">
        <f>'8Legal'!Y14</f>
        <v>low</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518</v>
      </c>
      <c r="B154" s="1041"/>
      <c r="C154" s="942"/>
      <c r="D154" s="904"/>
      <c r="E154" s="919"/>
    </row>
    <row r="155" spans="1:5" s="915" customFormat="1" ht="15" hidden="1" customHeight="1" outlineLevel="1">
      <c r="A155" s="1007" t="s">
        <v>519</v>
      </c>
      <c r="B155" s="1041"/>
      <c r="C155" s="959" t="str">
        <f>'8Legal'!D5</f>
        <v>SIP</v>
      </c>
      <c r="D155" s="904"/>
      <c r="E155" s="919"/>
    </row>
    <row r="156" spans="1:5" s="915" customFormat="1" ht="15" hidden="1" customHeight="1" outlineLevel="1">
      <c r="A156" s="1007" t="s">
        <v>520</v>
      </c>
      <c r="B156" s="1041"/>
      <c r="C156" s="959" t="str">
        <f>'8Legal'!D6</f>
        <v xml:space="preserve"> </v>
      </c>
      <c r="D156" s="904"/>
      <c r="E156" s="919"/>
    </row>
    <row r="157" spans="1:5" s="915" customFormat="1" ht="15" hidden="1" customHeight="1" outlineLevel="1">
      <c r="A157" s="1007" t="s">
        <v>523</v>
      </c>
      <c r="B157" s="1041"/>
      <c r="C157" s="959" t="str">
        <f>'8Legal'!D8</f>
        <v>CAA</v>
      </c>
      <c r="D157" s="904"/>
      <c r="E157" s="919"/>
    </row>
    <row r="158" spans="1:5" s="915" customFormat="1" ht="15" hidden="1" customHeight="1" outlineLevel="1">
      <c r="A158" s="1007" t="s">
        <v>524</v>
      </c>
      <c r="B158" s="1041"/>
      <c r="C158" s="959" t="str">
        <f>'8Legal'!D9</f>
        <v xml:space="preserve"> </v>
      </c>
      <c r="D158" s="904"/>
      <c r="E158" s="919"/>
    </row>
    <row r="159" spans="1:5" s="915" customFormat="1" ht="15" hidden="1" customHeight="1" outlineLevel="1">
      <c r="A159" s="1007" t="s">
        <v>521</v>
      </c>
      <c r="B159" s="1041"/>
      <c r="C159" s="959" t="str">
        <f>'8Legal'!D11</f>
        <v xml:space="preserve"> </v>
      </c>
      <c r="D159" s="904"/>
      <c r="E159" s="919"/>
    </row>
    <row r="160" spans="1:5" s="915" customFormat="1" ht="15" hidden="1" customHeight="1" outlineLevel="1">
      <c r="A160" s="1007" t="s">
        <v>522</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1</v>
      </c>
      <c r="C162" s="932" t="str">
        <f>C.9RatingBlurb</f>
        <v>definitely not complex</v>
      </c>
      <c r="D162" s="904"/>
      <c r="E162" s="919"/>
    </row>
    <row r="163" spans="1:10" s="915" customFormat="1" ht="16.5" customHeight="1">
      <c r="A163" s="934" t="s">
        <v>537</v>
      </c>
      <c r="B163" s="1041">
        <f>C.9Innovation</f>
        <v>1</v>
      </c>
      <c r="C163" s="932" t="str">
        <f>C.9InnovationBlurb</f>
        <v>low</v>
      </c>
      <c r="D163" s="904"/>
      <c r="E163" s="919"/>
    </row>
    <row r="164" spans="1:10" s="915" customFormat="1" ht="16.5" customHeight="1">
      <c r="A164" s="934" t="s">
        <v>536</v>
      </c>
      <c r="B164" s="1041">
        <f>C.9Infrastructure</f>
        <v>1</v>
      </c>
      <c r="C164" s="1054" t="str">
        <f>C.9InfrastructureBlurb</f>
        <v>low</v>
      </c>
      <c r="D164" s="904"/>
      <c r="E164" s="919"/>
    </row>
    <row r="165" spans="1:10" s="915" customFormat="1" ht="16.5" hidden="1" customHeight="1" outlineLevel="1">
      <c r="A165" s="934" t="s">
        <v>516</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1</v>
      </c>
      <c r="C167" s="940" t="str">
        <f>C.10RatingBlurb</f>
        <v>definitely not complex</v>
      </c>
      <c r="D167" s="904"/>
      <c r="E167" s="919"/>
      <c r="F167" s="160"/>
      <c r="G167" s="160"/>
      <c r="H167" s="160"/>
      <c r="I167" s="160"/>
      <c r="J167" s="160"/>
    </row>
    <row r="168" spans="1:10" s="247" customFormat="1" ht="16.5" customHeight="1">
      <c r="A168" s="954" t="s">
        <v>538</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t="str">
        <f>C.10Description</f>
        <v>DEQ collaborating with EPA on plan development</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1</v>
      </c>
      <c r="C171" s="940" t="str">
        <f>C.11RatingBlurb</f>
        <v>definitely not complex</v>
      </c>
      <c r="D171" s="904"/>
      <c r="E171" s="919"/>
      <c r="F171" s="160"/>
      <c r="G171" s="160"/>
      <c r="H171" s="160"/>
      <c r="I171" s="160"/>
      <c r="J171" s="160"/>
    </row>
    <row r="172" spans="1:10" s="247" customFormat="1" ht="15.75" hidden="1" customHeight="1" outlineLevel="1">
      <c r="A172" s="954" t="s">
        <v>243</v>
      </c>
      <c r="B172" s="1041"/>
      <c r="C172" s="940" t="str">
        <f>C.11Description</f>
        <v>Local government strongly supports eliminating modeling requirement for conformity analysis</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1</v>
      </c>
      <c r="C174" s="940" t="str">
        <f>C.12RatingBlurb</f>
        <v>definitely not complex</v>
      </c>
      <c r="D174" s="904"/>
      <c r="E174" s="919"/>
      <c r="F174" s="160"/>
      <c r="G174" s="160"/>
      <c r="H174" s="160"/>
      <c r="I174" s="160"/>
      <c r="J174" s="160"/>
    </row>
    <row r="175" spans="1:10" ht="15" hidden="1" customHeight="1" outlineLevel="1">
      <c r="A175" s="934" t="s">
        <v>243</v>
      </c>
      <c r="B175" s="1040"/>
      <c r="C175" s="959" t="str">
        <f>C.12Description</f>
        <v>Continuation of existing standards. Implementation eliminates modeling requirements for local government to perform conformity analysis</v>
      </c>
      <c r="D175" s="898"/>
      <c r="E175" s="919"/>
    </row>
    <row r="176" spans="1:10" s="915" customFormat="1" ht="15" customHeight="1" collapsed="1">
      <c r="A176" s="934"/>
      <c r="B176" s="1040"/>
      <c r="C176" s="959"/>
      <c r="D176" s="898"/>
      <c r="E176" s="919"/>
    </row>
    <row r="177" spans="1:10" s="909" customFormat="1" ht="30" hidden="1" customHeight="1" outlineLevel="1">
      <c r="A177" s="1060" t="s">
        <v>525</v>
      </c>
      <c r="B177" s="1053"/>
      <c r="C177" s="942"/>
      <c r="D177" s="908"/>
      <c r="E177" s="919"/>
      <c r="F177" s="915"/>
      <c r="G177" s="915"/>
      <c r="H177" s="915"/>
      <c r="I177" s="915"/>
      <c r="J177" s="915"/>
    </row>
    <row r="178" spans="1:10" hidden="1" outlineLevel="1">
      <c r="A178" s="1059" t="s">
        <v>526</v>
      </c>
      <c r="B178" s="1041" t="str">
        <f>C.4Message</f>
        <v xml:space="preserve"> </v>
      </c>
      <c r="C178" s="1061" t="s">
        <v>0</v>
      </c>
      <c r="D178" s="898"/>
      <c r="E178" s="919"/>
    </row>
    <row r="179" spans="1:10" hidden="1" outlineLevel="1">
      <c r="A179" s="1059" t="s">
        <v>527</v>
      </c>
      <c r="B179" s="1040" t="str">
        <f>C.5Message</f>
        <v xml:space="preserve"> </v>
      </c>
      <c r="C179" s="902"/>
      <c r="D179" s="898"/>
      <c r="E179" s="919"/>
    </row>
    <row r="180" spans="1:10" hidden="1" outlineLevel="1">
      <c r="A180" s="1059" t="s">
        <v>528</v>
      </c>
      <c r="B180" s="1040" t="str">
        <f>C.6Message</f>
        <v xml:space="preserve"> </v>
      </c>
      <c r="C180" s="902"/>
      <c r="D180" s="898"/>
      <c r="E180" s="919"/>
    </row>
    <row r="181" spans="1:10" hidden="1" outlineLevel="1">
      <c r="A181" s="1059" t="s">
        <v>529</v>
      </c>
      <c r="B181" s="1040" t="str">
        <f>C.7Message</f>
        <v xml:space="preserve"> </v>
      </c>
      <c r="C181" s="902"/>
      <c r="D181" s="898"/>
      <c r="E181" s="919"/>
    </row>
    <row r="182" spans="1:10" s="915" customFormat="1" hidden="1" outlineLevel="1">
      <c r="A182" s="1059" t="s">
        <v>530</v>
      </c>
      <c r="B182" s="1040" t="str">
        <f>C.8Message</f>
        <v xml:space="preserve"> </v>
      </c>
      <c r="C182" s="902"/>
      <c r="D182" s="898"/>
      <c r="E182" s="919"/>
    </row>
    <row r="183" spans="1:10" s="915" customFormat="1" hidden="1" outlineLevel="1">
      <c r="A183" s="1059" t="s">
        <v>531</v>
      </c>
      <c r="B183" s="1040" t="str">
        <f>C.9Message</f>
        <v xml:space="preserve"> </v>
      </c>
      <c r="C183" s="902"/>
      <c r="D183" s="898"/>
      <c r="E183" s="919"/>
    </row>
    <row r="184" spans="1:10" s="915" customFormat="1" hidden="1" outlineLevel="1">
      <c r="A184" s="1059" t="s">
        <v>532</v>
      </c>
      <c r="B184" s="1040" t="str">
        <f>C.10Message</f>
        <v xml:space="preserve"> </v>
      </c>
      <c r="C184" s="902"/>
      <c r="D184" s="898"/>
      <c r="E184" s="919"/>
    </row>
    <row r="185" spans="1:10" hidden="1" outlineLevel="1">
      <c r="A185" s="1059" t="s">
        <v>533</v>
      </c>
      <c r="B185" s="1040" t="str">
        <f>C.11Message</f>
        <v xml:space="preserve"> </v>
      </c>
      <c r="C185" s="902"/>
      <c r="D185" s="898"/>
      <c r="E185" s="919"/>
    </row>
    <row r="186" spans="1:10" hidden="1" outlineLevel="1">
      <c r="A186" s="1059" t="s">
        <v>534</v>
      </c>
      <c r="B186" s="1040" t="str">
        <f>C.12Message</f>
        <v xml:space="preserve"> </v>
      </c>
      <c r="C186" s="902"/>
      <c r="D186" s="898"/>
      <c r="E186" s="919"/>
    </row>
    <row r="187" spans="1:10" ht="18" hidden="1" outlineLevel="1">
      <c r="A187" s="1060" t="s">
        <v>535</v>
      </c>
      <c r="B187" s="1040"/>
      <c r="C187" s="902"/>
      <c r="D187" s="898"/>
      <c r="E187" s="919"/>
    </row>
    <row r="188" spans="1:10" hidden="1" outlineLevel="1">
      <c r="A188" s="1059" t="s">
        <v>526</v>
      </c>
      <c r="B188" s="1040" t="str">
        <f>C.4Charter</f>
        <v xml:space="preserve"> </v>
      </c>
      <c r="C188" s="902"/>
      <c r="D188" s="898"/>
      <c r="E188" s="919"/>
    </row>
    <row r="189" spans="1:10" hidden="1" outlineLevel="1">
      <c r="A189" s="1059" t="s">
        <v>527</v>
      </c>
      <c r="B189" s="1040" t="str">
        <f>C.5Charter</f>
        <v xml:space="preserve"> </v>
      </c>
      <c r="C189" s="902"/>
      <c r="D189" s="898"/>
      <c r="E189" s="919"/>
    </row>
    <row r="190" spans="1:10" hidden="1" outlineLevel="1">
      <c r="A190" s="1059" t="s">
        <v>528</v>
      </c>
      <c r="B190" s="1040" t="str">
        <f>C.6Charter</f>
        <v xml:space="preserve"> </v>
      </c>
      <c r="C190" s="902"/>
      <c r="D190" s="920"/>
      <c r="E190" s="919"/>
    </row>
    <row r="191" spans="1:10" hidden="1" outlineLevel="1">
      <c r="A191" s="1059" t="s">
        <v>529</v>
      </c>
      <c r="B191" s="1040" t="str">
        <f>C.7Charter</f>
        <v xml:space="preserve"> </v>
      </c>
      <c r="C191" s="902"/>
      <c r="D191" s="920"/>
      <c r="E191" s="919"/>
    </row>
    <row r="192" spans="1:10" hidden="1" outlineLevel="1">
      <c r="A192" s="1059" t="s">
        <v>530</v>
      </c>
      <c r="B192" s="1040" t="str">
        <f>C.8Charter</f>
        <v xml:space="preserve"> </v>
      </c>
      <c r="C192" s="902"/>
      <c r="D192" s="920"/>
      <c r="E192" s="919"/>
    </row>
    <row r="193" spans="1:5" hidden="1" outlineLevel="1">
      <c r="A193" s="1059" t="s">
        <v>531</v>
      </c>
      <c r="B193" s="1040" t="str">
        <f>C.9Charter</f>
        <v xml:space="preserve"> </v>
      </c>
      <c r="C193" s="902"/>
      <c r="D193" s="920"/>
      <c r="E193" s="919"/>
    </row>
    <row r="194" spans="1:5" hidden="1" outlineLevel="1">
      <c r="A194" s="1059" t="s">
        <v>532</v>
      </c>
      <c r="B194" s="1040" t="str">
        <f>C.10Charter</f>
        <v xml:space="preserve"> </v>
      </c>
      <c r="C194" s="902"/>
      <c r="D194" s="920"/>
      <c r="E194" s="919"/>
    </row>
    <row r="195" spans="1:5" hidden="1" outlineLevel="1">
      <c r="A195" s="1059" t="s">
        <v>533</v>
      </c>
      <c r="B195" s="1040" t="str">
        <f>C.11Charter</f>
        <v xml:space="preserve"> </v>
      </c>
      <c r="C195" s="902"/>
      <c r="D195" s="920"/>
      <c r="E195" s="919"/>
    </row>
    <row r="196" spans="1:5" hidden="1" outlineLevel="1">
      <c r="A196" s="1059" t="s">
        <v>534</v>
      </c>
      <c r="B196" s="1040" t="str">
        <f>C.12Charter</f>
        <v xml:space="preserve"> </v>
      </c>
      <c r="C196" s="902"/>
      <c r="D196" s="920"/>
      <c r="E196" s="919"/>
    </row>
    <row r="197" spans="1:5" s="915" customFormat="1" ht="18" hidden="1" outlineLevel="1">
      <c r="A197" s="1060" t="s">
        <v>99</v>
      </c>
      <c r="B197" s="1040"/>
      <c r="C197" s="902"/>
      <c r="D197" s="898"/>
      <c r="E197" s="919"/>
    </row>
    <row r="198" spans="1:5" s="915" customFormat="1" hidden="1" outlineLevel="1">
      <c r="A198" s="1059" t="s">
        <v>526</v>
      </c>
      <c r="B198" s="1040" t="str">
        <f>C.4Proposal</f>
        <v>Y</v>
      </c>
      <c r="C198" s="902"/>
      <c r="D198" s="898"/>
      <c r="E198" s="919"/>
    </row>
    <row r="199" spans="1:5" s="915" customFormat="1" hidden="1" outlineLevel="1">
      <c r="A199" s="1059" t="s">
        <v>527</v>
      </c>
      <c r="B199" s="1040" t="str">
        <f>C.5Proposal</f>
        <v>Y</v>
      </c>
      <c r="C199" s="902"/>
      <c r="D199" s="898"/>
      <c r="E199" s="919"/>
    </row>
    <row r="200" spans="1:5" s="915" customFormat="1" hidden="1" outlineLevel="1">
      <c r="A200" s="1059" t="s">
        <v>528</v>
      </c>
      <c r="B200" s="1040" t="str">
        <f>C.6Proposal</f>
        <v xml:space="preserve"> </v>
      </c>
      <c r="C200" s="902"/>
      <c r="D200" s="920"/>
      <c r="E200" s="919"/>
    </row>
    <row r="201" spans="1:5" s="915" customFormat="1" hidden="1" outlineLevel="1">
      <c r="A201" s="1059" t="s">
        <v>529</v>
      </c>
      <c r="B201" s="1040" t="str">
        <f>C.7Proposal</f>
        <v xml:space="preserve"> </v>
      </c>
      <c r="C201" s="902"/>
      <c r="D201" s="920"/>
      <c r="E201" s="919"/>
    </row>
    <row r="202" spans="1:5" s="915" customFormat="1" hidden="1" outlineLevel="1">
      <c r="A202" s="1059" t="s">
        <v>530</v>
      </c>
      <c r="B202" s="1040" t="str">
        <f>C.8Proposal</f>
        <v xml:space="preserve"> </v>
      </c>
      <c r="C202" s="902"/>
      <c r="D202" s="920"/>
      <c r="E202" s="919"/>
    </row>
    <row r="203" spans="1:5" s="915" customFormat="1" hidden="1" outlineLevel="1">
      <c r="A203" s="1059" t="s">
        <v>531</v>
      </c>
      <c r="B203" s="1040" t="str">
        <f>C.9Proposal</f>
        <v xml:space="preserve"> </v>
      </c>
      <c r="C203" s="902"/>
      <c r="D203" s="920"/>
      <c r="E203" s="919"/>
    </row>
    <row r="204" spans="1:5" s="915" customFormat="1" hidden="1" outlineLevel="1">
      <c r="A204" s="1059" t="s">
        <v>532</v>
      </c>
      <c r="B204" s="1040" t="str">
        <f>C.10Proposal</f>
        <v xml:space="preserve"> </v>
      </c>
      <c r="C204" s="902"/>
      <c r="D204" s="920"/>
      <c r="E204" s="919"/>
    </row>
    <row r="205" spans="1:5" s="915" customFormat="1" hidden="1" outlineLevel="1">
      <c r="A205" s="1059" t="s">
        <v>533</v>
      </c>
      <c r="B205" s="1040" t="str">
        <f>C.11Proposal</f>
        <v xml:space="preserve"> </v>
      </c>
      <c r="C205" s="902"/>
      <c r="D205" s="920"/>
      <c r="E205" s="919"/>
    </row>
    <row r="206" spans="1:5" s="915" customFormat="1" hidden="1" outlineLevel="1">
      <c r="A206" s="1059" t="s">
        <v>534</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120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D18" sqref="D18:F18"/>
    </sheetView>
  </sheetViews>
  <sheetFormatPr defaultRowHeight="15.75"/>
  <cols>
    <col min="1" max="1" width="13.625" style="593" customWidth="1"/>
    <col min="2" max="2" width="2.625" customWidth="1"/>
    <col min="3" max="3" width="3.375" customWidth="1"/>
    <col min="4" max="4" width="13.75" customWidth="1"/>
    <col min="5" max="5" width="38.125" customWidth="1"/>
    <col min="6" max="6" width="22.125" customWidth="1"/>
    <col min="7" max="7" width="3.125" customWidth="1"/>
    <col min="8" max="8" width="2.625" style="160" customWidth="1"/>
    <col min="9" max="9" width="39.375" style="160" customWidth="1"/>
    <col min="10" max="35" width="9" style="160"/>
  </cols>
  <sheetData>
    <row r="1" spans="1:35" s="248" customFormat="1" ht="21" customHeight="1">
      <c r="A1" s="1077" t="s">
        <v>415</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7" t="s">
        <v>402</v>
      </c>
      <c r="E2" s="1217"/>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6"/>
      <c r="E4" s="1216"/>
      <c r="F4" s="1216"/>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65</v>
      </c>
      <c r="E6" s="838" t="s">
        <v>78</v>
      </c>
      <c r="F6" s="837" t="s">
        <v>84</v>
      </c>
      <c r="G6" s="362"/>
      <c r="H6" s="561" t="s">
        <v>0</v>
      </c>
      <c r="I6" s="385" t="s">
        <v>956</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956</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956</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956</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956</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956</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956</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956</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956</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23" t="s">
        <v>486</v>
      </c>
      <c r="E15" s="1223"/>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13"/>
      <c r="E16" s="1214"/>
      <c r="F16" s="1215"/>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400</v>
      </c>
      <c r="B18" s="559"/>
      <c r="C18" s="360"/>
      <c r="D18" s="1218"/>
      <c r="E18" s="1219"/>
      <c r="F18" s="1220"/>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21">
        <f ca="1">TODAY()</f>
        <v>41810</v>
      </c>
      <c r="F19" s="1221"/>
      <c r="G19" s="1222"/>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zoomScaleNormal="100" workbookViewId="0">
      <selection activeCell="D5" sqref="D5:T5"/>
    </sheetView>
  </sheetViews>
  <sheetFormatPr defaultRowHeight="14.25" outlineLevelCol="1"/>
  <cols>
    <col min="1" max="1" width="13.75" style="598" customWidth="1"/>
    <col min="2" max="2" width="2.625" customWidth="1"/>
    <col min="3" max="3" width="2.75" customWidth="1"/>
    <col min="4" max="4" width="12.75" customWidth="1"/>
    <col min="5" max="5" width="26.125" customWidth="1"/>
    <col min="6" max="6" width="4.625" customWidth="1"/>
    <col min="7" max="7" width="6.375" customWidth="1"/>
    <col min="10" max="10" width="3.125" customWidth="1"/>
    <col min="11" max="13" width="1.625" customWidth="1"/>
    <col min="14" max="14" width="1.875" customWidth="1"/>
    <col min="15" max="20" width="1.625" customWidth="1"/>
    <col min="21" max="21" width="2.125" customWidth="1"/>
    <col min="22" max="22" width="2.625" style="160" customWidth="1"/>
    <col min="23" max="23" width="30.625" style="160" customWidth="1"/>
    <col min="24" max="24" width="9" style="160" hidden="1" customWidth="1" outlineLevel="1"/>
    <col min="25" max="25" width="36.75" hidden="1" customWidth="1" outlineLevel="1"/>
    <col min="26" max="26" width="11.375" hidden="1" customWidth="1" outlineLevel="1"/>
    <col min="27" max="27" width="11.375" style="611" hidden="1" customWidth="1" outlineLevel="1"/>
    <col min="28" max="28" width="9" style="160" collapsed="1"/>
    <col min="29" max="46" width="9" style="160"/>
  </cols>
  <sheetData>
    <row r="1" spans="1:46" ht="19.5" customHeight="1">
      <c r="A1" s="1077" t="s">
        <v>415</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25" t="s">
        <v>1106</v>
      </c>
      <c r="G2" s="1225"/>
      <c r="H2" s="1225"/>
      <c r="I2" s="1225"/>
      <c r="J2" s="1225"/>
      <c r="K2" s="1225"/>
      <c r="L2" s="1225"/>
      <c r="M2" s="1225"/>
      <c r="N2" s="1225"/>
      <c r="O2" s="1225"/>
      <c r="P2" s="1225"/>
      <c r="Q2" s="1225"/>
      <c r="R2" s="1225"/>
      <c r="S2" s="1225"/>
      <c r="T2" s="1225"/>
      <c r="U2" s="200"/>
      <c r="V2" s="559"/>
      <c r="W2" s="1257"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57"/>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24" t="s">
        <v>1023</v>
      </c>
      <c r="B4" s="559"/>
      <c r="C4" s="388" t="s">
        <v>0</v>
      </c>
      <c r="D4" s="1233" t="s">
        <v>214</v>
      </c>
      <c r="E4" s="1233"/>
      <c r="F4" s="1233"/>
      <c r="G4" s="1233"/>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10.25" customHeight="1">
      <c r="A5" s="1224"/>
      <c r="B5" s="559"/>
      <c r="C5" s="279"/>
      <c r="D5" s="1240" t="s">
        <v>1119</v>
      </c>
      <c r="E5" s="1241"/>
      <c r="F5" s="1241"/>
      <c r="G5" s="1241"/>
      <c r="H5" s="1241"/>
      <c r="I5" s="1241"/>
      <c r="J5" s="1241"/>
      <c r="K5" s="1241"/>
      <c r="L5" s="1241"/>
      <c r="M5" s="1241"/>
      <c r="N5" s="1241"/>
      <c r="O5" s="1241"/>
      <c r="P5" s="1241"/>
      <c r="Q5" s="1241"/>
      <c r="R5" s="1241"/>
      <c r="S5" s="1241"/>
      <c r="T5" s="1242"/>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24"/>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61" t="s">
        <v>373</v>
      </c>
      <c r="G7" s="1262"/>
      <c r="H7" s="1266" t="s">
        <v>210</v>
      </c>
      <c r="I7" s="1267"/>
      <c r="J7" s="1268"/>
      <c r="K7" s="1235" t="s">
        <v>1102</v>
      </c>
      <c r="L7" s="1236"/>
      <c r="M7" s="1236"/>
      <c r="N7" s="1236"/>
      <c r="O7" s="1236"/>
      <c r="P7" s="1236"/>
      <c r="Q7" s="1236"/>
      <c r="R7" s="1236"/>
      <c r="S7" s="1236"/>
      <c r="T7" s="1237"/>
      <c r="U7" s="205"/>
      <c r="V7" s="559"/>
      <c r="W7" s="313" t="s">
        <v>965</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65" t="s">
        <v>420</v>
      </c>
      <c r="E8" s="1265"/>
      <c r="F8" s="1265"/>
      <c r="G8" s="1265"/>
      <c r="H8" s="1265"/>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34" t="s">
        <v>370</v>
      </c>
      <c r="F9" s="1234"/>
      <c r="G9" s="1234"/>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38" t="s">
        <v>382</v>
      </c>
      <c r="F10" s="1238"/>
      <c r="G10" s="1239"/>
      <c r="H10" s="1243" t="s">
        <v>9</v>
      </c>
      <c r="I10" s="1243"/>
      <c r="J10" s="225"/>
      <c r="K10" s="438">
        <v>1</v>
      </c>
      <c r="L10" s="439">
        <v>2</v>
      </c>
      <c r="M10" s="440">
        <v>3</v>
      </c>
      <c r="N10" s="441">
        <v>4</v>
      </c>
      <c r="O10" s="442">
        <v>5</v>
      </c>
      <c r="P10" s="443">
        <v>6</v>
      </c>
      <c r="Q10" s="444">
        <v>7</v>
      </c>
      <c r="R10" s="445">
        <v>8</v>
      </c>
      <c r="S10" s="446">
        <v>9</v>
      </c>
      <c r="T10" s="447">
        <v>10</v>
      </c>
      <c r="U10" s="292"/>
      <c r="V10" s="559"/>
      <c r="W10" s="313" t="s">
        <v>641</v>
      </c>
      <c r="X10" s="52">
        <f t="shared" ref="X10:X17" si="0">VLOOKUP($H10,C.VL_ScopeOfRule,2,FALSE)</f>
        <v>3</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38" t="s">
        <v>383</v>
      </c>
      <c r="F11" s="1238"/>
      <c r="G11" s="1239"/>
      <c r="H11" s="1243" t="s">
        <v>8</v>
      </c>
      <c r="I11" s="1243"/>
      <c r="J11" s="225"/>
      <c r="K11" s="438">
        <v>1</v>
      </c>
      <c r="L11" s="439">
        <v>2</v>
      </c>
      <c r="M11" s="440">
        <v>3</v>
      </c>
      <c r="N11" s="441">
        <v>4</v>
      </c>
      <c r="O11" s="442">
        <v>5</v>
      </c>
      <c r="P11" s="443">
        <v>6</v>
      </c>
      <c r="Q11" s="444">
        <v>7</v>
      </c>
      <c r="R11" s="445">
        <v>8</v>
      </c>
      <c r="S11" s="446">
        <v>9</v>
      </c>
      <c r="T11" s="447">
        <v>10</v>
      </c>
      <c r="U11" s="292"/>
      <c r="V11" s="559"/>
      <c r="W11" s="313" t="s">
        <v>641</v>
      </c>
      <c r="X11" s="52">
        <f t="shared" si="0"/>
        <v>1</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38" t="s">
        <v>384</v>
      </c>
      <c r="F12" s="1238"/>
      <c r="G12" s="1239"/>
      <c r="H12" s="1243" t="s">
        <v>8</v>
      </c>
      <c r="I12" s="1243"/>
      <c r="J12" s="225"/>
      <c r="K12" s="448">
        <v>1</v>
      </c>
      <c r="L12" s="449">
        <v>2</v>
      </c>
      <c r="M12" s="450">
        <v>3</v>
      </c>
      <c r="N12" s="451">
        <v>4</v>
      </c>
      <c r="O12" s="452">
        <v>5</v>
      </c>
      <c r="P12" s="453">
        <v>6</v>
      </c>
      <c r="Q12" s="454">
        <v>7</v>
      </c>
      <c r="R12" s="455">
        <v>8</v>
      </c>
      <c r="S12" s="456">
        <v>9</v>
      </c>
      <c r="T12" s="457">
        <v>10</v>
      </c>
      <c r="U12" s="292"/>
      <c r="V12" s="559"/>
      <c r="W12" s="313" t="s">
        <v>641</v>
      </c>
      <c r="X12" s="52">
        <f t="shared" si="0"/>
        <v>1</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38" t="s">
        <v>388</v>
      </c>
      <c r="F13" s="1238"/>
      <c r="G13" s="1239"/>
      <c r="H13" s="1243" t="s">
        <v>8</v>
      </c>
      <c r="I13" s="1243"/>
      <c r="J13" s="225"/>
      <c r="K13" s="438">
        <v>1</v>
      </c>
      <c r="L13" s="439">
        <v>2</v>
      </c>
      <c r="M13" s="440">
        <v>3</v>
      </c>
      <c r="N13" s="441">
        <v>4</v>
      </c>
      <c r="O13" s="442">
        <v>5</v>
      </c>
      <c r="P13" s="443">
        <v>6</v>
      </c>
      <c r="Q13" s="444">
        <v>7</v>
      </c>
      <c r="R13" s="445">
        <v>8</v>
      </c>
      <c r="S13" s="446">
        <v>9</v>
      </c>
      <c r="T13" s="447">
        <v>10</v>
      </c>
      <c r="U13" s="292"/>
      <c r="V13" s="559"/>
      <c r="W13" s="313" t="s">
        <v>641</v>
      </c>
      <c r="X13" s="52">
        <f t="shared" si="0"/>
        <v>1</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38" t="s">
        <v>387</v>
      </c>
      <c r="F14" s="1238"/>
      <c r="G14" s="1239"/>
      <c r="H14" s="1243" t="s">
        <v>8</v>
      </c>
      <c r="I14" s="1243"/>
      <c r="J14" s="225"/>
      <c r="K14" s="458">
        <v>1</v>
      </c>
      <c r="L14" s="429">
        <v>2</v>
      </c>
      <c r="M14" s="430">
        <v>3</v>
      </c>
      <c r="N14" s="431">
        <v>4</v>
      </c>
      <c r="O14" s="432">
        <v>5</v>
      </c>
      <c r="P14" s="433">
        <v>6</v>
      </c>
      <c r="Q14" s="434">
        <v>7</v>
      </c>
      <c r="R14" s="435">
        <v>8</v>
      </c>
      <c r="S14" s="436">
        <v>9</v>
      </c>
      <c r="T14" s="459">
        <v>10</v>
      </c>
      <c r="U14" s="292"/>
      <c r="V14" s="559"/>
      <c r="W14" s="313" t="s">
        <v>641</v>
      </c>
      <c r="X14" s="52">
        <f t="shared" si="0"/>
        <v>1</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38" t="s">
        <v>386</v>
      </c>
      <c r="F15" s="1238"/>
      <c r="G15" s="1239"/>
      <c r="H15" s="1243" t="s">
        <v>8</v>
      </c>
      <c r="I15" s="1243"/>
      <c r="J15" s="225"/>
      <c r="K15" s="438">
        <v>1</v>
      </c>
      <c r="L15" s="439">
        <v>2</v>
      </c>
      <c r="M15" s="440">
        <v>3</v>
      </c>
      <c r="N15" s="441">
        <v>4</v>
      </c>
      <c r="O15" s="442">
        <v>5</v>
      </c>
      <c r="P15" s="443">
        <v>6</v>
      </c>
      <c r="Q15" s="444">
        <v>7</v>
      </c>
      <c r="R15" s="445">
        <v>8</v>
      </c>
      <c r="S15" s="446">
        <v>9</v>
      </c>
      <c r="T15" s="447">
        <v>10</v>
      </c>
      <c r="U15" s="292"/>
      <c r="V15" s="559"/>
      <c r="W15" s="313" t="s">
        <v>641</v>
      </c>
      <c r="X15" s="52">
        <f t="shared" si="0"/>
        <v>1</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38" t="s">
        <v>385</v>
      </c>
      <c r="F16" s="1238"/>
      <c r="G16" s="1239"/>
      <c r="H16" s="1243" t="s">
        <v>8</v>
      </c>
      <c r="I16" s="1243"/>
      <c r="J16" s="225"/>
      <c r="K16" s="438">
        <v>1</v>
      </c>
      <c r="L16" s="439">
        <v>2</v>
      </c>
      <c r="M16" s="440">
        <v>3</v>
      </c>
      <c r="N16" s="441">
        <v>4</v>
      </c>
      <c r="O16" s="442">
        <v>5</v>
      </c>
      <c r="P16" s="443">
        <v>6</v>
      </c>
      <c r="Q16" s="444">
        <v>7</v>
      </c>
      <c r="R16" s="445">
        <v>8</v>
      </c>
      <c r="S16" s="446">
        <v>9</v>
      </c>
      <c r="T16" s="447">
        <v>10</v>
      </c>
      <c r="U16" s="292"/>
      <c r="V16" s="559"/>
      <c r="W16" s="313" t="s">
        <v>641</v>
      </c>
      <c r="X16" s="52">
        <f t="shared" si="0"/>
        <v>1</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38" t="s">
        <v>449</v>
      </c>
      <c r="F17" s="1238"/>
      <c r="G17" s="1239"/>
      <c r="H17" s="1243" t="s">
        <v>4</v>
      </c>
      <c r="I17" s="1243"/>
      <c r="J17" s="225"/>
      <c r="K17" s="458">
        <v>1</v>
      </c>
      <c r="L17" s="429">
        <v>2</v>
      </c>
      <c r="M17" s="430">
        <v>3</v>
      </c>
      <c r="N17" s="431">
        <v>4</v>
      </c>
      <c r="O17" s="432">
        <v>5</v>
      </c>
      <c r="P17" s="433">
        <v>6</v>
      </c>
      <c r="Q17" s="434">
        <v>7</v>
      </c>
      <c r="R17" s="435">
        <v>8</v>
      </c>
      <c r="S17" s="436">
        <v>9</v>
      </c>
      <c r="T17" s="459">
        <v>10</v>
      </c>
      <c r="U17" s="292"/>
      <c r="V17" s="559"/>
      <c r="W17" s="313" t="s">
        <v>641</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58" t="s">
        <v>107</v>
      </c>
      <c r="H20" s="1258"/>
      <c r="I20" s="1258"/>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1.2857142857142858</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44" t="s">
        <v>374</v>
      </c>
      <c r="E21" s="1244"/>
      <c r="F21" s="1244"/>
      <c r="G21" s="1244"/>
      <c r="H21" s="1244"/>
      <c r="I21" s="1244"/>
      <c r="J21" s="1244"/>
      <c r="K21" s="1244"/>
      <c r="L21" s="1244"/>
      <c r="M21" s="1244"/>
      <c r="N21" s="1244"/>
      <c r="O21" s="1244"/>
      <c r="P21" s="1244"/>
      <c r="Q21" s="1244"/>
      <c r="R21" s="1244"/>
      <c r="S21" s="1244"/>
      <c r="T21" s="1244"/>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45.75" customHeight="1">
      <c r="A22" s="599"/>
      <c r="B22" s="559"/>
      <c r="C22" s="279"/>
      <c r="D22" s="116" t="s">
        <v>196</v>
      </c>
      <c r="E22" s="1249" t="s">
        <v>1115</v>
      </c>
      <c r="F22" s="1250"/>
      <c r="G22" s="1250"/>
      <c r="H22" s="1250"/>
      <c r="I22" s="1250"/>
      <c r="J22" s="1250"/>
      <c r="K22" s="1250"/>
      <c r="L22" s="1250"/>
      <c r="M22" s="1250"/>
      <c r="N22" s="1250"/>
      <c r="O22" s="1250"/>
      <c r="P22" s="1250"/>
      <c r="Q22" s="1250"/>
      <c r="R22" s="1250"/>
      <c r="S22" s="1250"/>
      <c r="T22" s="1251"/>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51" t="s">
        <v>1060</v>
      </c>
      <c r="E23" s="1249" t="s">
        <v>467</v>
      </c>
      <c r="F23" s="1250"/>
      <c r="G23" s="1250"/>
      <c r="H23" s="1250"/>
      <c r="I23" s="1250"/>
      <c r="J23" s="1250"/>
      <c r="K23" s="1250"/>
      <c r="L23" s="1250"/>
      <c r="M23" s="1250"/>
      <c r="N23" s="1250"/>
      <c r="O23" s="1250"/>
      <c r="P23" s="1250"/>
      <c r="Q23" s="1250"/>
      <c r="R23" s="1250"/>
      <c r="S23" s="1250"/>
      <c r="T23" s="1251"/>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44" t="s">
        <v>375</v>
      </c>
      <c r="E24" s="1244"/>
      <c r="F24" s="1244"/>
      <c r="G24" s="1244"/>
      <c r="H24" s="1244"/>
      <c r="I24" s="1244"/>
      <c r="J24" s="1244"/>
      <c r="K24" s="1244"/>
      <c r="L24" s="1244"/>
      <c r="M24" s="1244"/>
      <c r="N24" s="1244"/>
      <c r="O24" s="1244"/>
      <c r="P24" s="1244"/>
      <c r="Q24" s="1244"/>
      <c r="R24" s="1244"/>
      <c r="S24" s="1244"/>
      <c r="T24" s="1244"/>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47.25" customHeight="1">
      <c r="A25" s="599"/>
      <c r="B25" s="559"/>
      <c r="C25" s="279"/>
      <c r="D25" s="116" t="s">
        <v>196</v>
      </c>
      <c r="E25" s="1252" t="s">
        <v>1114</v>
      </c>
      <c r="F25" s="1253"/>
      <c r="G25" s="1253"/>
      <c r="H25" s="1253"/>
      <c r="I25" s="1253"/>
      <c r="J25" s="1253"/>
      <c r="K25" s="1253"/>
      <c r="L25" s="1253"/>
      <c r="M25" s="1253"/>
      <c r="N25" s="1253"/>
      <c r="O25" s="1253"/>
      <c r="P25" s="1253"/>
      <c r="Q25" s="1253"/>
      <c r="R25" s="1253"/>
      <c r="S25" s="1253"/>
      <c r="T25" s="1254"/>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51" t="s">
        <v>1060</v>
      </c>
      <c r="E26" s="1252" t="s">
        <v>467</v>
      </c>
      <c r="F26" s="1253"/>
      <c r="G26" s="1253"/>
      <c r="H26" s="1253"/>
      <c r="I26" s="1253"/>
      <c r="J26" s="1253"/>
      <c r="K26" s="1253"/>
      <c r="L26" s="1253"/>
      <c r="M26" s="1253"/>
      <c r="N26" s="1253"/>
      <c r="O26" s="1253"/>
      <c r="P26" s="1253"/>
      <c r="Q26" s="1253"/>
      <c r="R26" s="1253"/>
      <c r="S26" s="1253"/>
      <c r="T26" s="1254"/>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44" t="s">
        <v>376</v>
      </c>
      <c r="E27" s="1244"/>
      <c r="F27" s="1244"/>
      <c r="G27" s="1244"/>
      <c r="H27" s="1244"/>
      <c r="I27" s="1244"/>
      <c r="J27" s="1244"/>
      <c r="K27" s="1244"/>
      <c r="L27" s="1244"/>
      <c r="M27" s="1244"/>
      <c r="N27" s="1244"/>
      <c r="O27" s="1244"/>
      <c r="P27" s="1244"/>
      <c r="Q27" s="1244"/>
      <c r="R27" s="1244"/>
      <c r="S27" s="1244"/>
      <c r="T27" s="1244"/>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54.75" customHeight="1">
      <c r="A28" s="599"/>
      <c r="B28" s="559"/>
      <c r="C28" s="279"/>
      <c r="D28" s="116" t="s">
        <v>196</v>
      </c>
      <c r="E28" s="1252" t="s">
        <v>1113</v>
      </c>
      <c r="F28" s="1253"/>
      <c r="G28" s="1253"/>
      <c r="H28" s="1253"/>
      <c r="I28" s="1253"/>
      <c r="J28" s="1253"/>
      <c r="K28" s="1253"/>
      <c r="L28" s="1253"/>
      <c r="M28" s="1253"/>
      <c r="N28" s="1253"/>
      <c r="O28" s="1253"/>
      <c r="P28" s="1253"/>
      <c r="Q28" s="1253"/>
      <c r="R28" s="1253"/>
      <c r="S28" s="1253"/>
      <c r="T28" s="1254"/>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51" t="s">
        <v>1060</v>
      </c>
      <c r="E29" s="1252" t="s">
        <v>467</v>
      </c>
      <c r="F29" s="1253"/>
      <c r="G29" s="1253"/>
      <c r="H29" s="1253"/>
      <c r="I29" s="1253"/>
      <c r="J29" s="1253"/>
      <c r="K29" s="1253"/>
      <c r="L29" s="1253"/>
      <c r="M29" s="1253"/>
      <c r="N29" s="1253"/>
      <c r="O29" s="1253"/>
      <c r="P29" s="1253"/>
      <c r="Q29" s="1253"/>
      <c r="R29" s="1253"/>
      <c r="S29" s="1253"/>
      <c r="T29" s="1254"/>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50000000000003" customHeight="1">
      <c r="A30" s="599"/>
      <c r="B30" s="559"/>
      <c r="C30" s="388" t="s">
        <v>0</v>
      </c>
      <c r="D30" s="1244" t="s">
        <v>390</v>
      </c>
      <c r="E30" s="1244"/>
      <c r="F30" s="1244"/>
      <c r="G30" s="1244"/>
      <c r="H30" s="1244"/>
      <c r="I30" s="1244"/>
      <c r="J30" s="1244"/>
      <c r="K30" s="1244"/>
      <c r="L30" s="1244"/>
      <c r="M30" s="1244"/>
      <c r="N30" s="1244"/>
      <c r="O30" s="1244"/>
      <c r="P30" s="1244"/>
      <c r="Q30" s="1244"/>
      <c r="R30" s="1244"/>
      <c r="S30" s="1244"/>
      <c r="T30" s="1244"/>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49" t="s">
        <v>1108</v>
      </c>
      <c r="F31" s="1250"/>
      <c r="G31" s="1250"/>
      <c r="H31" s="1250"/>
      <c r="I31" s="1250"/>
      <c r="J31" s="1250"/>
      <c r="K31" s="1250"/>
      <c r="L31" s="1250"/>
      <c r="M31" s="1250"/>
      <c r="N31" s="1250"/>
      <c r="O31" s="1250"/>
      <c r="P31" s="1250"/>
      <c r="Q31" s="1250"/>
      <c r="R31" s="1250"/>
      <c r="S31" s="1250"/>
      <c r="T31" s="1251"/>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51" t="s">
        <v>1060</v>
      </c>
      <c r="E32" s="1249" t="s">
        <v>467</v>
      </c>
      <c r="F32" s="1250"/>
      <c r="G32" s="1250"/>
      <c r="H32" s="1250"/>
      <c r="I32" s="1250"/>
      <c r="J32" s="1250"/>
      <c r="K32" s="1250"/>
      <c r="L32" s="1250"/>
      <c r="M32" s="1250"/>
      <c r="N32" s="1250"/>
      <c r="O32" s="1250"/>
      <c r="P32" s="1250"/>
      <c r="Q32" s="1250"/>
      <c r="R32" s="1250"/>
      <c r="S32" s="1250"/>
      <c r="T32" s="1251"/>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50000000000003" customHeight="1">
      <c r="A33" s="599"/>
      <c r="B33" s="559"/>
      <c r="C33" s="388" t="s">
        <v>0</v>
      </c>
      <c r="D33" s="1244" t="s">
        <v>391</v>
      </c>
      <c r="E33" s="1244"/>
      <c r="F33" s="1244"/>
      <c r="G33" s="1244"/>
      <c r="H33" s="1244"/>
      <c r="I33" s="1244"/>
      <c r="J33" s="1244"/>
      <c r="K33" s="1244"/>
      <c r="L33" s="1244"/>
      <c r="M33" s="1244"/>
      <c r="N33" s="1244"/>
      <c r="O33" s="1244"/>
      <c r="P33" s="1244"/>
      <c r="Q33" s="1244"/>
      <c r="R33" s="1244"/>
      <c r="S33" s="1244"/>
      <c r="T33" s="1244"/>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46" t="s">
        <v>1107</v>
      </c>
      <c r="F34" s="1247"/>
      <c r="G34" s="1247"/>
      <c r="H34" s="1247"/>
      <c r="I34" s="1247"/>
      <c r="J34" s="1247"/>
      <c r="K34" s="1247"/>
      <c r="L34" s="1247"/>
      <c r="M34" s="1247"/>
      <c r="N34" s="1247"/>
      <c r="O34" s="1247"/>
      <c r="P34" s="1247"/>
      <c r="Q34" s="1247"/>
      <c r="R34" s="1247"/>
      <c r="S34" s="1247"/>
      <c r="T34" s="1248"/>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51" t="s">
        <v>1060</v>
      </c>
      <c r="E35" s="1246" t="s">
        <v>467</v>
      </c>
      <c r="F35" s="1247"/>
      <c r="G35" s="1247"/>
      <c r="H35" s="1247"/>
      <c r="I35" s="1247"/>
      <c r="J35" s="1247"/>
      <c r="K35" s="1247"/>
      <c r="L35" s="1247"/>
      <c r="M35" s="1247"/>
      <c r="N35" s="1247"/>
      <c r="O35" s="1247"/>
      <c r="P35" s="1247"/>
      <c r="Q35" s="1247"/>
      <c r="R35" s="1247"/>
      <c r="S35" s="1247"/>
      <c r="T35" s="1248"/>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50000000000003" customHeight="1">
      <c r="A36" s="599"/>
      <c r="B36" s="559"/>
      <c r="C36" s="388" t="s">
        <v>0</v>
      </c>
      <c r="D36" s="1244" t="s">
        <v>408</v>
      </c>
      <c r="E36" s="1244"/>
      <c r="F36" s="1244"/>
      <c r="G36" s="1244"/>
      <c r="H36" s="1244"/>
      <c r="I36" s="1244"/>
      <c r="J36" s="1244"/>
      <c r="K36" s="1244"/>
      <c r="L36" s="1244"/>
      <c r="M36" s="1244"/>
      <c r="N36" s="1244"/>
      <c r="O36" s="1244"/>
      <c r="P36" s="1244"/>
      <c r="Q36" s="1244"/>
      <c r="R36" s="1244"/>
      <c r="S36" s="1244"/>
      <c r="T36" s="1244"/>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30" customHeight="1">
      <c r="A37" s="599"/>
      <c r="B37" s="559"/>
      <c r="C37" s="279"/>
      <c r="D37" s="1151" t="s">
        <v>1060</v>
      </c>
      <c r="E37" s="1249" t="s">
        <v>1103</v>
      </c>
      <c r="F37" s="1250"/>
      <c r="G37" s="1250"/>
      <c r="H37" s="1250"/>
      <c r="I37" s="1250"/>
      <c r="J37" s="1250"/>
      <c r="K37" s="1250"/>
      <c r="L37" s="1250"/>
      <c r="M37" s="1250"/>
      <c r="N37" s="1250"/>
      <c r="O37" s="1250"/>
      <c r="P37" s="1250"/>
      <c r="Q37" s="1250"/>
      <c r="R37" s="1250"/>
      <c r="S37" s="1250"/>
      <c r="T37" s="1251"/>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46" t="s">
        <v>467</v>
      </c>
      <c r="F38" s="1247"/>
      <c r="G38" s="1247"/>
      <c r="H38" s="1247"/>
      <c r="I38" s="1247"/>
      <c r="J38" s="1247"/>
      <c r="K38" s="1247"/>
      <c r="L38" s="1247"/>
      <c r="M38" s="1247"/>
      <c r="N38" s="1247"/>
      <c r="O38" s="1247"/>
      <c r="P38" s="1247"/>
      <c r="Q38" s="1247"/>
      <c r="R38" s="1247"/>
      <c r="S38" s="1247"/>
      <c r="T38" s="1248"/>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28" t="s">
        <v>395</v>
      </c>
      <c r="H39" s="1228"/>
      <c r="I39" s="1228"/>
      <c r="J39" s="1228"/>
      <c r="K39" s="1228"/>
      <c r="L39" s="1228"/>
      <c r="M39" s="1228"/>
      <c r="N39" s="1228"/>
      <c r="O39" s="1228"/>
      <c r="P39" s="1228"/>
      <c r="Q39" s="1228"/>
      <c r="R39" s="1228"/>
      <c r="S39" s="1228"/>
      <c r="T39" s="1228"/>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640</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124</v>
      </c>
      <c r="L42" s="505"/>
      <c r="M42" s="505"/>
      <c r="N42" s="505"/>
      <c r="O42" s="505"/>
      <c r="P42" s="505"/>
      <c r="Q42" s="114"/>
      <c r="R42" s="114"/>
      <c r="S42" s="475"/>
      <c r="T42" s="475"/>
      <c r="U42" s="292"/>
      <c r="V42" s="559"/>
      <c r="W42" s="313" t="s">
        <v>640</v>
      </c>
      <c r="X42" s="619" t="str">
        <f>IF(J42="Y","involved","not involved")</f>
        <v>involved</v>
      </c>
      <c r="Y42" s="638">
        <f>IF(J42="Y",7,0)</f>
        <v>7</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60" t="s">
        <v>226</v>
      </c>
      <c r="E43" s="1260"/>
      <c r="F43" s="1260"/>
      <c r="G43" s="1260"/>
      <c r="H43" s="1260"/>
      <c r="I43" s="1260"/>
      <c r="J43" s="1260"/>
      <c r="K43" s="1260"/>
      <c r="L43" s="1260"/>
      <c r="M43" s="1260"/>
      <c r="N43" s="1260"/>
      <c r="O43" s="1260"/>
      <c r="P43" s="1260"/>
      <c r="Q43" s="1260"/>
      <c r="R43" s="1260"/>
      <c r="S43" s="1260"/>
      <c r="T43" s="1260"/>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63" t="s">
        <v>118</v>
      </c>
      <c r="E44" s="1263"/>
      <c r="F44" s="1263"/>
      <c r="G44" s="472"/>
      <c r="H44" s="1264" t="s">
        <v>119</v>
      </c>
      <c r="I44" s="1264"/>
      <c r="J44" s="1264"/>
      <c r="K44" s="1264"/>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59" t="s">
        <v>0</v>
      </c>
      <c r="E45" s="1259"/>
      <c r="F45" s="1259"/>
      <c r="G45" s="1259"/>
      <c r="H45" s="1259" t="s">
        <v>0</v>
      </c>
      <c r="I45" s="1259"/>
      <c r="J45" s="1259"/>
      <c r="K45" s="1259"/>
      <c r="L45" s="1259"/>
      <c r="M45" s="1259"/>
      <c r="N45" s="1259"/>
      <c r="O45" s="1259"/>
      <c r="P45" s="1259"/>
      <c r="Q45" s="1259"/>
      <c r="R45" s="1259"/>
      <c r="S45" s="1259"/>
      <c r="T45" s="1259"/>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59" t="s">
        <v>0</v>
      </c>
      <c r="E46" s="1259"/>
      <c r="F46" s="1259"/>
      <c r="G46" s="1259"/>
      <c r="H46" s="1259" t="s">
        <v>0</v>
      </c>
      <c r="I46" s="1259"/>
      <c r="J46" s="1259"/>
      <c r="K46" s="1259"/>
      <c r="L46" s="1259"/>
      <c r="M46" s="1259"/>
      <c r="N46" s="1259"/>
      <c r="O46" s="1259"/>
      <c r="P46" s="1259"/>
      <c r="Q46" s="1259"/>
      <c r="R46" s="1259"/>
      <c r="S46" s="1259"/>
      <c r="T46" s="1259"/>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59" t="s">
        <v>0</v>
      </c>
      <c r="E47" s="1259"/>
      <c r="F47" s="1259"/>
      <c r="G47" s="1259"/>
      <c r="H47" s="1259" t="s">
        <v>0</v>
      </c>
      <c r="I47" s="1259"/>
      <c r="J47" s="1259"/>
      <c r="K47" s="1259"/>
      <c r="L47" s="1259"/>
      <c r="M47" s="1259"/>
      <c r="N47" s="1259"/>
      <c r="O47" s="1259"/>
      <c r="P47" s="1259"/>
      <c r="Q47" s="1259"/>
      <c r="R47" s="1259"/>
      <c r="S47" s="1259"/>
      <c r="T47" s="1259"/>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72" t="s">
        <v>372</v>
      </c>
      <c r="E49" s="1272"/>
      <c r="F49" s="1272"/>
      <c r="G49" s="1272"/>
      <c r="H49" s="1272"/>
      <c r="I49" s="1272"/>
      <c r="J49" s="1272"/>
      <c r="K49" s="1272"/>
      <c r="L49" s="1272"/>
      <c r="M49" s="1272"/>
      <c r="N49" s="1272"/>
      <c r="O49" s="1272"/>
      <c r="P49" s="1272"/>
      <c r="Q49" s="1272"/>
      <c r="R49" s="1272"/>
      <c r="S49" s="1272"/>
      <c r="T49" s="1272"/>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56" t="s">
        <v>394</v>
      </c>
      <c r="G50" s="1256"/>
      <c r="H50" s="1256"/>
      <c r="I50" s="1256"/>
      <c r="J50" s="1256"/>
      <c r="K50" s="1256"/>
      <c r="L50" s="1256"/>
      <c r="M50" s="1256"/>
      <c r="N50" s="1256"/>
      <c r="O50" s="1256"/>
      <c r="P50" s="1256"/>
      <c r="Q50" s="1256"/>
      <c r="R50" s="1256"/>
      <c r="S50" s="1256"/>
      <c r="T50" s="1256"/>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55" t="s">
        <v>130</v>
      </c>
      <c r="E52" s="1255"/>
      <c r="F52" s="1229"/>
      <c r="G52" s="1229"/>
      <c r="H52" s="1230"/>
      <c r="I52" s="1230"/>
      <c r="J52" s="1231"/>
      <c r="K52" s="1231"/>
      <c r="L52" s="1231"/>
      <c r="M52" s="1231"/>
      <c r="N52" s="1231"/>
      <c r="O52" s="1231"/>
      <c r="P52" s="1231"/>
      <c r="Q52" s="1231"/>
      <c r="R52" s="1231"/>
      <c r="S52" s="1231"/>
      <c r="T52" s="1231"/>
      <c r="U52" s="362"/>
      <c r="V52" s="559" t="s">
        <v>0</v>
      </c>
      <c r="W52" s="501"/>
      <c r="X52" s="551">
        <v>2</v>
      </c>
      <c r="Y52" s="889" t="s">
        <v>392</v>
      </c>
      <c r="Z52" s="890">
        <f>IF(X52=1,0,X52*2)</f>
        <v>4</v>
      </c>
      <c r="AA52" s="883" t="str">
        <f>IF(X52=2,"reduced",IF(X52=3,"involved, not new or expanded",IF(X52=4,"new",IF(X52=5,"expanded","not involved"))))</f>
        <v>reduced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55" t="s">
        <v>131</v>
      </c>
      <c r="E53" s="1255"/>
      <c r="F53" s="1229"/>
      <c r="G53" s="1229"/>
      <c r="H53" s="1230"/>
      <c r="I53" s="1230"/>
      <c r="J53" s="1231"/>
      <c r="K53" s="1231"/>
      <c r="L53" s="1231"/>
      <c r="M53" s="1231"/>
      <c r="N53" s="1231"/>
      <c r="O53" s="1231"/>
      <c r="P53" s="1231"/>
      <c r="Q53" s="1231"/>
      <c r="R53" s="1231"/>
      <c r="S53" s="1231"/>
      <c r="T53" s="1231"/>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75">
      <c r="B55" s="559"/>
      <c r="C55" s="398"/>
      <c r="D55" s="1275" t="s">
        <v>126</v>
      </c>
      <c r="E55" s="1276"/>
      <c r="F55" s="114"/>
      <c r="G55" s="114"/>
      <c r="H55" s="114"/>
      <c r="I55" s="114"/>
      <c r="J55" s="114"/>
      <c r="K55" s="114"/>
      <c r="L55" s="114"/>
      <c r="M55" s="114"/>
      <c r="N55" s="114"/>
      <c r="O55" s="114"/>
      <c r="P55" s="114"/>
      <c r="Q55" s="114"/>
      <c r="R55" s="114"/>
      <c r="S55" s="114"/>
      <c r="T55" s="114"/>
      <c r="U55" s="292"/>
      <c r="V55" s="559"/>
      <c r="W55" s="313" t="s">
        <v>638</v>
      </c>
      <c r="X55" s="147"/>
      <c r="Y55" s="147"/>
      <c r="Z55" s="147"/>
      <c r="AA55" s="618" t="str">
        <f>LOWER(D55)</f>
        <v>air quality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32" t="str">
        <f>Y57</f>
        <v>Asbestos License</v>
      </c>
      <c r="E57" s="1232"/>
      <c r="F57" s="1229"/>
      <c r="G57" s="1229"/>
      <c r="H57" s="1230"/>
      <c r="I57" s="1230"/>
      <c r="J57" s="1231"/>
      <c r="K57" s="1231"/>
      <c r="L57" s="1231"/>
      <c r="M57" s="1231"/>
      <c r="N57" s="1231"/>
      <c r="O57" s="1231"/>
      <c r="P57" s="1231"/>
      <c r="Q57" s="1231"/>
      <c r="R57" s="1231"/>
      <c r="S57" s="1231"/>
      <c r="T57" s="1231"/>
      <c r="U57" s="362"/>
      <c r="V57" s="559" t="s">
        <v>0</v>
      </c>
      <c r="W57" s="501"/>
      <c r="X57" s="551">
        <v>1</v>
      </c>
      <c r="Y57" s="550" t="str">
        <f>IF($D$55=C.PermitType0,"",IF($D$55=C.PermitType1,DDLs!C66,IF($D$55=C.PermitType2,DDLs!D66,IF($D$55=C.PermitType3,DDLs!E66,DDLs!F66))))</f>
        <v>Asbestos License</v>
      </c>
      <c r="Z57" s="1269"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32" t="str">
        <f t="shared" ref="D58:D63" si="1">Y58</f>
        <v>Air Contaminant Discharge Permit</v>
      </c>
      <c r="E58" s="1232"/>
      <c r="F58" s="1229"/>
      <c r="G58" s="1229"/>
      <c r="H58" s="1230"/>
      <c r="I58" s="1230"/>
      <c r="J58" s="1231"/>
      <c r="K58" s="1231"/>
      <c r="L58" s="1231"/>
      <c r="M58" s="1231"/>
      <c r="N58" s="1231"/>
      <c r="O58" s="1231"/>
      <c r="P58" s="1231"/>
      <c r="Q58" s="1231"/>
      <c r="R58" s="1231"/>
      <c r="S58" s="1231"/>
      <c r="T58" s="1231"/>
      <c r="U58" s="362"/>
      <c r="V58" s="559" t="s">
        <v>0</v>
      </c>
      <c r="W58" s="501"/>
      <c r="X58" s="551">
        <v>1</v>
      </c>
      <c r="Y58" s="550" t="str">
        <f>IF($D$55=C.PermitType0,"",IF($D$55=C.PermitType1,DDLs!C67,IF($D$55=C.PermitType2,DDLs!D67,IF($D$55=C.PermitType3,DDLs!E67,DDLs!F67))))</f>
        <v>Air Contaminant Discharge Permit</v>
      </c>
      <c r="Z58" s="1270"/>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32" t="str">
        <f t="shared" si="1"/>
        <v>Air Quality Registrations</v>
      </c>
      <c r="E59" s="1232"/>
      <c r="F59" s="1229"/>
      <c r="G59" s="1229"/>
      <c r="H59" s="1230"/>
      <c r="I59" s="1230"/>
      <c r="J59" s="1231"/>
      <c r="K59" s="1231"/>
      <c r="L59" s="1231"/>
      <c r="M59" s="1231"/>
      <c r="N59" s="1231"/>
      <c r="O59" s="1231"/>
      <c r="P59" s="1231"/>
      <c r="Q59" s="1231"/>
      <c r="R59" s="1231"/>
      <c r="S59" s="1231"/>
      <c r="T59" s="1231"/>
      <c r="U59" s="362"/>
      <c r="V59" s="559"/>
      <c r="W59" s="501"/>
      <c r="X59" s="551">
        <v>1</v>
      </c>
      <c r="Y59" s="550" t="str">
        <f>IF($D$55=C.PermitType0,"",IF($D$55=C.PermitType1,DDLs!C68,IF($D$55=C.PermitType2,DDLs!D68,IF($D$55=C.PermitType3,DDLs!E68,DDLs!F68))))</f>
        <v>Air Quality Registrations</v>
      </c>
      <c r="Z59" s="1270"/>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32" t="str">
        <f t="shared" si="1"/>
        <v>Open Burning Letter Permit</v>
      </c>
      <c r="E60" s="1232"/>
      <c r="F60" s="1229"/>
      <c r="G60" s="1229"/>
      <c r="H60" s="1230"/>
      <c r="I60" s="1230"/>
      <c r="J60" s="1231"/>
      <c r="K60" s="1231"/>
      <c r="L60" s="1231"/>
      <c r="M60" s="1231"/>
      <c r="N60" s="1231"/>
      <c r="O60" s="1231"/>
      <c r="P60" s="1231"/>
      <c r="Q60" s="1231"/>
      <c r="R60" s="1231"/>
      <c r="S60" s="1231"/>
      <c r="T60" s="1231"/>
      <c r="U60" s="362"/>
      <c r="V60" s="559" t="s">
        <v>0</v>
      </c>
      <c r="W60" s="501"/>
      <c r="X60" s="551">
        <v>1</v>
      </c>
      <c r="Y60" s="550" t="str">
        <f>IF($D$55=C.PermitType0,"",IF($D$55=C.PermitType1,DDLs!C69,IF($D$55=C.PermitType2,DDLs!D69,IF($D$55=C.PermitType3,DDLs!E69,DDLs!F69))))</f>
        <v>Open Burning Letter Permit</v>
      </c>
      <c r="Z60" s="1270"/>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32" t="str">
        <f t="shared" si="1"/>
        <v>Tanker Certification</v>
      </c>
      <c r="E61" s="1232"/>
      <c r="F61" s="1229"/>
      <c r="G61" s="1229"/>
      <c r="H61" s="1230"/>
      <c r="I61" s="1230"/>
      <c r="J61" s="1231"/>
      <c r="K61" s="1231"/>
      <c r="L61" s="1231"/>
      <c r="M61" s="1231"/>
      <c r="N61" s="1231"/>
      <c r="O61" s="1231"/>
      <c r="P61" s="1231"/>
      <c r="Q61" s="1231"/>
      <c r="R61" s="1231"/>
      <c r="S61" s="1231"/>
      <c r="T61" s="1231"/>
      <c r="U61" s="362"/>
      <c r="V61" s="559" t="s">
        <v>0</v>
      </c>
      <c r="W61" s="501"/>
      <c r="X61" s="551">
        <v>1</v>
      </c>
      <c r="Y61" s="550" t="str">
        <f>IF($D$55=C.PermitType0,"",IF($D$55=C.PermitType1,DDLs!C70,IF($D$55=C.PermitType2,DDLs!D70,IF($D$55=C.PermitType3,DDLs!E70,DDLs!F70))))</f>
        <v>Tanker Certification</v>
      </c>
      <c r="Z61" s="1270"/>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32" t="str">
        <f t="shared" si="1"/>
        <v>Title V permit</v>
      </c>
      <c r="E62" s="1232"/>
      <c r="F62" s="1229"/>
      <c r="G62" s="1229"/>
      <c r="H62" s="1230"/>
      <c r="I62" s="1230"/>
      <c r="J62" s="1231"/>
      <c r="K62" s="1231"/>
      <c r="L62" s="1231"/>
      <c r="M62" s="1231"/>
      <c r="N62" s="1231"/>
      <c r="O62" s="1231"/>
      <c r="P62" s="1231"/>
      <c r="Q62" s="1231"/>
      <c r="R62" s="1231"/>
      <c r="S62" s="1231"/>
      <c r="T62" s="1231"/>
      <c r="U62" s="362"/>
      <c r="V62" s="559"/>
      <c r="W62" s="501"/>
      <c r="X62" s="551">
        <v>1</v>
      </c>
      <c r="Y62" s="550" t="str">
        <f>IF($D$55=C.PermitType0,"",IF($D$55=C.PermitType1,DDLs!C71,IF($D$55=C.PermitType2,DDLs!D71,IF($D$55=C.PermitType3,DDLs!E71,DDLs!F71))))</f>
        <v>Title V permit</v>
      </c>
      <c r="Z62" s="1270"/>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32" t="str">
        <f t="shared" si="1"/>
        <v>Vehicle Emissions Certification</v>
      </c>
      <c r="E63" s="1232"/>
      <c r="F63" s="1229"/>
      <c r="G63" s="1229"/>
      <c r="H63" s="1230"/>
      <c r="I63" s="1230"/>
      <c r="J63" s="1231"/>
      <c r="K63" s="1231"/>
      <c r="L63" s="1231"/>
      <c r="M63" s="1231"/>
      <c r="N63" s="1231"/>
      <c r="O63" s="1231"/>
      <c r="P63" s="1231"/>
      <c r="Q63" s="1231"/>
      <c r="R63" s="1231"/>
      <c r="S63" s="1231"/>
      <c r="T63" s="1231"/>
      <c r="U63" s="362"/>
      <c r="V63" s="559" t="s">
        <v>0</v>
      </c>
      <c r="W63" s="501"/>
      <c r="X63" s="551">
        <v>1</v>
      </c>
      <c r="Y63" s="550" t="str">
        <f>IF($D$55=C.PermitType0,"",IF($D$55=C.PermitType1,DDLs!C72,IF($D$55=C.PermitType2,DDLs!D72,IF($D$55=C.PermitType3,DDLs!E72,DDLs!F72))))</f>
        <v>Vehicle Emissions Certification</v>
      </c>
      <c r="Z63" s="1270"/>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73" t="s">
        <v>445</v>
      </c>
      <c r="E64" s="1273"/>
      <c r="F64" s="1229"/>
      <c r="G64" s="1229"/>
      <c r="H64" s="1230"/>
      <c r="I64" s="1230"/>
      <c r="J64" s="1231"/>
      <c r="K64" s="1231"/>
      <c r="L64" s="1231"/>
      <c r="M64" s="1231"/>
      <c r="N64" s="1231"/>
      <c r="O64" s="1231"/>
      <c r="P64" s="1231"/>
      <c r="Q64" s="1231"/>
      <c r="R64" s="1231"/>
      <c r="S64" s="1231"/>
      <c r="T64" s="1231"/>
      <c r="U64" s="362"/>
      <c r="V64" s="559" t="s">
        <v>0</v>
      </c>
      <c r="W64" s="501"/>
      <c r="X64" s="551">
        <v>1</v>
      </c>
      <c r="Y64" s="550" t="str">
        <f>IF($D$55=C.PermitType0,"",IF($D$55=C.PermitType1,DDLs!C73,IF($D$55=C.PermitType2,DDLs!D73,IF($D$55=C.PermitType3,DDLs!E73,DDLs!F73))))</f>
        <v>NESHAP</v>
      </c>
      <c r="Z64" s="1270"/>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73" t="s">
        <v>445</v>
      </c>
      <c r="E65" s="1273"/>
      <c r="F65" s="1229"/>
      <c r="G65" s="1229"/>
      <c r="H65" s="1230"/>
      <c r="I65" s="1230"/>
      <c r="J65" s="1231"/>
      <c r="K65" s="1231"/>
      <c r="L65" s="1231"/>
      <c r="M65" s="1231"/>
      <c r="N65" s="1231"/>
      <c r="O65" s="1231"/>
      <c r="P65" s="1231"/>
      <c r="Q65" s="1231"/>
      <c r="R65" s="1231"/>
      <c r="S65" s="1231"/>
      <c r="T65" s="1231"/>
      <c r="U65" s="362"/>
      <c r="V65" s="559"/>
      <c r="W65" s="501"/>
      <c r="X65" s="551">
        <v>1</v>
      </c>
      <c r="Y65" s="550" t="str">
        <f>IF($D$55=C.PermitType0,"",IF($D$55=C.PermitType1,DDLs!C74,IF($D$55=C.PermitType2,DDLs!D74,IF($D$55=C.PermitType3,DDLs!E74,DDLs!F74))))</f>
        <v>NSPS</v>
      </c>
      <c r="Z65" s="1270"/>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74" t="s">
        <v>445</v>
      </c>
      <c r="E66" s="1274"/>
      <c r="F66" s="1229"/>
      <c r="G66" s="1229"/>
      <c r="H66" s="1230"/>
      <c r="I66" s="1230"/>
      <c r="J66" s="1231"/>
      <c r="K66" s="1231"/>
      <c r="L66" s="1231"/>
      <c r="M66" s="1231"/>
      <c r="N66" s="1231"/>
      <c r="O66" s="1231"/>
      <c r="P66" s="1231"/>
      <c r="Q66" s="1231"/>
      <c r="R66" s="1231"/>
      <c r="S66" s="1231"/>
      <c r="T66" s="1231"/>
      <c r="U66" s="362"/>
      <c r="V66" s="559" t="s">
        <v>0</v>
      </c>
      <c r="W66" s="501"/>
      <c r="X66" s="551">
        <v>1</v>
      </c>
      <c r="Y66" s="550" t="str">
        <f>IF($D$55=C.PermitType0,"",IF($D$55=C.PermitType1,DDLs!C75,IF($D$55=C.PermitType2,DDLs!D75,IF($D$55=C.PermitType3,DDLs!E75,DDLs!F75))))</f>
        <v>Custom entry</v>
      </c>
      <c r="Z66" s="1271"/>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45" t="s">
        <v>198</v>
      </c>
      <c r="E68" s="1245"/>
      <c r="F68" s="1245"/>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40" t="s">
        <v>0</v>
      </c>
      <c r="E69" s="1241"/>
      <c r="F69" s="1241"/>
      <c r="G69" s="1241"/>
      <c r="H69" s="1241"/>
      <c r="I69" s="1241"/>
      <c r="J69" s="1241"/>
      <c r="K69" s="1241"/>
      <c r="L69" s="1241"/>
      <c r="M69" s="1241"/>
      <c r="N69" s="1241"/>
      <c r="O69" s="1241"/>
      <c r="P69" s="1241"/>
      <c r="Q69" s="1241"/>
      <c r="R69" s="1241"/>
      <c r="S69" s="1241"/>
      <c r="T69" s="1242"/>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45" t="s">
        <v>22</v>
      </c>
      <c r="E70" s="1245"/>
      <c r="F70" s="1245"/>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485</v>
      </c>
      <c r="B71" s="559"/>
      <c r="C71" s="534"/>
      <c r="D71" s="1218"/>
      <c r="E71" s="1219"/>
      <c r="F71" s="1219"/>
      <c r="G71" s="1219"/>
      <c r="H71" s="1219"/>
      <c r="I71" s="1219"/>
      <c r="J71" s="1219"/>
      <c r="K71" s="1219"/>
      <c r="L71" s="1219"/>
      <c r="M71" s="1219"/>
      <c r="N71" s="1219"/>
      <c r="O71" s="1219"/>
      <c r="P71" s="1219"/>
      <c r="Q71" s="1219"/>
      <c r="R71" s="1219"/>
      <c r="S71" s="1219"/>
      <c r="T71" s="1220"/>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26">
        <f ca="1">TODAY()</f>
        <v>41810</v>
      </c>
      <c r="I72" s="1226"/>
      <c r="J72" s="1226"/>
      <c r="K72" s="1226"/>
      <c r="L72" s="1226"/>
      <c r="M72" s="1226"/>
      <c r="N72" s="1226"/>
      <c r="O72" s="1226"/>
      <c r="P72" s="1226"/>
      <c r="Q72" s="1226"/>
      <c r="R72" s="1226"/>
      <c r="S72" s="1226"/>
      <c r="T72" s="1226"/>
      <c r="U72" s="1227"/>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s>
  <conditionalFormatting sqref="T10:T20">
    <cfRule type="expression" dxfId="348" priority="27" stopIfTrue="1">
      <formula>IF($X10&lt;10,TRUE,)</formula>
    </cfRule>
  </conditionalFormatting>
  <conditionalFormatting sqref="K10:K20">
    <cfRule type="expression" dxfId="347" priority="31" stopIfTrue="1">
      <formula>IF($X10&lt;1,TRUE,)</formula>
    </cfRule>
  </conditionalFormatting>
  <conditionalFormatting sqref="T27">
    <cfRule type="expression" dxfId="346" priority="10" stopIfTrue="1">
      <formula>IF(AND(#REF!="H",$Y27&lt;10),TRUE,)</formula>
    </cfRule>
  </conditionalFormatting>
  <conditionalFormatting sqref="K27">
    <cfRule type="expression" dxfId="345" priority="9" stopIfTrue="1">
      <formula>IF(AND(#REF!="H",$Y27&lt;1),TRUE,)</formula>
    </cfRule>
  </conditionalFormatting>
  <conditionalFormatting sqref="L27">
    <cfRule type="expression" dxfId="344" priority="8" stopIfTrue="1">
      <formula>IF(AND(#REF!="H",$Y27&lt;2),TRUE,)</formula>
    </cfRule>
  </conditionalFormatting>
  <conditionalFormatting sqref="N27">
    <cfRule type="expression" dxfId="343" priority="7" stopIfTrue="1">
      <formula>IF(AND(#REF!="H",$Y27&lt;4),TRUE,)</formula>
    </cfRule>
  </conditionalFormatting>
  <conditionalFormatting sqref="O27">
    <cfRule type="expression" dxfId="342" priority="6" stopIfTrue="1">
      <formula>IF(AND(#REF!="H",$Y27&lt;5),TRUE,)</formula>
    </cfRule>
  </conditionalFormatting>
  <conditionalFormatting sqref="P27">
    <cfRule type="expression" dxfId="341" priority="5" stopIfTrue="1">
      <formula>IF(AND(#REF!="H",$Y27&lt;6),TRUE,)</formula>
    </cfRule>
  </conditionalFormatting>
  <conditionalFormatting sqref="Q27">
    <cfRule type="expression" dxfId="340" priority="4" stopIfTrue="1">
      <formula>IF(AND(#REF!="H",$Y27&lt;7),TRUE,)</formula>
    </cfRule>
  </conditionalFormatting>
  <conditionalFormatting sqref="R27">
    <cfRule type="expression" dxfId="339" priority="3" stopIfTrue="1">
      <formula>IF(AND(#REF!="H",$Y27&lt;8),TRUE,)</formula>
    </cfRule>
  </conditionalFormatting>
  <conditionalFormatting sqref="S27">
    <cfRule type="expression" dxfId="338" priority="2" stopIfTrue="1">
      <formula>IF(AND(#REF!="H",$Y27&lt;9),TRUE,)</formula>
    </cfRule>
  </conditionalFormatting>
  <conditionalFormatting sqref="M27">
    <cfRule type="expression" dxfId="337" priority="1" stopIfTrue="1">
      <formula>IF(AND(#REF!="H",$Y27&lt;3),TRUE,)</formula>
    </cfRule>
  </conditionalFormatting>
  <conditionalFormatting sqref="L10:L20">
    <cfRule type="expression" dxfId="336" priority="34" stopIfTrue="1">
      <formula>IF($X10&lt;2,TRUE,)</formula>
    </cfRule>
  </conditionalFormatting>
  <conditionalFormatting sqref="M10:M20">
    <cfRule type="expression" dxfId="335" priority="37" stopIfTrue="1">
      <formula>IF(X10&lt;3,TRUE,)</formula>
    </cfRule>
  </conditionalFormatting>
  <conditionalFormatting sqref="N10:N20">
    <cfRule type="expression" dxfId="334" priority="40" stopIfTrue="1">
      <formula>IF($X10&lt;4,TRUE,)</formula>
    </cfRule>
  </conditionalFormatting>
  <conditionalFormatting sqref="O10:O20">
    <cfRule type="expression" dxfId="333" priority="43" stopIfTrue="1">
      <formula>IF($X10&lt;5,TRUE,)</formula>
    </cfRule>
  </conditionalFormatting>
  <conditionalFormatting sqref="P10:P20">
    <cfRule type="expression" dxfId="332" priority="46" stopIfTrue="1">
      <formula>IF($X10&lt;6,TRUE,)</formula>
    </cfRule>
  </conditionalFormatting>
  <conditionalFormatting sqref="Q10:Q20">
    <cfRule type="expression" dxfId="331" priority="49" stopIfTrue="1">
      <formula>IF($X10&lt;7,TRUE,)</formula>
    </cfRule>
  </conditionalFormatting>
  <conditionalFormatting sqref="R10:R20">
    <cfRule type="expression" dxfId="330" priority="52" stopIfTrue="1">
      <formula>IF($X10&lt;8,TRUE,)</formula>
    </cfRule>
  </conditionalFormatting>
  <conditionalFormatting sqref="S10:S20">
    <cfRule type="expression" dxfId="329"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557" yWindow="412"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zoomScale="110" zoomScaleNormal="110" workbookViewId="0">
      <selection activeCell="A41" sqref="A41"/>
    </sheetView>
  </sheetViews>
  <sheetFormatPr defaultRowHeight="15.75" outlineLevelCol="1"/>
  <cols>
    <col min="1" max="1" width="16.75" style="601" customWidth="1"/>
    <col min="2" max="2" width="2.625" style="160" customWidth="1"/>
    <col min="3" max="3" width="2.625" customWidth="1"/>
    <col min="4" max="4" width="20.125" customWidth="1"/>
    <col min="5" max="7" width="14.625" customWidth="1"/>
    <col min="8" max="17" width="1.625" customWidth="1"/>
    <col min="18" max="19" width="2.625" customWidth="1"/>
    <col min="20" max="20" width="2.625" style="160" customWidth="1"/>
    <col min="21" max="21" width="44.125" style="160" customWidth="1"/>
    <col min="22" max="22" width="8.5" style="160" customWidth="1"/>
    <col min="23" max="23" width="13.125" style="160" customWidth="1"/>
    <col min="24" max="24" width="11.625" hidden="1" customWidth="1" outlineLevel="1"/>
    <col min="25" max="25" width="15.5" style="379" hidden="1" customWidth="1" outlineLevel="1"/>
    <col min="26" max="26" width="9.375" style="379" hidden="1" customWidth="1" outlineLevel="1"/>
    <col min="27" max="27" width="11.5" style="379" hidden="1" customWidth="1" outlineLevel="1"/>
    <col min="28" max="28" width="11.75" hidden="1" customWidth="1" outlineLevel="1"/>
    <col min="29" max="29" width="9" style="160" collapsed="1"/>
    <col min="30" max="61" width="9" style="160"/>
  </cols>
  <sheetData>
    <row r="1" spans="1:61" s="158" customFormat="1" ht="21" customHeight="1">
      <c r="A1" s="1077" t="s">
        <v>415</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7" t="s">
        <v>229</v>
      </c>
      <c r="E2" s="1217"/>
      <c r="F2" s="1217"/>
      <c r="G2" s="1291" t="str">
        <f>C.2Name</f>
        <v>Grants Pass Limited Maintenance Plans for CO and PM10</v>
      </c>
      <c r="H2" s="1291"/>
      <c r="I2" s="1291"/>
      <c r="J2" s="1291"/>
      <c r="K2" s="1291"/>
      <c r="L2" s="1291"/>
      <c r="M2" s="1291"/>
      <c r="N2" s="1291"/>
      <c r="O2" s="1291"/>
      <c r="P2" s="1291"/>
      <c r="Q2" s="1291"/>
      <c r="R2" s="1291"/>
      <c r="S2" s="200"/>
      <c r="T2" s="563"/>
      <c r="U2" s="1257"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57"/>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319" t="s">
        <v>696</v>
      </c>
      <c r="E4" s="1319"/>
      <c r="F4" s="1319"/>
      <c r="G4" s="1319"/>
      <c r="H4" s="1319"/>
      <c r="I4" s="1319"/>
      <c r="J4" s="1319"/>
      <c r="K4" s="1319"/>
      <c r="L4" s="1319"/>
      <c r="M4" s="1319"/>
      <c r="N4" s="1319"/>
      <c r="O4" s="1319"/>
      <c r="P4" s="1319"/>
      <c r="Q4" s="1319"/>
      <c r="R4" s="1319"/>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320" t="s">
        <v>228</v>
      </c>
      <c r="E5" s="1320"/>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326" t="s">
        <v>310</v>
      </c>
      <c r="J6" s="1326"/>
      <c r="K6" s="1326"/>
      <c r="L6" s="1326"/>
      <c r="M6" s="1326"/>
      <c r="N6" s="1326"/>
      <c r="O6" s="1326"/>
      <c r="P6" s="1326"/>
      <c r="Q6" s="1326"/>
      <c r="R6" s="114"/>
      <c r="S6" s="362"/>
      <c r="T6" s="563"/>
      <c r="U6" s="552" t="s">
        <v>0</v>
      </c>
      <c r="V6" s="161"/>
      <c r="W6" s="161"/>
      <c r="X6" s="50"/>
      <c r="Y6" s="50"/>
      <c r="Z6" s="52">
        <f>COUNTIF($I$8:$I$13,"X")</f>
        <v>1</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432</v>
      </c>
      <c r="F7" s="351" t="s">
        <v>42</v>
      </c>
      <c r="G7" s="351" t="s">
        <v>315</v>
      </c>
      <c r="H7" s="114"/>
      <c r="I7" s="1324" t="s">
        <v>312</v>
      </c>
      <c r="J7" s="1324"/>
      <c r="K7" s="1324"/>
      <c r="L7" s="1325" t="s">
        <v>311</v>
      </c>
      <c r="M7" s="1325"/>
      <c r="N7" s="1325"/>
      <c r="O7" s="1324" t="s">
        <v>313</v>
      </c>
      <c r="P7" s="1324"/>
      <c r="Q7" s="1324"/>
      <c r="R7" s="114"/>
      <c r="S7" s="47"/>
      <c r="T7" s="563" t="s">
        <v>0</v>
      </c>
      <c r="U7" s="161"/>
      <c r="V7" s="161"/>
      <c r="W7" s="161"/>
      <c r="X7" s="63" t="str">
        <f>IF(MAX(X8:X13)=3,"involves "&amp;Z7&amp;"previously unregulated parties",IF(MAX(X8:X13)=2,"involves "&amp;Z7&amp;"current regulated parties","not involved"))</f>
        <v>involves under one hundred current regulated parties</v>
      </c>
      <c r="Y7" s="63"/>
      <c r="Z7" s="1294" t="str">
        <f>IF(AB6&gt;0,"thousands of ",IF(AA6&gt;0,"hundreds of ", IF(Z6&gt;0,"under one hundred ","")))</f>
        <v xml:space="preserve">under one hundred </v>
      </c>
      <c r="AA7" s="1294"/>
      <c r="AB7" s="1294"/>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7"/>
      <c r="J8" s="1287"/>
      <c r="K8" s="1287"/>
      <c r="L8" s="1288"/>
      <c r="M8" s="1289"/>
      <c r="N8" s="1290"/>
      <c r="O8" s="1287"/>
      <c r="P8" s="1287"/>
      <c r="Q8" s="1287"/>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7"/>
      <c r="J9" s="1287"/>
      <c r="K9" s="1287"/>
      <c r="L9" s="1288"/>
      <c r="M9" s="1289"/>
      <c r="N9" s="1290"/>
      <c r="O9" s="1287"/>
      <c r="P9" s="1287"/>
      <c r="Q9" s="1287"/>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7" t="s">
        <v>1104</v>
      </c>
      <c r="J10" s="1287"/>
      <c r="K10" s="1287"/>
      <c r="L10" s="1288"/>
      <c r="M10" s="1289"/>
      <c r="N10" s="1290"/>
      <c r="O10" s="1287"/>
      <c r="P10" s="1287"/>
      <c r="Q10" s="1287"/>
      <c r="R10" s="350"/>
      <c r="S10" s="205"/>
      <c r="T10" s="563"/>
      <c r="U10" s="313" t="s">
        <v>316</v>
      </c>
      <c r="V10" s="167"/>
      <c r="W10" s="167"/>
      <c r="X10" s="665">
        <v>2</v>
      </c>
      <c r="Y10" s="470">
        <f t="shared" si="0"/>
        <v>1</v>
      </c>
      <c r="Z10" s="470" t="str">
        <f t="shared" si="1"/>
        <v xml:space="preserve"> under 100</v>
      </c>
      <c r="AA10" s="637" t="str">
        <f t="shared" si="2"/>
        <v>affects  under 100 currently regulated</v>
      </c>
      <c r="AB10" s="638">
        <f t="shared" si="3"/>
        <v>3</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7"/>
      <c r="J11" s="1287"/>
      <c r="K11" s="1287"/>
      <c r="L11" s="1288"/>
      <c r="M11" s="1289"/>
      <c r="N11" s="1290"/>
      <c r="O11" s="1287"/>
      <c r="P11" s="1287"/>
      <c r="Q11" s="1287"/>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7"/>
      <c r="J12" s="1287"/>
      <c r="K12" s="1287"/>
      <c r="L12" s="1288"/>
      <c r="M12" s="1289"/>
      <c r="N12" s="1290"/>
      <c r="O12" s="1287"/>
      <c r="P12" s="1287"/>
      <c r="Q12" s="1287"/>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7"/>
      <c r="J13" s="1287"/>
      <c r="K13" s="1287"/>
      <c r="L13" s="1288"/>
      <c r="M13" s="1289"/>
      <c r="N13" s="1290"/>
      <c r="O13" s="1287"/>
      <c r="P13" s="1287"/>
      <c r="Q13" s="1287"/>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299" t="s">
        <v>238</v>
      </c>
      <c r="E14" s="1299"/>
      <c r="F14" s="1299"/>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899999999999999" customHeight="1">
      <c r="A16" s="601"/>
      <c r="B16" s="563"/>
      <c r="C16" s="366"/>
      <c r="D16" s="1321" t="s">
        <v>217</v>
      </c>
      <c r="E16" s="1322"/>
      <c r="F16" s="1323"/>
      <c r="G16" s="1323"/>
      <c r="H16" s="1295"/>
      <c r="I16" s="1295"/>
      <c r="J16" s="1295"/>
      <c r="K16" s="1295"/>
      <c r="L16" s="1295"/>
      <c r="M16" s="1295"/>
      <c r="N16" s="1295"/>
      <c r="O16" s="1295"/>
      <c r="P16" s="1295"/>
      <c r="Q16" s="1295"/>
      <c r="R16" s="1295"/>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430</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9" t="s">
        <v>343</v>
      </c>
      <c r="E18" s="1309"/>
      <c r="F18" s="1309"/>
      <c r="G18" s="1309"/>
      <c r="H18" s="1309"/>
      <c r="I18" s="1309"/>
      <c r="J18" s="1309"/>
      <c r="K18" s="1309"/>
      <c r="L18" s="1309"/>
      <c r="M18" s="1309"/>
      <c r="N18" s="1309"/>
      <c r="O18" s="1309"/>
      <c r="P18" s="1309"/>
      <c r="Q18" s="1309"/>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16" t="s">
        <v>194</v>
      </c>
      <c r="G19" s="1316"/>
      <c r="H19" s="1312" t="s">
        <v>7</v>
      </c>
      <c r="I19" s="1312"/>
      <c r="J19" s="1312"/>
      <c r="K19" s="1312"/>
      <c r="L19" s="1312"/>
      <c r="M19" s="1312"/>
      <c r="N19" s="1312"/>
      <c r="O19" s="1312"/>
      <c r="P19" s="1312"/>
      <c r="Q19" s="1312"/>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310" t="s">
        <v>334</v>
      </c>
      <c r="E20" s="1311"/>
      <c r="F20" s="1297" t="s">
        <v>4</v>
      </c>
      <c r="G20" s="1297"/>
      <c r="H20" s="18">
        <v>1</v>
      </c>
      <c r="I20" s="19">
        <v>2</v>
      </c>
      <c r="J20" s="20">
        <v>3</v>
      </c>
      <c r="K20" s="21">
        <v>4</v>
      </c>
      <c r="L20" s="22">
        <v>5</v>
      </c>
      <c r="M20" s="23">
        <v>6</v>
      </c>
      <c r="N20" s="24">
        <v>7</v>
      </c>
      <c r="O20" s="25">
        <v>8</v>
      </c>
      <c r="P20" s="26">
        <v>9</v>
      </c>
      <c r="Q20" s="27">
        <v>10</v>
      </c>
      <c r="R20" s="267"/>
      <c r="S20" s="47"/>
      <c r="T20" s="563"/>
      <c r="U20" s="313" t="s">
        <v>969</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310" t="s">
        <v>335</v>
      </c>
      <c r="E21" s="1311"/>
      <c r="F21" s="1297" t="s">
        <v>4</v>
      </c>
      <c r="G21" s="1297"/>
      <c r="H21" s="18">
        <v>1</v>
      </c>
      <c r="I21" s="19">
        <v>2</v>
      </c>
      <c r="J21" s="20">
        <v>3</v>
      </c>
      <c r="K21" s="21">
        <v>4</v>
      </c>
      <c r="L21" s="22">
        <v>5</v>
      </c>
      <c r="M21" s="23">
        <v>6</v>
      </c>
      <c r="N21" s="24">
        <v>7</v>
      </c>
      <c r="O21" s="25">
        <v>8</v>
      </c>
      <c r="P21" s="26">
        <v>9</v>
      </c>
      <c r="Q21" s="27">
        <v>10</v>
      </c>
      <c r="R21" s="267"/>
      <c r="S21" s="47"/>
      <c r="T21" s="563"/>
      <c r="U21" s="313" t="s">
        <v>969</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310" t="s">
        <v>336</v>
      </c>
      <c r="E22" s="1311"/>
      <c r="F22" s="1297" t="s">
        <v>200</v>
      </c>
      <c r="G22" s="1297"/>
      <c r="H22" s="18">
        <v>1</v>
      </c>
      <c r="I22" s="19">
        <v>2</v>
      </c>
      <c r="J22" s="20">
        <v>3</v>
      </c>
      <c r="K22" s="21">
        <v>4</v>
      </c>
      <c r="L22" s="22">
        <v>5</v>
      </c>
      <c r="M22" s="23">
        <v>6</v>
      </c>
      <c r="N22" s="24">
        <v>7</v>
      </c>
      <c r="O22" s="25">
        <v>8</v>
      </c>
      <c r="P22" s="26">
        <v>9</v>
      </c>
      <c r="Q22" s="27">
        <v>10</v>
      </c>
      <c r="R22" s="267"/>
      <c r="S22" s="47"/>
      <c r="T22" s="563"/>
      <c r="U22" s="313" t="s">
        <v>969</v>
      </c>
      <c r="V22" s="169"/>
      <c r="W22" s="169"/>
      <c r="X22" s="52">
        <f t="shared" si="4"/>
        <v>2</v>
      </c>
      <c r="Y22" s="888" t="str">
        <f t="shared" si="5"/>
        <v>minor interest</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310" t="s">
        <v>337</v>
      </c>
      <c r="E23" s="1311"/>
      <c r="F23" s="1297" t="s">
        <v>200</v>
      </c>
      <c r="G23" s="1297"/>
      <c r="H23" s="18">
        <v>1</v>
      </c>
      <c r="I23" s="19">
        <v>2</v>
      </c>
      <c r="J23" s="20">
        <v>3</v>
      </c>
      <c r="K23" s="21">
        <v>4</v>
      </c>
      <c r="L23" s="22">
        <v>5</v>
      </c>
      <c r="M23" s="23">
        <v>6</v>
      </c>
      <c r="N23" s="24">
        <v>7</v>
      </c>
      <c r="O23" s="25">
        <v>8</v>
      </c>
      <c r="P23" s="26">
        <v>9</v>
      </c>
      <c r="Q23" s="27">
        <v>10</v>
      </c>
      <c r="R23" s="267"/>
      <c r="S23" s="47"/>
      <c r="T23" s="563"/>
      <c r="U23" s="313" t="s">
        <v>969</v>
      </c>
      <c r="V23" s="159"/>
      <c r="W23" s="159"/>
      <c r="X23" s="52">
        <f t="shared" si="4"/>
        <v>2</v>
      </c>
      <c r="Y23" s="888" t="str">
        <f t="shared" si="5"/>
        <v>minor interest</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310" t="s">
        <v>338</v>
      </c>
      <c r="E24" s="1311"/>
      <c r="F24" s="1297" t="s">
        <v>4</v>
      </c>
      <c r="G24" s="1297"/>
      <c r="H24" s="18">
        <v>1</v>
      </c>
      <c r="I24" s="19">
        <v>2</v>
      </c>
      <c r="J24" s="20">
        <v>3</v>
      </c>
      <c r="K24" s="21">
        <v>4</v>
      </c>
      <c r="L24" s="22">
        <v>5</v>
      </c>
      <c r="M24" s="23">
        <v>6</v>
      </c>
      <c r="N24" s="24">
        <v>7</v>
      </c>
      <c r="O24" s="25">
        <v>8</v>
      </c>
      <c r="P24" s="26">
        <v>9</v>
      </c>
      <c r="Q24" s="27">
        <v>10</v>
      </c>
      <c r="R24" s="267"/>
      <c r="S24" s="47"/>
      <c r="T24" s="563"/>
      <c r="U24" s="313" t="s">
        <v>969</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310" t="s">
        <v>339</v>
      </c>
      <c r="E25" s="1311"/>
      <c r="F25" s="1297" t="s">
        <v>202</v>
      </c>
      <c r="G25" s="1297"/>
      <c r="H25" s="18">
        <v>1</v>
      </c>
      <c r="I25" s="19">
        <v>2</v>
      </c>
      <c r="J25" s="20">
        <v>3</v>
      </c>
      <c r="K25" s="21">
        <v>4</v>
      </c>
      <c r="L25" s="22">
        <v>5</v>
      </c>
      <c r="M25" s="23">
        <v>6</v>
      </c>
      <c r="N25" s="24">
        <v>7</v>
      </c>
      <c r="O25" s="25">
        <v>8</v>
      </c>
      <c r="P25" s="26">
        <v>9</v>
      </c>
      <c r="Q25" s="27">
        <v>10</v>
      </c>
      <c r="R25" s="267"/>
      <c r="S25" s="47"/>
      <c r="T25" s="563"/>
      <c r="U25" s="313" t="s">
        <v>969</v>
      </c>
      <c r="V25" s="169"/>
      <c r="W25" s="169"/>
      <c r="X25" s="52">
        <f t="shared" si="4"/>
        <v>4</v>
      </c>
      <c r="Y25" s="888" t="str">
        <f t="shared" si="5"/>
        <v>moderate interest</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310" t="s">
        <v>340</v>
      </c>
      <c r="E26" s="1311"/>
      <c r="F26" s="1297" t="s">
        <v>200</v>
      </c>
      <c r="G26" s="1297"/>
      <c r="H26" s="18">
        <v>1</v>
      </c>
      <c r="I26" s="19">
        <v>2</v>
      </c>
      <c r="J26" s="20">
        <v>3</v>
      </c>
      <c r="K26" s="21">
        <v>4</v>
      </c>
      <c r="L26" s="22">
        <v>5</v>
      </c>
      <c r="M26" s="23">
        <v>6</v>
      </c>
      <c r="N26" s="24">
        <v>7</v>
      </c>
      <c r="O26" s="25">
        <v>8</v>
      </c>
      <c r="P26" s="26">
        <v>9</v>
      </c>
      <c r="Q26" s="27">
        <v>10</v>
      </c>
      <c r="R26" s="267"/>
      <c r="S26" s="47"/>
      <c r="T26" s="563"/>
      <c r="U26" s="313" t="s">
        <v>969</v>
      </c>
      <c r="V26" s="169"/>
      <c r="W26" s="169"/>
      <c r="X26" s="52">
        <f t="shared" si="4"/>
        <v>2</v>
      </c>
      <c r="Y26" s="888" t="str">
        <f t="shared" si="5"/>
        <v>minor interest</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310" t="s">
        <v>341</v>
      </c>
      <c r="E27" s="1311"/>
      <c r="F27" s="1297" t="s">
        <v>202</v>
      </c>
      <c r="G27" s="1297"/>
      <c r="H27" s="18">
        <v>1</v>
      </c>
      <c r="I27" s="19">
        <v>2</v>
      </c>
      <c r="J27" s="20">
        <v>3</v>
      </c>
      <c r="K27" s="21">
        <v>4</v>
      </c>
      <c r="L27" s="22">
        <v>5</v>
      </c>
      <c r="M27" s="23">
        <v>6</v>
      </c>
      <c r="N27" s="24">
        <v>7</v>
      </c>
      <c r="O27" s="25">
        <v>8</v>
      </c>
      <c r="P27" s="26">
        <v>9</v>
      </c>
      <c r="Q27" s="27">
        <v>10</v>
      </c>
      <c r="R27" s="267"/>
      <c r="S27" s="47"/>
      <c r="T27" s="563"/>
      <c r="U27" s="313" t="s">
        <v>969</v>
      </c>
      <c r="V27" s="169"/>
      <c r="W27" s="169"/>
      <c r="X27" s="52">
        <f t="shared" si="4"/>
        <v>4</v>
      </c>
      <c r="Y27" s="888" t="str">
        <f t="shared" si="5"/>
        <v>moderate interest</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310" t="s">
        <v>342</v>
      </c>
      <c r="E28" s="1311"/>
      <c r="F28" s="1297" t="s">
        <v>4</v>
      </c>
      <c r="G28" s="1297"/>
      <c r="H28" s="18">
        <v>1</v>
      </c>
      <c r="I28" s="19">
        <v>2</v>
      </c>
      <c r="J28" s="20">
        <v>3</v>
      </c>
      <c r="K28" s="21">
        <v>4</v>
      </c>
      <c r="L28" s="22">
        <v>5</v>
      </c>
      <c r="M28" s="23">
        <v>6</v>
      </c>
      <c r="N28" s="24">
        <v>7</v>
      </c>
      <c r="O28" s="25">
        <v>8</v>
      </c>
      <c r="P28" s="26">
        <v>9</v>
      </c>
      <c r="Q28" s="27">
        <v>10</v>
      </c>
      <c r="R28" s="267"/>
      <c r="S28" s="47"/>
      <c r="T28" s="563"/>
      <c r="U28" s="313" t="s">
        <v>969</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327" t="s">
        <v>213</v>
      </c>
      <c r="E29" s="1328"/>
      <c r="F29" s="1297" t="s">
        <v>4</v>
      </c>
      <c r="G29" s="1297"/>
      <c r="H29" s="18">
        <v>1</v>
      </c>
      <c r="I29" s="19">
        <v>2</v>
      </c>
      <c r="J29" s="20">
        <v>3</v>
      </c>
      <c r="K29" s="21">
        <v>4</v>
      </c>
      <c r="L29" s="22">
        <v>5</v>
      </c>
      <c r="M29" s="23">
        <v>6</v>
      </c>
      <c r="N29" s="24">
        <v>7</v>
      </c>
      <c r="O29" s="25">
        <v>8</v>
      </c>
      <c r="P29" s="26">
        <v>9</v>
      </c>
      <c r="Q29" s="27">
        <v>10</v>
      </c>
      <c r="R29" s="267"/>
      <c r="S29" s="47"/>
      <c r="T29" s="563"/>
      <c r="U29" s="313" t="s">
        <v>969</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327" t="s">
        <v>213</v>
      </c>
      <c r="E30" s="1328"/>
      <c r="F30" s="1297" t="s">
        <v>4</v>
      </c>
      <c r="G30" s="1297"/>
      <c r="H30" s="18">
        <v>1</v>
      </c>
      <c r="I30" s="19">
        <v>2</v>
      </c>
      <c r="J30" s="20">
        <v>3</v>
      </c>
      <c r="K30" s="21">
        <v>4</v>
      </c>
      <c r="L30" s="22">
        <v>5</v>
      </c>
      <c r="M30" s="23">
        <v>6</v>
      </c>
      <c r="N30" s="24">
        <v>7</v>
      </c>
      <c r="O30" s="25">
        <v>8</v>
      </c>
      <c r="P30" s="26">
        <v>9</v>
      </c>
      <c r="Q30" s="27">
        <v>10</v>
      </c>
      <c r="R30" s="267"/>
      <c r="S30" s="47"/>
      <c r="T30" s="563"/>
      <c r="U30" s="313" t="s">
        <v>969</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431</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2.8</v>
      </c>
      <c r="Y33" s="785" t="str">
        <f>IF(C.3Interest&gt;8,"high",IF(C.3Interest&gt;6,"medium/high",IF(C.3Interest&gt;4,"medium",IF(C.3Interest&gt;2,"low/medium","low"))))</f>
        <v>low/medium</v>
      </c>
      <c r="Z33" s="637" t="str">
        <f>IF(C.3Interest=0,"There is no expressed interest in this proposal at this time.","Interest in this proposal is "&amp;Y33&amp;".")</f>
        <v>Interest in this proposal is low/medium.</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409</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300" t="s">
        <v>0</v>
      </c>
      <c r="E35" s="1301"/>
      <c r="F35" s="1301"/>
      <c r="G35" s="1301"/>
      <c r="H35" s="1301"/>
      <c r="I35" s="1301"/>
      <c r="J35" s="1301"/>
      <c r="K35" s="1301"/>
      <c r="L35" s="1301"/>
      <c r="M35" s="1301"/>
      <c r="N35" s="1301"/>
      <c r="O35" s="1301"/>
      <c r="P35" s="1301"/>
      <c r="Q35" s="1301"/>
      <c r="R35" s="1302"/>
      <c r="S35" s="201"/>
      <c r="T35" s="563"/>
      <c r="U35"/>
      <c r="V35" s="379"/>
      <c r="W35" s="161"/>
      <c r="X35" s="147" t="s">
        <v>437</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435</v>
      </c>
      <c r="E36" s="390"/>
      <c r="F36" s="1298" t="s">
        <v>434</v>
      </c>
      <c r="G36" s="1298"/>
      <c r="H36" s="1298"/>
      <c r="I36" s="1298"/>
      <c r="J36" s="1298"/>
      <c r="K36" s="1298"/>
      <c r="L36" s="1298"/>
      <c r="M36" s="1298"/>
      <c r="N36" s="1298"/>
      <c r="O36" s="1298"/>
      <c r="P36" s="1298"/>
      <c r="Q36" s="1298"/>
      <c r="R36" s="1298"/>
      <c r="S36" s="346"/>
      <c r="T36" s="563"/>
      <c r="U36"/>
      <c r="V36" s="167"/>
      <c r="W36" s="167"/>
      <c r="X36" s="797" t="str">
        <f>C.3InterestDialog&amp;" "&amp;X41&amp;Z41</f>
        <v>Interest in this proposal is low/medium. DEQ does not plan to appoint an advisory committee.</v>
      </c>
      <c r="Y36" s="977" t="b">
        <f>IF(X37&gt;1,TRUE,FALSE)</f>
        <v>0</v>
      </c>
      <c r="Z36" s="978" t="str">
        <f>X41&amp;Z41</f>
        <v>DEQ does not plan to appoint an advisory committee.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2" customHeight="1">
      <c r="A37" s="1109"/>
      <c r="B37" s="563"/>
      <c r="C37" s="360"/>
      <c r="D37" s="376" t="s">
        <v>330</v>
      </c>
      <c r="E37" s="377"/>
      <c r="G37" s="643" t="s">
        <v>325</v>
      </c>
      <c r="H37"/>
      <c r="I37"/>
      <c r="J37" s="1292" t="s">
        <v>438</v>
      </c>
      <c r="K37" s="1292"/>
      <c r="L37" s="1292"/>
      <c r="M37" s="1292"/>
      <c r="N37" s="1292"/>
      <c r="O37" s="1292"/>
      <c r="P37" s="1292"/>
      <c r="Q37" s="1292"/>
      <c r="R37" s="1292"/>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2" customHeight="1">
      <c r="A38" s="1109"/>
      <c r="B38" s="563"/>
      <c r="C38" s="360"/>
      <c r="D38" s="376" t="s">
        <v>110</v>
      </c>
      <c r="E38" s="377"/>
      <c r="F38" s="114"/>
      <c r="G38" s="643" t="s">
        <v>326</v>
      </c>
      <c r="H38"/>
      <c r="I38"/>
      <c r="J38" s="1292" t="s">
        <v>328</v>
      </c>
      <c r="K38" s="1292"/>
      <c r="L38" s="1292"/>
      <c r="M38" s="1292"/>
      <c r="N38" s="1292"/>
      <c r="O38" s="1292"/>
      <c r="P38" s="1292"/>
      <c r="Q38" s="1292"/>
      <c r="R38" s="1292"/>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2" customHeight="1">
      <c r="A39" s="993"/>
      <c r="B39" s="563"/>
      <c r="C39" s="360"/>
      <c r="D39" s="376" t="s">
        <v>111</v>
      </c>
      <c r="E39" s="377"/>
      <c r="F39" s="114"/>
      <c r="G39" s="643" t="s">
        <v>327</v>
      </c>
      <c r="H39"/>
      <c r="I39"/>
      <c r="J39" s="1293" t="s">
        <v>439</v>
      </c>
      <c r="K39" s="1293"/>
      <c r="L39" s="1293"/>
      <c r="M39" s="1293"/>
      <c r="N39" s="1293"/>
      <c r="O39" s="1293"/>
      <c r="P39" s="1293"/>
      <c r="Q39" s="1293"/>
      <c r="R39" s="1293"/>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296" t="s">
        <v>213</v>
      </c>
      <c r="K40" s="1296"/>
      <c r="L40" s="1296"/>
      <c r="M40" s="1296"/>
      <c r="N40" s="1296"/>
      <c r="O40" s="1296"/>
      <c r="P40" s="1296"/>
      <c r="Q40" s="1296"/>
      <c r="R40" s="1296"/>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13"/>
      <c r="AA41" s="1314"/>
      <c r="AB41" s="1315"/>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433</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306" t="s">
        <v>0</v>
      </c>
      <c r="E44" s="1307"/>
      <c r="F44" s="1307"/>
      <c r="G44" s="1307"/>
      <c r="H44" s="1307"/>
      <c r="I44" s="1307"/>
      <c r="J44" s="1307"/>
      <c r="K44" s="1307"/>
      <c r="L44" s="1307"/>
      <c r="M44" s="1307"/>
      <c r="N44" s="1307"/>
      <c r="O44" s="1307"/>
      <c r="P44" s="1307"/>
      <c r="Q44" s="1307"/>
      <c r="R44" s="1308"/>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306" t="s">
        <v>0</v>
      </c>
      <c r="E46" s="1307"/>
      <c r="F46" s="1307"/>
      <c r="G46" s="1307"/>
      <c r="H46" s="1307"/>
      <c r="I46" s="1307"/>
      <c r="J46" s="1307"/>
      <c r="K46" s="1307"/>
      <c r="L46" s="1307"/>
      <c r="M46" s="1307"/>
      <c r="N46" s="1307"/>
      <c r="O46" s="1307"/>
      <c r="P46" s="1307"/>
      <c r="Q46" s="1307"/>
      <c r="R46" s="1308"/>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2" customHeight="1">
      <c r="A48" s="1090" t="s">
        <v>612</v>
      </c>
      <c r="B48" s="563"/>
      <c r="C48" s="360"/>
      <c r="E48"/>
      <c r="F48"/>
      <c r="G48"/>
      <c r="H48" s="114"/>
      <c r="I48" s="114"/>
      <c r="J48" s="114"/>
      <c r="K48" s="114"/>
      <c r="L48" s="114"/>
      <c r="M48" s="114"/>
      <c r="N48" s="114"/>
      <c r="O48" s="114"/>
      <c r="P48" s="114"/>
      <c r="Q48" s="114"/>
      <c r="R48" s="114"/>
      <c r="S48" s="292"/>
      <c r="T48" s="563" t="s">
        <v>0</v>
      </c>
      <c r="V48" s="175"/>
      <c r="W48" s="172"/>
      <c r="X48" s="1303"/>
      <c r="Y48" s="1304"/>
      <c r="Z48" s="1304"/>
      <c r="AA48" s="1304"/>
      <c r="AB48" s="1305"/>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414</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285" t="s">
        <v>410</v>
      </c>
      <c r="E50" s="1285"/>
      <c r="F50" s="1285"/>
      <c r="G50" s="1318" t="s">
        <v>237</v>
      </c>
      <c r="H50" s="1318"/>
      <c r="I50" s="1318"/>
      <c r="J50" s="1318"/>
      <c r="K50" s="1318"/>
      <c r="L50" s="1318"/>
      <c r="M50" s="1318"/>
      <c r="N50" s="1318"/>
      <c r="O50" s="1318"/>
      <c r="P50" s="1318"/>
      <c r="Q50" s="1318"/>
      <c r="R50" s="1318"/>
      <c r="S50" s="349"/>
      <c r="T50" s="563"/>
      <c r="U50" s="286"/>
      <c r="V50" s="286"/>
      <c r="W50" s="286"/>
      <c r="X50" s="844"/>
      <c r="Y50" s="844"/>
      <c r="Z50" s="985">
        <v>3</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Regional</v>
      </c>
      <c r="Z51" s="982" t="str">
        <f>IF(Z50=1,G51,IF(Z50=2,G52,IF(Z50=3,G53)))</f>
        <v xml:space="preserve">Public notice with hearing </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481</v>
      </c>
      <c r="H52" s="328"/>
      <c r="I52" s="356"/>
      <c r="J52" s="356"/>
      <c r="K52" s="356"/>
      <c r="L52" s="356"/>
      <c r="M52" s="356"/>
      <c r="N52" s="356"/>
      <c r="O52" s="356"/>
      <c r="P52" s="356"/>
      <c r="Q52" s="356"/>
      <c r="R52" s="356"/>
      <c r="S52" s="349"/>
      <c r="T52" s="563"/>
      <c r="U52" s="286"/>
      <c r="V52" s="286"/>
      <c r="W52" s="286"/>
      <c r="X52" s="284" t="b">
        <v>1</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1</v>
      </c>
      <c r="F54" s="328"/>
      <c r="G54" s="1277" t="s">
        <v>323</v>
      </c>
      <c r="H54" s="1277"/>
      <c r="I54" s="1277"/>
      <c r="J54" s="1277"/>
      <c r="K54" s="1277"/>
      <c r="L54" s="1277"/>
      <c r="M54" s="1277"/>
      <c r="N54" s="1277"/>
      <c r="O54" s="1277"/>
      <c r="P54" s="1277"/>
      <c r="Q54" s="1277"/>
      <c r="R54" s="1277"/>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278"/>
      <c r="H55" s="1278"/>
      <c r="I55" s="1278"/>
      <c r="J55" s="1278"/>
      <c r="K55" s="1278"/>
      <c r="L55" s="1278"/>
      <c r="M55" s="1278"/>
      <c r="N55" s="1278"/>
      <c r="O55" s="1278"/>
      <c r="P55" s="1278"/>
      <c r="Q55" s="1278"/>
      <c r="R55" s="1278"/>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286"/>
      <c r="E56" s="1286"/>
      <c r="F56" s="1286"/>
      <c r="G56" s="1286"/>
      <c r="H56" s="1286"/>
      <c r="I56" s="1286"/>
      <c r="J56" s="1286"/>
      <c r="K56" s="1286"/>
      <c r="L56" s="1286"/>
      <c r="M56" s="1286"/>
      <c r="N56" s="1286"/>
      <c r="O56" s="1286"/>
      <c r="P56" s="1286"/>
      <c r="Q56" s="1286"/>
      <c r="R56" s="1286"/>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45" t="s">
        <v>198</v>
      </c>
      <c r="E57" s="1245"/>
      <c r="F57" s="1245"/>
      <c r="G57" s="1245"/>
      <c r="H57" s="1245"/>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282"/>
      <c r="E58" s="1283"/>
      <c r="F58" s="1283"/>
      <c r="G58" s="1283"/>
      <c r="H58" s="1283"/>
      <c r="I58" s="1283"/>
      <c r="J58" s="1283"/>
      <c r="K58" s="1283"/>
      <c r="L58" s="1283"/>
      <c r="M58" s="1283"/>
      <c r="N58" s="1283"/>
      <c r="O58" s="1283"/>
      <c r="P58" s="1283"/>
      <c r="Q58" s="1283"/>
      <c r="R58" s="1284"/>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279" t="s">
        <v>1059</v>
      </c>
      <c r="E60" s="1280"/>
      <c r="F60" s="1280"/>
      <c r="G60" s="1280"/>
      <c r="H60" s="1280"/>
      <c r="I60" s="1280"/>
      <c r="J60" s="1280"/>
      <c r="K60" s="1280"/>
      <c r="L60" s="1280"/>
      <c r="M60" s="1280"/>
      <c r="N60" s="1280"/>
      <c r="O60" s="1280"/>
      <c r="P60" s="1280"/>
      <c r="Q60" s="1280"/>
      <c r="R60" s="1281"/>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317">
        <f ca="1">TODAY()</f>
        <v>41810</v>
      </c>
      <c r="G61" s="1317"/>
      <c r="H61" s="1317"/>
      <c r="I61" s="1317"/>
      <c r="J61" s="1317"/>
      <c r="K61" s="1317"/>
      <c r="L61" s="1317"/>
      <c r="M61" s="1317"/>
      <c r="N61" s="1317"/>
      <c r="O61" s="1317"/>
      <c r="P61" s="1317"/>
      <c r="Q61" s="1317"/>
      <c r="R61" s="1317"/>
      <c r="S61" s="1317"/>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c r="B62" s="563"/>
      <c r="C62" s="563"/>
      <c r="D62" s="563"/>
      <c r="E62" s="563"/>
      <c r="F62" s="563"/>
      <c r="G62" s="563"/>
      <c r="H62" s="563"/>
      <c r="I62" s="563"/>
      <c r="J62" s="563"/>
      <c r="K62" s="563"/>
      <c r="L62" s="563"/>
      <c r="M62" s="563"/>
      <c r="N62" s="563"/>
      <c r="O62" s="563"/>
      <c r="P62" s="563"/>
      <c r="Q62" s="563"/>
      <c r="R62" s="563"/>
      <c r="S62" s="563"/>
      <c r="T62" s="563"/>
    </row>
  </sheetData>
  <sheetProtection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91">
      <colorScale>
        <cfvo type="num" val="0"/>
        <cfvo type="num" val="5"/>
        <cfvo type="num" val="10"/>
        <color rgb="FF00B050"/>
        <color rgb="FFFFFF00"/>
        <color rgb="FFFF0000"/>
      </colorScale>
    </cfRule>
  </conditionalFormatting>
  <conditionalFormatting sqref="Q20:Q26 Q29:Q33">
    <cfRule type="expression" dxfId="328" priority="91" stopIfTrue="1">
      <formula>IF($X20&lt;10,TRUE,)</formula>
    </cfRule>
  </conditionalFormatting>
  <conditionalFormatting sqref="Q58 Q60">
    <cfRule type="expression" dxfId="327" priority="5042" stopIfTrue="1">
      <formula>IF(AND(#REF!="H",$X57&lt;10),TRUE,)</formula>
    </cfRule>
  </conditionalFormatting>
  <conditionalFormatting sqref="H58 H60">
    <cfRule type="expression" dxfId="326" priority="5043" stopIfTrue="1">
      <formula>IF(AND(#REF!="H",$X57&lt;1),TRUE,)</formula>
    </cfRule>
  </conditionalFormatting>
  <conditionalFormatting sqref="I58 I60">
    <cfRule type="expression" dxfId="325" priority="5044" stopIfTrue="1">
      <formula>IF(AND(#REF!="H",$X57&lt;2),TRUE,)</formula>
    </cfRule>
  </conditionalFormatting>
  <conditionalFormatting sqref="K58 K60">
    <cfRule type="expression" dxfId="324" priority="5045" stopIfTrue="1">
      <formula>IF(AND(#REF!="H",$X57&lt;4),TRUE,)</formula>
    </cfRule>
  </conditionalFormatting>
  <conditionalFormatting sqref="L58 L60">
    <cfRule type="expression" dxfId="323" priority="5046" stopIfTrue="1">
      <formula>IF(AND(#REF!="H",$X57&lt;5),TRUE,)</formula>
    </cfRule>
  </conditionalFormatting>
  <conditionalFormatting sqref="M58 M60">
    <cfRule type="expression" dxfId="322" priority="5047" stopIfTrue="1">
      <formula>IF(AND(#REF!="H",$X57&lt;6),TRUE,)</formula>
    </cfRule>
  </conditionalFormatting>
  <conditionalFormatting sqref="N58 N60">
    <cfRule type="expression" dxfId="321" priority="5048" stopIfTrue="1">
      <formula>IF(AND(#REF!="H",$X57&lt;7),TRUE,)</formula>
    </cfRule>
  </conditionalFormatting>
  <conditionalFormatting sqref="O58 O60">
    <cfRule type="expression" dxfId="320" priority="5049" stopIfTrue="1">
      <formula>IF(AND(#REF!="H",$X57&lt;8),TRUE,)</formula>
    </cfRule>
  </conditionalFormatting>
  <conditionalFormatting sqref="P58 P60">
    <cfRule type="expression" dxfId="319" priority="5050" stopIfTrue="1">
      <formula>IF(AND(#REF!="H",$X57&lt;9),TRUE,)</formula>
    </cfRule>
  </conditionalFormatting>
  <conditionalFormatting sqref="J58 J60">
    <cfRule type="expression" dxfId="318" priority="5051" stopIfTrue="1">
      <formula>IF(AND(#REF!="H",$X57&lt;3),TRUE,)</formula>
    </cfRule>
  </conditionalFormatting>
  <conditionalFormatting sqref="H20:H26 H29:H33">
    <cfRule type="expression" dxfId="317" priority="4961" stopIfTrue="1">
      <formula>IF($X20&lt;1,TRUE,)</formula>
    </cfRule>
  </conditionalFormatting>
  <conditionalFormatting sqref="I20:I26 I29:I33">
    <cfRule type="expression" dxfId="316" priority="4965" stopIfTrue="1">
      <formula>IF($X20&lt;2,TRUE,)</formula>
    </cfRule>
  </conditionalFormatting>
  <conditionalFormatting sqref="J20:J26 J29:J33">
    <cfRule type="expression" dxfId="315" priority="4968" stopIfTrue="1">
      <formula>IF($X20&lt;3,TRUE,)</formula>
    </cfRule>
  </conditionalFormatting>
  <conditionalFormatting sqref="K20:K26 K29:K33">
    <cfRule type="expression" dxfId="314" priority="4971" stopIfTrue="1">
      <formula>IF($X20&lt;4,TRUE,)</formula>
    </cfRule>
  </conditionalFormatting>
  <conditionalFormatting sqref="L20:L26 L29:L33">
    <cfRule type="expression" dxfId="313" priority="4974" stopIfTrue="1">
      <formula>IF($X20&lt;5,TRUE,)</formula>
    </cfRule>
  </conditionalFormatting>
  <conditionalFormatting sqref="M29:S33 AD20:LR33 M20:S26">
    <cfRule type="expression" dxfId="312" priority="4977" stopIfTrue="1">
      <formula>IF($X20&lt;6,TRUE,)</formula>
    </cfRule>
  </conditionalFormatting>
  <conditionalFormatting sqref="N20:N26 N29:N33">
    <cfRule type="expression" dxfId="311" priority="4981" stopIfTrue="1">
      <formula>IF($X20&lt;7,TRUE,)</formula>
    </cfRule>
  </conditionalFormatting>
  <conditionalFormatting sqref="O20:O26 O29:O33">
    <cfRule type="expression" dxfId="310" priority="4985" stopIfTrue="1">
      <formula>IF($X20&lt;8,TRUE,)</formula>
    </cfRule>
  </conditionalFormatting>
  <conditionalFormatting sqref="P20:P26 P29:P33">
    <cfRule type="expression" dxfId="309" priority="4988" stopIfTrue="1">
      <formula>IF($X20&lt;9,TRUE,)</formula>
    </cfRule>
  </conditionalFormatting>
  <conditionalFormatting sqref="Q57">
    <cfRule type="expression" dxfId="308" priority="5110" stopIfTrue="1">
      <formula>IF(AND(#REF!="H",$X50&lt;10),TRUE,)</formula>
    </cfRule>
  </conditionalFormatting>
  <conditionalFormatting sqref="I57">
    <cfRule type="expression" dxfId="307" priority="5112" stopIfTrue="1">
      <formula>IF(AND(#REF!="H",$X50&lt;2),TRUE,)</formula>
    </cfRule>
  </conditionalFormatting>
  <conditionalFormatting sqref="K57">
    <cfRule type="expression" dxfId="306" priority="5113" stopIfTrue="1">
      <formula>IF(AND(#REF!="H",$X50&lt;4),TRUE,)</formula>
    </cfRule>
  </conditionalFormatting>
  <conditionalFormatting sqref="L57">
    <cfRule type="expression" dxfId="305" priority="5114" stopIfTrue="1">
      <formula>IF(AND(#REF!="H",$X50&lt;5),TRUE,)</formula>
    </cfRule>
  </conditionalFormatting>
  <conditionalFormatting sqref="M57">
    <cfRule type="expression" dxfId="304" priority="5115" stopIfTrue="1">
      <formula>IF(AND(#REF!="H",$X50&lt;6),TRUE,)</formula>
    </cfRule>
  </conditionalFormatting>
  <conditionalFormatting sqref="N57">
    <cfRule type="expression" dxfId="303" priority="5116" stopIfTrue="1">
      <formula>IF(AND(#REF!="H",$X50&lt;7),TRUE,)</formula>
    </cfRule>
  </conditionalFormatting>
  <conditionalFormatting sqref="O57">
    <cfRule type="expression" dxfId="302" priority="5117" stopIfTrue="1">
      <formula>IF(AND(#REF!="H",$X50&lt;8),TRUE,)</formula>
    </cfRule>
  </conditionalFormatting>
  <conditionalFormatting sqref="P57">
    <cfRule type="expression" dxfId="301" priority="5118" stopIfTrue="1">
      <formula>IF(AND(#REF!="H",$X50&lt;9),TRUE,)</formula>
    </cfRule>
  </conditionalFormatting>
  <conditionalFormatting sqref="J57">
    <cfRule type="expression" dxfId="300" priority="5119" stopIfTrue="1">
      <formula>IF(AND(#REF!="H",$X50&lt;3),TRUE,)</formula>
    </cfRule>
  </conditionalFormatting>
  <conditionalFormatting sqref="Q59">
    <cfRule type="expression" dxfId="299" priority="5122" stopIfTrue="1">
      <formula>IF(AND(#REF!="H",#REF!&lt;10),TRUE,)</formula>
    </cfRule>
  </conditionalFormatting>
  <conditionalFormatting sqref="H59">
    <cfRule type="expression" dxfId="298" priority="5125" stopIfTrue="1">
      <formula>IF(AND(#REF!="H",#REF!&lt;1),TRUE,)</formula>
    </cfRule>
  </conditionalFormatting>
  <conditionalFormatting sqref="I59">
    <cfRule type="expression" dxfId="297" priority="5128" stopIfTrue="1">
      <formula>IF(AND(#REF!="H",#REF!&lt;2),TRUE,)</formula>
    </cfRule>
  </conditionalFormatting>
  <conditionalFormatting sqref="K59">
    <cfRule type="expression" dxfId="296" priority="5131" stopIfTrue="1">
      <formula>IF(AND(#REF!="H",#REF!&lt;4),TRUE,)</formula>
    </cfRule>
  </conditionalFormatting>
  <conditionalFormatting sqref="L59">
    <cfRule type="expression" dxfId="295" priority="5134" stopIfTrue="1">
      <formula>IF(AND(#REF!="H",#REF!&lt;5),TRUE,)</formula>
    </cfRule>
  </conditionalFormatting>
  <conditionalFormatting sqref="M59">
    <cfRule type="expression" dxfId="294" priority="5137" stopIfTrue="1">
      <formula>IF(AND(#REF!="H",#REF!&lt;6),TRUE,)</formula>
    </cfRule>
  </conditionalFormatting>
  <conditionalFormatting sqref="N59">
    <cfRule type="expression" dxfId="293" priority="5140" stopIfTrue="1">
      <formula>IF(AND(#REF!="H",#REF!&lt;7),TRUE,)</formula>
    </cfRule>
  </conditionalFormatting>
  <conditionalFormatting sqref="O59">
    <cfRule type="expression" dxfId="292" priority="5143" stopIfTrue="1">
      <formula>IF(AND(#REF!="H",#REF!&lt;8),TRUE,)</formula>
    </cfRule>
  </conditionalFormatting>
  <conditionalFormatting sqref="P59">
    <cfRule type="expression" dxfId="291" priority="5146" stopIfTrue="1">
      <formula>IF(AND(#REF!="H",#REF!&lt;9),TRUE,)</formula>
    </cfRule>
  </conditionalFormatting>
  <conditionalFormatting sqref="J59">
    <cfRule type="expression" dxfId="290" priority="5149" stopIfTrue="1">
      <formula>IF(AND(#REF!="H",#REF!&lt;3),TRUE,)</formula>
    </cfRule>
  </conditionalFormatting>
  <conditionalFormatting sqref="Q28">
    <cfRule type="expression" dxfId="289" priority="35" stopIfTrue="1">
      <formula>IF($X28&lt;10,TRUE,)</formula>
    </cfRule>
  </conditionalFormatting>
  <conditionalFormatting sqref="H28">
    <cfRule type="expression" dxfId="288" priority="36" stopIfTrue="1">
      <formula>IF($X28&lt;1,TRUE,)</formula>
    </cfRule>
  </conditionalFormatting>
  <conditionalFormatting sqref="I28">
    <cfRule type="expression" dxfId="287" priority="37" stopIfTrue="1">
      <formula>IF($X28&lt;2,TRUE,)</formula>
    </cfRule>
  </conditionalFormatting>
  <conditionalFormatting sqref="J28">
    <cfRule type="expression" dxfId="286" priority="38" stopIfTrue="1">
      <formula>IF($X28&lt;3,TRUE,)</formula>
    </cfRule>
  </conditionalFormatting>
  <conditionalFormatting sqref="K28">
    <cfRule type="expression" dxfId="285" priority="39" stopIfTrue="1">
      <formula>IF($X28&lt;4,TRUE,)</formula>
    </cfRule>
  </conditionalFormatting>
  <conditionalFormatting sqref="L28">
    <cfRule type="expression" dxfId="284" priority="40" stopIfTrue="1">
      <formula>IF($X28&lt;5,TRUE,)</formula>
    </cfRule>
  </conditionalFormatting>
  <conditionalFormatting sqref="M28:S28">
    <cfRule type="expression" dxfId="283" priority="41" stopIfTrue="1">
      <formula>IF($X28&lt;6,TRUE,)</formula>
    </cfRule>
  </conditionalFormatting>
  <conditionalFormatting sqref="N28">
    <cfRule type="expression" dxfId="282" priority="42" stopIfTrue="1">
      <formula>IF($X28&lt;7,TRUE,)</formula>
    </cfRule>
  </conditionalFormatting>
  <conditionalFormatting sqref="O28">
    <cfRule type="expression" dxfId="281" priority="43" stopIfTrue="1">
      <formula>IF($X28&lt;8,TRUE,)</formula>
    </cfRule>
  </conditionalFormatting>
  <conditionalFormatting sqref="P28">
    <cfRule type="expression" dxfId="280" priority="44" stopIfTrue="1">
      <formula>IF($X28&lt;9,TRUE,)</formula>
    </cfRule>
  </conditionalFormatting>
  <conditionalFormatting sqref="Q27">
    <cfRule type="expression" dxfId="279" priority="24" stopIfTrue="1">
      <formula>IF($X27&lt;10,TRUE,)</formula>
    </cfRule>
  </conditionalFormatting>
  <conditionalFormatting sqref="H27">
    <cfRule type="expression" dxfId="278" priority="25" stopIfTrue="1">
      <formula>IF($X27&lt;1,TRUE,)</formula>
    </cfRule>
  </conditionalFormatting>
  <conditionalFormatting sqref="I27">
    <cfRule type="expression" dxfId="277" priority="26" stopIfTrue="1">
      <formula>IF($X27&lt;2,TRUE,)</formula>
    </cfRule>
  </conditionalFormatting>
  <conditionalFormatting sqref="J27">
    <cfRule type="expression" dxfId="276" priority="27" stopIfTrue="1">
      <formula>IF($X27&lt;3,TRUE,)</formula>
    </cfRule>
  </conditionalFormatting>
  <conditionalFormatting sqref="K27">
    <cfRule type="expression" dxfId="275" priority="28" stopIfTrue="1">
      <formula>IF($X27&lt;4,TRUE,)</formula>
    </cfRule>
  </conditionalFormatting>
  <conditionalFormatting sqref="L27">
    <cfRule type="expression" dxfId="274" priority="29" stopIfTrue="1">
      <formula>IF($X27&lt;5,TRUE,)</formula>
    </cfRule>
  </conditionalFormatting>
  <conditionalFormatting sqref="M27:S27">
    <cfRule type="expression" dxfId="273" priority="30" stopIfTrue="1">
      <formula>IF($X27&lt;6,TRUE,)</formula>
    </cfRule>
  </conditionalFormatting>
  <conditionalFormatting sqref="N27">
    <cfRule type="expression" dxfId="272" priority="31" stopIfTrue="1">
      <formula>IF($X27&lt;7,TRUE,)</formula>
    </cfRule>
  </conditionalFormatting>
  <conditionalFormatting sqref="O27">
    <cfRule type="expression" dxfId="271" priority="32" stopIfTrue="1">
      <formula>IF($X27&lt;8,TRUE,)</formula>
    </cfRule>
  </conditionalFormatting>
  <conditionalFormatting sqref="P27">
    <cfRule type="expression" dxfId="270" priority="33" stopIfTrue="1">
      <formula>IF($X27&lt;9,TRUE,)</formula>
    </cfRule>
  </conditionalFormatting>
  <conditionalFormatting sqref="L8:Q13 I8:K9 I11:K13">
    <cfRule type="expression" dxfId="269" priority="23">
      <formula>IF($X$8=1,TRUE)</formula>
    </cfRule>
  </conditionalFormatting>
  <conditionalFormatting sqref="Q60">
    <cfRule type="expression" dxfId="268" priority="11" stopIfTrue="1">
      <formula>IF(AND(#REF!="H",$X59&lt;10),TRUE,)</formula>
    </cfRule>
  </conditionalFormatting>
  <conditionalFormatting sqref="H60">
    <cfRule type="expression" dxfId="267" priority="10" stopIfTrue="1">
      <formula>IF(AND(#REF!="H",$X59&lt;1),TRUE,)</formula>
    </cfRule>
  </conditionalFormatting>
  <conditionalFormatting sqref="I60">
    <cfRule type="expression" dxfId="266" priority="9" stopIfTrue="1">
      <formula>IF(AND(#REF!="H",$X59&lt;2),TRUE,)</formula>
    </cfRule>
  </conditionalFormatting>
  <conditionalFormatting sqref="K60">
    <cfRule type="expression" dxfId="265" priority="8" stopIfTrue="1">
      <formula>IF(AND(#REF!="H",$X59&lt;4),TRUE,)</formula>
    </cfRule>
  </conditionalFormatting>
  <conditionalFormatting sqref="L60">
    <cfRule type="expression" dxfId="264" priority="7" stopIfTrue="1">
      <formula>IF(AND(#REF!="H",$X59&lt;5),TRUE,)</formula>
    </cfRule>
  </conditionalFormatting>
  <conditionalFormatting sqref="M60">
    <cfRule type="expression" dxfId="263" priority="6" stopIfTrue="1">
      <formula>IF(AND(#REF!="H",$X59&lt;6),TRUE,)</formula>
    </cfRule>
  </conditionalFormatting>
  <conditionalFormatting sqref="N60">
    <cfRule type="expression" dxfId="262" priority="5" stopIfTrue="1">
      <formula>IF(AND(#REF!="H",$X59&lt;7),TRUE,)</formula>
    </cfRule>
  </conditionalFormatting>
  <conditionalFormatting sqref="O60">
    <cfRule type="expression" dxfId="261" priority="4" stopIfTrue="1">
      <formula>IF(AND(#REF!="H",$X59&lt;8),TRUE,)</formula>
    </cfRule>
  </conditionalFormatting>
  <conditionalFormatting sqref="P60">
    <cfRule type="expression" dxfId="260" priority="3" stopIfTrue="1">
      <formula>IF(AND(#REF!="H",$X59&lt;9),TRUE,)</formula>
    </cfRule>
  </conditionalFormatting>
  <conditionalFormatting sqref="J60">
    <cfRule type="expression" dxfId="259" priority="2" stopIfTrue="1">
      <formula>IF(AND(#REF!="H",$X59&lt;3),TRUE,)</formula>
    </cfRule>
  </conditionalFormatting>
  <conditionalFormatting sqref="I10:K10">
    <cfRule type="expression" dxfId="258" priority="1">
      <formula>IF($X$8=1,TRUE)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L8:L13 I8:I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topLeftCell="A7" zoomScaleNormal="100" workbookViewId="0">
      <selection activeCell="J16" sqref="J16"/>
    </sheetView>
  </sheetViews>
  <sheetFormatPr defaultRowHeight="15.75" outlineLevelCol="1"/>
  <cols>
    <col min="1" max="1" width="13.75" style="601" customWidth="1"/>
    <col min="2" max="2" width="2.75" style="160" customWidth="1"/>
    <col min="3" max="3" width="2.625" customWidth="1"/>
    <col min="4" max="4" width="19" customWidth="1"/>
    <col min="5" max="5" width="2.625" customWidth="1"/>
    <col min="6" max="6" width="9.125" customWidth="1"/>
    <col min="7" max="7" width="18.375" customWidth="1"/>
    <col min="8" max="8" width="6.625" customWidth="1"/>
    <col min="9" max="19" width="1.875" customWidth="1"/>
    <col min="20" max="20" width="2.75" customWidth="1"/>
    <col min="21" max="21" width="3.125" style="160" customWidth="1"/>
    <col min="22" max="22" width="35.125" style="571" customWidth="1"/>
    <col min="23" max="23" width="9" style="160"/>
    <col min="24" max="24" width="9" hidden="1" customWidth="1" outlineLevel="1"/>
    <col min="25" max="25" width="22.625" hidden="1" customWidth="1" outlineLevel="1"/>
    <col min="26" max="26" width="13.75" hidden="1" customWidth="1" outlineLevel="1"/>
    <col min="27" max="27" width="9" collapsed="1"/>
  </cols>
  <sheetData>
    <row r="1" spans="1:58" s="158" customFormat="1" ht="21" customHeight="1">
      <c r="A1" s="1077" t="s">
        <v>415</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7" t="s">
        <v>349</v>
      </c>
      <c r="E2" s="1217"/>
      <c r="F2" s="1217"/>
      <c r="G2" s="1358" t="str">
        <f>C.2Name</f>
        <v>Grants Pass Limited Maintenance Plans for CO and PM10</v>
      </c>
      <c r="H2" s="1358"/>
      <c r="I2" s="1358"/>
      <c r="J2" s="1358"/>
      <c r="K2" s="1358"/>
      <c r="L2" s="1358"/>
      <c r="M2" s="1358"/>
      <c r="N2" s="1358"/>
      <c r="O2" s="1358"/>
      <c r="P2" s="1358"/>
      <c r="Q2" s="1358"/>
      <c r="R2" s="1358"/>
      <c r="S2" s="1358"/>
      <c r="T2" s="200"/>
      <c r="U2" s="563"/>
      <c r="V2" s="572" t="s">
        <v>0</v>
      </c>
      <c r="W2" s="159"/>
      <c r="X2" s="68"/>
      <c r="Y2" s="147"/>
      <c r="Z2" s="147"/>
    </row>
    <row r="3" spans="1:58" s="66" customFormat="1" ht="12.75" customHeight="1" thickTop="1">
      <c r="A3" s="601"/>
      <c r="B3" s="563"/>
      <c r="C3" s="1364"/>
      <c r="D3" s="1365"/>
      <c r="E3" s="1365"/>
      <c r="F3" s="1365"/>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50" t="s">
        <v>145</v>
      </c>
      <c r="F4" s="1351"/>
      <c r="G4" s="1351"/>
      <c r="H4" s="1351"/>
      <c r="I4" s="1351"/>
      <c r="J4" s="1351"/>
      <c r="K4" s="1351"/>
      <c r="L4" s="1351"/>
      <c r="M4" s="1351"/>
      <c r="N4" s="1351"/>
      <c r="O4" s="1351"/>
      <c r="P4" s="1351"/>
      <c r="Q4" s="1351"/>
      <c r="R4" s="1352"/>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8" t="s">
        <v>186</v>
      </c>
      <c r="F6" s="1349"/>
      <c r="G6" s="654"/>
      <c r="H6" s="654"/>
      <c r="I6" s="654"/>
      <c r="J6" s="654"/>
      <c r="K6" s="654"/>
      <c r="L6" s="654"/>
      <c r="M6" s="654"/>
      <c r="N6" s="654"/>
      <c r="O6" s="654"/>
      <c r="P6" s="654"/>
      <c r="Q6" s="654"/>
      <c r="R6" s="654"/>
      <c r="S6" s="654"/>
      <c r="T6" s="654"/>
      <c r="U6" s="563"/>
      <c r="V6" s="313" t="s">
        <v>738</v>
      </c>
      <c r="W6" s="161"/>
      <c r="X6" s="289"/>
      <c r="Y6" s="147"/>
      <c r="Z6" s="147"/>
    </row>
    <row r="7" spans="1:58" s="66" customFormat="1" ht="28.5" customHeight="1">
      <c r="A7" s="601"/>
      <c r="B7" s="563"/>
      <c r="C7" s="279"/>
      <c r="D7" s="1359" t="s">
        <v>264</v>
      </c>
      <c r="E7" s="1359"/>
      <c r="F7" s="1359"/>
      <c r="G7" s="1359"/>
      <c r="H7" s="502"/>
      <c r="I7" s="1336" t="s">
        <v>286</v>
      </c>
      <c r="J7" s="1337"/>
      <c r="K7" s="1337"/>
      <c r="L7" s="1337"/>
      <c r="M7" s="1337"/>
      <c r="N7" s="1337"/>
      <c r="O7" s="1337"/>
      <c r="P7" s="1337"/>
      <c r="Q7" s="1337"/>
      <c r="R7" s="1338"/>
      <c r="S7" s="502"/>
      <c r="T7" s="309"/>
      <c r="U7" s="563"/>
      <c r="V7" s="313" t="s">
        <v>738</v>
      </c>
      <c r="W7" s="270"/>
      <c r="X7" s="998">
        <f>VLOOKUP(I7,C.VL_SeverityRating,2,FALSE)</f>
        <v>7</v>
      </c>
      <c r="Y7" s="986" t="str">
        <f>I7</f>
        <v>medium to high</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31" t="s">
        <v>280</v>
      </c>
      <c r="H8" s="1332"/>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53" t="s">
        <v>136</v>
      </c>
      <c r="E9" s="1353"/>
      <c r="F9" s="1353"/>
      <c r="G9" s="1353"/>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53" t="s">
        <v>137</v>
      </c>
      <c r="E10" s="1353"/>
      <c r="F10" s="1353"/>
      <c r="G10" s="1354"/>
      <c r="H10" s="114"/>
      <c r="I10" s="120"/>
      <c r="J10" s="120"/>
      <c r="K10" s="120"/>
      <c r="L10" s="120"/>
      <c r="M10" s="120"/>
      <c r="N10" s="120"/>
      <c r="O10" s="120"/>
      <c r="P10" s="120"/>
      <c r="Q10" s="120"/>
      <c r="R10" s="120"/>
      <c r="S10" s="114"/>
      <c r="T10" s="206"/>
      <c r="U10" s="563"/>
      <c r="V10" s="575" t="s">
        <v>0</v>
      </c>
      <c r="W10" s="273"/>
      <c r="X10" s="284" t="b">
        <v>1</v>
      </c>
      <c r="Y10" s="1000">
        <v>0</v>
      </c>
      <c r="Z10" s="1001">
        <f t="shared" ref="Z10:Z16" si="0">IF(X10=TRUE,7,0)</f>
        <v>7</v>
      </c>
      <c r="AB10" s="273"/>
      <c r="AC10" s="273"/>
    </row>
    <row r="11" spans="1:58" s="66" customFormat="1" ht="21" customHeight="1">
      <c r="A11" s="601"/>
      <c r="B11" s="563"/>
      <c r="C11" s="202"/>
      <c r="D11" s="1356" t="s">
        <v>190</v>
      </c>
      <c r="E11" s="1356"/>
      <c r="F11" s="1356"/>
      <c r="G11" s="1357"/>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56" t="s">
        <v>140</v>
      </c>
      <c r="E12" s="1356"/>
      <c r="F12" s="1356"/>
      <c r="G12" s="1357"/>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56" t="s">
        <v>265</v>
      </c>
      <c r="E13" s="1356"/>
      <c r="F13" s="1356"/>
      <c r="G13" s="1357"/>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56" t="s">
        <v>143</v>
      </c>
      <c r="E14" s="1356"/>
      <c r="F14" s="1356"/>
      <c r="G14" s="1357"/>
      <c r="H14" s="114"/>
      <c r="I14" s="114"/>
      <c r="J14" s="114"/>
      <c r="K14" s="114"/>
      <c r="L14" s="114"/>
      <c r="M14" s="114"/>
      <c r="N14" s="114"/>
      <c r="O14" s="114"/>
      <c r="P14" s="114"/>
      <c r="Q14" s="114"/>
      <c r="R14" s="114"/>
      <c r="S14" s="114"/>
      <c r="T14" s="206"/>
      <c r="U14" s="563"/>
      <c r="V14" s="575"/>
      <c r="W14" s="273"/>
      <c r="X14" s="284" t="b">
        <v>1</v>
      </c>
      <c r="Y14" s="1000" t="str">
        <f>IF($X14=FALSE,"",IF(COUNTIF($X15:$X$16,TRUE)=0,LOWER($D14),IF(COUNTIF($X15:$X$16,TRUE)=1,LOWER($D14)&amp;" and ",LOWER($D14)&amp;", ")))</f>
        <v xml:space="preserve">loss of reputation and </v>
      </c>
      <c r="Z14" s="1001">
        <f t="shared" si="0"/>
        <v>7</v>
      </c>
      <c r="AB14" s="273"/>
      <c r="AC14" s="273"/>
    </row>
    <row r="15" spans="1:58" s="66" customFormat="1" ht="21" customHeight="1">
      <c r="A15" s="601"/>
      <c r="B15" s="563"/>
      <c r="C15" s="202"/>
      <c r="D15" s="1367" t="s">
        <v>1116</v>
      </c>
      <c r="E15" s="1367"/>
      <c r="F15" s="1367"/>
      <c r="G15" s="1367"/>
      <c r="H15" s="1367"/>
      <c r="I15" s="1367"/>
      <c r="J15" s="1367"/>
      <c r="K15" s="1367"/>
      <c r="L15" s="1367"/>
      <c r="M15" s="1367"/>
      <c r="N15" s="1367"/>
      <c r="O15" s="1367"/>
      <c r="P15" s="1367"/>
      <c r="Q15" s="1367"/>
      <c r="R15" s="1367"/>
      <c r="S15" s="1367"/>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68" t="s">
        <v>1117</v>
      </c>
      <c r="E16" s="1368"/>
      <c r="F16" s="1368"/>
      <c r="G16" s="1368"/>
      <c r="H16" s="677"/>
      <c r="I16" s="677"/>
      <c r="J16" s="677"/>
      <c r="K16" s="677"/>
      <c r="L16" s="677"/>
      <c r="M16" s="677"/>
      <c r="N16" s="677"/>
      <c r="O16" s="677"/>
      <c r="P16" s="677"/>
      <c r="Q16" s="677"/>
      <c r="R16" s="677"/>
      <c r="S16" s="677"/>
      <c r="T16" s="206"/>
      <c r="U16" s="563"/>
      <c r="V16" s="575"/>
      <c r="W16" s="273"/>
      <c r="X16" s="284" t="b">
        <v>1</v>
      </c>
      <c r="Y16" s="1000" t="str">
        <f>IF($X16=FALSE,"",LOWER($D16))</f>
        <v>doing nothing will continue to require modeling for conformity analysis, which is expensive for grants pass</v>
      </c>
      <c r="Z16" s="1001">
        <f t="shared" si="0"/>
        <v>7</v>
      </c>
      <c r="AA16"/>
      <c r="AB16" s="273"/>
      <c r="AC16" s="273"/>
    </row>
    <row r="17" spans="1:27" s="66" customFormat="1" ht="27" customHeight="1">
      <c r="A17" s="601"/>
      <c r="B17" s="563"/>
      <c r="C17" s="202"/>
      <c r="D17" s="1355" t="s">
        <v>397</v>
      </c>
      <c r="E17" s="1355"/>
      <c r="F17" s="1355"/>
      <c r="G17" s="1355"/>
      <c r="H17" s="302"/>
      <c r="I17" s="302"/>
      <c r="J17" s="302"/>
      <c r="K17" s="302"/>
      <c r="L17" s="302"/>
      <c r="M17" s="302"/>
      <c r="N17" s="302"/>
      <c r="O17" s="302"/>
      <c r="P17" s="302"/>
      <c r="Q17" s="302"/>
      <c r="R17" s="302"/>
      <c r="S17" s="303"/>
      <c r="T17" s="206"/>
      <c r="U17" s="563"/>
      <c r="V17" s="576" t="s">
        <v>0</v>
      </c>
      <c r="W17" s="161"/>
      <c r="X17" s="1329" t="str">
        <f>IF(COUNTIF(X9:X16,TRUE),"If DEQ does not address this in rules, the program risks "&amp;Y9&amp;Y10&amp;Y11&amp;Y12&amp;Y13&amp;Y14&amp;Y15&amp;Y16&amp;".","")</f>
        <v>If DEQ does not address this in rules, the program risks 0loss of reputation and doing nothing will continue to require modeling for conformity analysis, which is expensive for grants pass.</v>
      </c>
      <c r="Y17" s="1329"/>
      <c r="Z17" s="1330"/>
      <c r="AA17"/>
    </row>
    <row r="18" spans="1:27" s="6" customFormat="1" ht="15.75" customHeight="1">
      <c r="A18" s="601"/>
      <c r="B18" s="563"/>
      <c r="C18" s="202"/>
      <c r="D18" s="1252" t="s">
        <v>0</v>
      </c>
      <c r="E18" s="1253"/>
      <c r="F18" s="1253"/>
      <c r="G18" s="1253"/>
      <c r="H18" s="1253"/>
      <c r="I18" s="1253"/>
      <c r="J18" s="1253"/>
      <c r="K18" s="1253"/>
      <c r="L18" s="1253"/>
      <c r="M18" s="1253"/>
      <c r="N18" s="1253"/>
      <c r="O18" s="1253"/>
      <c r="P18" s="1253"/>
      <c r="Q18" s="1253"/>
      <c r="R18" s="1253"/>
      <c r="S18" s="1254"/>
      <c r="T18" s="206"/>
      <c r="U18" s="563"/>
      <c r="V18" s="576"/>
      <c r="W18" s="161"/>
      <c r="X18" s="1330"/>
      <c r="Y18" s="1330"/>
      <c r="Z18" s="1330"/>
    </row>
    <row r="19" spans="1:27" s="66" customFormat="1" ht="21.75" customHeight="1">
      <c r="A19" s="601"/>
      <c r="B19" s="563"/>
      <c r="C19" s="202"/>
      <c r="D19" s="1343" t="s">
        <v>398</v>
      </c>
      <c r="E19" s="1343"/>
      <c r="F19" s="1343"/>
      <c r="G19" s="1343"/>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52" t="s">
        <v>0</v>
      </c>
      <c r="E20" s="1253"/>
      <c r="F20" s="1253"/>
      <c r="G20" s="1253"/>
      <c r="H20" s="1253"/>
      <c r="I20" s="1253"/>
      <c r="J20" s="1253"/>
      <c r="K20" s="1253"/>
      <c r="L20" s="1253"/>
      <c r="M20" s="1253"/>
      <c r="N20" s="1253"/>
      <c r="O20" s="1253"/>
      <c r="P20" s="1253"/>
      <c r="Q20" s="1253"/>
      <c r="R20" s="1253"/>
      <c r="S20" s="1254"/>
      <c r="T20" s="207"/>
      <c r="U20" s="563"/>
      <c r="V20" s="572" t="s">
        <v>0</v>
      </c>
      <c r="W20" s="161"/>
      <c r="X20" s="38"/>
      <c r="Y20" s="38"/>
      <c r="Z20" s="35"/>
    </row>
    <row r="21" spans="1:27" s="2" customFormat="1" ht="27" customHeight="1">
      <c r="A21" s="601"/>
      <c r="B21" s="563" t="s">
        <v>0</v>
      </c>
      <c r="C21" s="208"/>
      <c r="D21" s="1359" t="s">
        <v>192</v>
      </c>
      <c r="E21" s="1359"/>
      <c r="F21" s="1359"/>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66"/>
      <c r="K22" s="1366"/>
      <c r="L22" s="1366"/>
      <c r="M22" s="1366"/>
      <c r="N22" s="1366"/>
      <c r="O22" s="1366"/>
      <c r="P22" s="1366"/>
      <c r="Q22" s="1366"/>
      <c r="R22" s="1366"/>
      <c r="S22" s="1366"/>
      <c r="T22" s="209"/>
      <c r="U22" s="563"/>
      <c r="V22" s="577" t="s">
        <v>0</v>
      </c>
      <c r="W22" s="174"/>
      <c r="X22" s="115" t="s">
        <v>0</v>
      </c>
      <c r="Y22" s="115"/>
      <c r="Z22" s="115" t="s">
        <v>0</v>
      </c>
    </row>
    <row r="23" spans="1:27" s="2" customFormat="1" ht="29.25" customHeight="1">
      <c r="A23" s="601"/>
      <c r="B23" s="563"/>
      <c r="C23" s="211"/>
      <c r="D23" s="1360" t="s">
        <v>217</v>
      </c>
      <c r="E23" s="1361"/>
      <c r="F23" s="1361"/>
      <c r="G23" s="1362"/>
      <c r="H23" s="1362"/>
      <c r="I23" s="1362"/>
      <c r="J23" s="1363"/>
      <c r="K23" s="1363"/>
      <c r="L23" s="1363"/>
      <c r="M23" s="1363"/>
      <c r="N23" s="1363"/>
      <c r="O23" s="1363"/>
      <c r="P23" s="1363"/>
      <c r="Q23" s="1363"/>
      <c r="R23" s="1363"/>
      <c r="S23" s="1363"/>
      <c r="T23" s="212"/>
      <c r="U23" s="563"/>
      <c r="V23" s="578"/>
      <c r="W23" s="159"/>
      <c r="X23" s="144">
        <v>1</v>
      </c>
      <c r="Y23" s="75" t="s">
        <v>230</v>
      </c>
      <c r="Z23" s="75"/>
    </row>
    <row r="24" spans="1:27" s="843" customFormat="1" ht="17.25" customHeight="1">
      <c r="A24" s="852"/>
      <c r="B24" s="851"/>
      <c r="C24" s="973"/>
      <c r="D24" s="1347" t="s">
        <v>490</v>
      </c>
      <c r="E24" s="1347"/>
      <c r="F24" s="1347"/>
      <c r="G24" s="1347"/>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44" t="s">
        <v>0</v>
      </c>
      <c r="E25" s="1345"/>
      <c r="F25" s="1345"/>
      <c r="G25" s="1345"/>
      <c r="H25" s="1345"/>
      <c r="I25" s="1345"/>
      <c r="J25" s="1345"/>
      <c r="K25" s="1345"/>
      <c r="L25" s="1345"/>
      <c r="M25" s="1345"/>
      <c r="N25" s="1345"/>
      <c r="O25" s="1345"/>
      <c r="P25" s="1345"/>
      <c r="Q25" s="1345"/>
      <c r="R25" s="1345"/>
      <c r="S25" s="1346"/>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42" t="s">
        <v>399</v>
      </c>
      <c r="E27" s="1342"/>
      <c r="F27" s="1342"/>
      <c r="G27" s="1339" t="s">
        <v>0</v>
      </c>
      <c r="H27" s="1339"/>
      <c r="I27" s="1339"/>
      <c r="J27" s="1336" t="s">
        <v>37</v>
      </c>
      <c r="K27" s="1337"/>
      <c r="L27" s="1337"/>
      <c r="M27" s="1337"/>
      <c r="N27" s="1337"/>
      <c r="O27" s="1337"/>
      <c r="P27" s="1337"/>
      <c r="Q27" s="1337"/>
      <c r="R27" s="1337"/>
      <c r="S27" s="1338"/>
      <c r="T27" s="201"/>
      <c r="U27" s="563"/>
      <c r="V27" s="313" t="s">
        <v>757</v>
      </c>
      <c r="W27" s="161"/>
      <c r="X27" s="1002"/>
      <c r="Y27" s="147"/>
      <c r="Z27" s="147"/>
    </row>
    <row r="28" spans="1:27" s="66" customFormat="1" ht="15.75" customHeight="1">
      <c r="A28" s="601"/>
      <c r="B28" s="563"/>
      <c r="C28" s="202"/>
      <c r="D28" s="1342"/>
      <c r="E28" s="1342"/>
      <c r="F28" s="1342"/>
      <c r="G28" s="1340" t="s">
        <v>247</v>
      </c>
      <c r="H28" s="1340"/>
      <c r="I28" s="1341"/>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1</v>
      </c>
      <c r="Y28" s="113" t="str">
        <f>J27</f>
        <v>definitely not complex</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758</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124</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52" t="s">
        <v>0</v>
      </c>
      <c r="E33" s="1253"/>
      <c r="F33" s="1253"/>
      <c r="G33" s="1253"/>
      <c r="H33" s="1253"/>
      <c r="I33" s="1253"/>
      <c r="J33" s="1253"/>
      <c r="K33" s="1253"/>
      <c r="L33" s="1253"/>
      <c r="M33" s="1253"/>
      <c r="N33" s="1253"/>
      <c r="O33" s="1253"/>
      <c r="P33" s="1253"/>
      <c r="Q33" s="1253"/>
      <c r="R33" s="1253"/>
      <c r="S33" s="1254"/>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400</v>
      </c>
      <c r="B35" s="563"/>
      <c r="C35" s="202"/>
      <c r="D35" s="1333" t="s">
        <v>0</v>
      </c>
      <c r="E35" s="1334"/>
      <c r="F35" s="1334"/>
      <c r="G35" s="1334"/>
      <c r="H35" s="1334"/>
      <c r="I35" s="1334"/>
      <c r="J35" s="1334"/>
      <c r="K35" s="1334"/>
      <c r="L35" s="1334"/>
      <c r="M35" s="1334"/>
      <c r="N35" s="1334"/>
      <c r="O35" s="1334"/>
      <c r="P35" s="1334"/>
      <c r="Q35" s="1334"/>
      <c r="R35" s="1334"/>
      <c r="S35" s="1335"/>
      <c r="T35" s="201"/>
      <c r="U35" s="563"/>
      <c r="V35" s="582"/>
      <c r="W35" s="161"/>
      <c r="X35" s="122"/>
      <c r="Y35" s="147"/>
      <c r="Z35" s="147"/>
    </row>
    <row r="36" spans="1:26">
      <c r="B36" s="563"/>
      <c r="C36" s="293"/>
      <c r="D36" s="294"/>
      <c r="E36" s="294"/>
      <c r="F36" s="294"/>
      <c r="G36" s="1226">
        <f ca="1">TODAY()</f>
        <v>41810</v>
      </c>
      <c r="H36" s="1226"/>
      <c r="I36" s="1226"/>
      <c r="J36" s="1226"/>
      <c r="K36" s="1226"/>
      <c r="L36" s="1226"/>
      <c r="M36" s="1226"/>
      <c r="N36" s="1226"/>
      <c r="O36" s="1226"/>
      <c r="P36" s="1226"/>
      <c r="Q36" s="1226"/>
      <c r="R36" s="1226"/>
      <c r="S36" s="1226"/>
      <c r="T36" s="1227"/>
      <c r="U36" s="563"/>
    </row>
    <row r="37" spans="1:2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workbookViewId="0">
      <selection activeCell="D16" sqref="D16"/>
    </sheetView>
  </sheetViews>
  <sheetFormatPr defaultRowHeight="15.75" outlineLevelCol="1"/>
  <cols>
    <col min="1" max="1" width="14" style="602" customWidth="1"/>
    <col min="2" max="2" width="2.75" style="160" customWidth="1"/>
    <col min="3" max="3" width="2.75" style="178" customWidth="1"/>
    <col min="4" max="4" width="19.375" style="178" customWidth="1"/>
    <col min="5" max="5" width="2.625" style="178" customWidth="1"/>
    <col min="6" max="6" width="14.5" style="178" customWidth="1"/>
    <col min="7" max="7" width="15.625" style="178" customWidth="1"/>
    <col min="8" max="8" width="12" style="178" customWidth="1"/>
    <col min="9" max="19" width="1.875" style="178" customWidth="1"/>
    <col min="20" max="20" width="2.75" style="178" customWidth="1"/>
    <col min="21" max="21" width="2.625" style="160" customWidth="1"/>
    <col min="22" max="22" width="6.25" style="160" customWidth="1"/>
    <col min="23" max="23" width="9" style="160"/>
    <col min="24" max="24" width="16.875" style="178" hidden="1" customWidth="1" outlineLevel="1"/>
    <col min="25" max="25" width="32.125" style="178" hidden="1" customWidth="1" outlineLevel="1"/>
    <col min="26" max="26" width="50.25" style="178" hidden="1" customWidth="1" outlineLevel="1"/>
    <col min="27" max="27" width="19.375" style="178" customWidth="1" collapsed="1"/>
    <col min="28" max="28" width="24" style="178" customWidth="1"/>
    <col min="29" max="16384" width="9" style="178"/>
  </cols>
  <sheetData>
    <row r="1" spans="1:58" ht="20.25" customHeight="1">
      <c r="A1" s="1077" t="s">
        <v>415</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5" t="s">
        <v>100</v>
      </c>
      <c r="E2" s="1395"/>
      <c r="F2" s="1395"/>
      <c r="G2" s="1381" t="str">
        <f>C.2Name</f>
        <v>Grants Pass Limited Maintenance Plans for CO and PM10</v>
      </c>
      <c r="H2" s="1381"/>
      <c r="I2" s="1381"/>
      <c r="J2" s="1381"/>
      <c r="K2" s="1381"/>
      <c r="L2" s="1381"/>
      <c r="M2" s="1381"/>
      <c r="N2" s="1381"/>
      <c r="O2" s="1381"/>
      <c r="P2" s="1381"/>
      <c r="Q2" s="1381"/>
      <c r="R2" s="1381"/>
      <c r="S2" s="1381"/>
      <c r="T2" s="1102"/>
      <c r="U2" s="563" t="s">
        <v>0</v>
      </c>
      <c r="V2" s="180" t="s">
        <v>0</v>
      </c>
      <c r="W2" s="159"/>
      <c r="X2" s="68"/>
      <c r="Y2" s="147"/>
      <c r="Z2" s="1135" t="s">
        <v>0</v>
      </c>
    </row>
    <row r="3" spans="1:58" s="66" customFormat="1" ht="12.75" customHeight="1" thickTop="1">
      <c r="A3" s="602"/>
      <c r="B3" s="563"/>
      <c r="C3" s="1382"/>
      <c r="D3" s="1383"/>
      <c r="E3" s="1383"/>
      <c r="F3" s="1383"/>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436</v>
      </c>
      <c r="E4" s="1396" t="s">
        <v>423</v>
      </c>
      <c r="F4" s="1397"/>
      <c r="G4" s="1397"/>
      <c r="H4" s="1398"/>
      <c r="I4" s="1393" t="s">
        <v>0</v>
      </c>
      <c r="J4" s="1394"/>
      <c r="K4" s="1394"/>
      <c r="L4" s="1394"/>
      <c r="M4" s="1394"/>
      <c r="N4" s="1394"/>
      <c r="O4" s="114"/>
      <c r="P4" s="114"/>
      <c r="Q4" s="114"/>
      <c r="R4" s="114"/>
      <c r="S4" s="221"/>
      <c r="T4" s="154"/>
      <c r="U4" s="563"/>
      <c r="V4" s="313" t="s">
        <v>763</v>
      </c>
      <c r="X4" s="1143" t="str">
        <f>E4</f>
        <v>address an environmental problem indirectly.</v>
      </c>
      <c r="Y4" s="1142">
        <f>IF(E4="have no direct correlation to the environment.",0,1)</f>
        <v>1</v>
      </c>
      <c r="Z4" s="1135"/>
    </row>
    <row r="5" spans="1:58" s="9" customFormat="1" ht="28.5" customHeight="1">
      <c r="A5" s="601"/>
      <c r="B5" s="563"/>
      <c r="C5" s="388"/>
      <c r="D5" s="1371" t="str">
        <f>X5</f>
        <v/>
      </c>
      <c r="E5" s="1371"/>
      <c r="F5" s="1371"/>
      <c r="G5" s="1371"/>
      <c r="H5" s="1371"/>
      <c r="I5" s="1371"/>
      <c r="J5" s="1371"/>
      <c r="K5" s="1371"/>
      <c r="L5" s="1371"/>
      <c r="M5" s="1371"/>
      <c r="N5" s="1371"/>
      <c r="O5" s="1371"/>
      <c r="P5" s="1371"/>
      <c r="Q5" s="1371"/>
      <c r="R5" s="1371"/>
      <c r="S5" s="1371"/>
      <c r="T5" s="630"/>
      <c r="U5" s="563"/>
      <c r="V5" s="248"/>
      <c r="W5" s="248"/>
      <c r="X5" s="1369" t="str">
        <f>IF(E4="have no direct correlation to the environment.","The team does not need to complete this worksheet.","")</f>
        <v/>
      </c>
      <c r="Y5" s="1370"/>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6" t="s">
        <v>282</v>
      </c>
      <c r="J6" s="1387"/>
      <c r="K6" s="1387"/>
      <c r="L6" s="1387"/>
      <c r="M6" s="1387"/>
      <c r="N6" s="1387"/>
      <c r="O6" s="1387"/>
      <c r="P6" s="1387"/>
      <c r="Q6" s="1387"/>
      <c r="R6" s="1388"/>
      <c r="S6" s="183"/>
      <c r="T6" s="201"/>
      <c r="U6" s="563"/>
      <c r="V6" s="287"/>
      <c r="W6" s="161"/>
      <c r="X6" s="1136">
        <f>VLOOKUP(I6,C.VL_SeverityRating,2,FALSE)</f>
        <v>1</v>
      </c>
      <c r="Y6" s="1137" t="str">
        <f>I6</f>
        <v>low</v>
      </c>
      <c r="Z6" s="1135"/>
    </row>
    <row r="7" spans="1:58" s="66" customFormat="1" ht="15.75" customHeight="1">
      <c r="A7" s="602"/>
      <c r="B7" s="563"/>
      <c r="C7" s="279"/>
      <c r="D7" s="120"/>
      <c r="E7" s="502"/>
      <c r="F7" s="502"/>
      <c r="G7" s="1340" t="s">
        <v>280</v>
      </c>
      <c r="H7" s="1341"/>
      <c r="I7" s="199">
        <v>1</v>
      </c>
      <c r="J7" s="184">
        <v>2</v>
      </c>
      <c r="K7" s="185">
        <v>3</v>
      </c>
      <c r="L7" s="186">
        <v>4</v>
      </c>
      <c r="M7" s="187">
        <v>5</v>
      </c>
      <c r="N7" s="188">
        <v>6</v>
      </c>
      <c r="O7" s="189">
        <v>7</v>
      </c>
      <c r="P7" s="190">
        <v>8</v>
      </c>
      <c r="Q7" s="191">
        <v>9</v>
      </c>
      <c r="R7" s="192">
        <v>10</v>
      </c>
      <c r="S7" s="120"/>
      <c r="T7" s="309"/>
      <c r="U7" s="563"/>
      <c r="V7" s="385" t="s">
        <v>764</v>
      </c>
      <c r="W7" s="288"/>
      <c r="X7" s="1373" t="str">
        <f>IF(C.5EnvCorrolation=0,"",IF(COUNTIF(X8:X13,TRUE)=1,"The ""do nothing"" environmental consequence is: "&amp;Y8&amp;Y9&amp;Y10&amp;Y11&amp;Y12&amp;Y13&amp;".",IF(COUNTIF(X8:X13,TRUE),"The ""do nothing"" environmental consequences are: "&amp;Y8&amp;Y9&amp;Y10&amp;Y11&amp;Y12&amp;Y13&amp;".","")))</f>
        <v/>
      </c>
      <c r="Y7" s="1374"/>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53" t="s">
        <v>138</v>
      </c>
      <c r="E8" s="1353"/>
      <c r="F8" s="1353"/>
      <c r="G8" s="1353"/>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53" t="s">
        <v>139</v>
      </c>
      <c r="E9" s="1353"/>
      <c r="F9" s="1353"/>
      <c r="G9" s="1353"/>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56" t="s">
        <v>262</v>
      </c>
      <c r="E10" s="1356"/>
      <c r="F10" s="1356"/>
      <c r="G10" s="1356"/>
      <c r="H10" s="481"/>
      <c r="I10" s="481"/>
      <c r="J10" s="481"/>
      <c r="K10" s="481"/>
      <c r="L10" s="481"/>
      <c r="M10" s="481"/>
      <c r="N10" s="481"/>
      <c r="O10" s="481"/>
      <c r="P10" s="481"/>
      <c r="Q10" s="481"/>
      <c r="R10" s="687"/>
      <c r="S10" s="687"/>
      <c r="T10" s="206"/>
      <c r="U10" s="563"/>
      <c r="V10" s="1399"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389</v>
      </c>
      <c r="B11" s="563"/>
      <c r="C11" s="202"/>
      <c r="D11" s="1356" t="s">
        <v>261</v>
      </c>
      <c r="E11" s="1356"/>
      <c r="F11" s="1356"/>
      <c r="G11" s="1356"/>
      <c r="H11" s="1356"/>
      <c r="I11" s="481"/>
      <c r="J11" s="678"/>
      <c r="K11" s="553"/>
      <c r="L11" s="553"/>
      <c r="M11" s="553"/>
      <c r="N11" s="553"/>
      <c r="O11" s="553"/>
      <c r="P11" s="481"/>
      <c r="Q11" s="481"/>
      <c r="R11" s="481"/>
      <c r="S11" s="481"/>
      <c r="T11" s="206"/>
      <c r="U11" s="563"/>
      <c r="V11" s="1399"/>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68" t="s">
        <v>289</v>
      </c>
      <c r="E12" s="1368"/>
      <c r="F12" s="1368"/>
      <c r="G12" s="1368"/>
      <c r="H12" s="677"/>
      <c r="I12" s="677"/>
      <c r="J12" s="677"/>
      <c r="K12" s="677"/>
      <c r="L12" s="677"/>
      <c r="M12" s="677"/>
      <c r="N12" s="677"/>
      <c r="O12" s="677"/>
      <c r="P12" s="677"/>
      <c r="Q12" s="677"/>
      <c r="R12" s="677"/>
      <c r="S12" s="677"/>
      <c r="T12" s="206"/>
      <c r="U12" s="563"/>
      <c r="V12" s="1399"/>
      <c r="W12" s="285"/>
      <c r="X12" s="284" t="b">
        <v>0</v>
      </c>
      <c r="Y12" s="1023" t="str">
        <f>IF($X12=FALSE,"",IF($X$13=FALSE,LOWER($D12),LOWER($D12)&amp;" and "))</f>
        <v/>
      </c>
      <c r="Z12" s="495">
        <f t="shared" si="0"/>
        <v>0</v>
      </c>
      <c r="AA12" s="285" t="s">
        <v>0</v>
      </c>
      <c r="AB12" s="285"/>
    </row>
    <row r="13" spans="1:58" s="66" customFormat="1" ht="21" customHeight="1">
      <c r="A13" s="602"/>
      <c r="B13" s="563"/>
      <c r="C13" s="202"/>
      <c r="D13" s="1368" t="s">
        <v>289</v>
      </c>
      <c r="E13" s="1368"/>
      <c r="F13" s="1368"/>
      <c r="G13" s="1368"/>
      <c r="H13" s="677"/>
      <c r="I13" s="677"/>
      <c r="J13" s="677"/>
      <c r="K13" s="677"/>
      <c r="L13" s="677"/>
      <c r="M13" s="677"/>
      <c r="N13" s="677"/>
      <c r="O13" s="677"/>
      <c r="P13" s="677"/>
      <c r="Q13" s="677"/>
      <c r="R13" s="677"/>
      <c r="S13" s="677"/>
      <c r="T13" s="206"/>
      <c r="U13" s="563"/>
      <c r="V13" s="1399"/>
      <c r="W13" s="285"/>
      <c r="X13" s="284" t="b">
        <v>0</v>
      </c>
      <c r="Y13" s="1025" t="str">
        <f>IF($X13=FALSE,"",LOWER($D13))</f>
        <v/>
      </c>
      <c r="Z13" s="495">
        <f t="shared" si="0"/>
        <v>0</v>
      </c>
      <c r="AA13" s="285" t="s">
        <v>0</v>
      </c>
      <c r="AB13" s="285"/>
    </row>
    <row r="14" spans="1:58" s="66" customFormat="1" ht="30" customHeight="1">
      <c r="A14" s="602"/>
      <c r="B14" s="563"/>
      <c r="C14" s="590"/>
      <c r="D14" s="1389" t="s">
        <v>290</v>
      </c>
      <c r="E14" s="1389"/>
      <c r="F14" s="1389"/>
      <c r="G14" s="1389"/>
      <c r="H14" s="1389"/>
      <c r="I14" s="302"/>
      <c r="J14" s="302"/>
      <c r="K14" s="302"/>
      <c r="L14" s="302"/>
      <c r="M14" s="302"/>
      <c r="N14" s="302"/>
      <c r="O14" s="302"/>
      <c r="P14" s="302"/>
      <c r="Q14" s="302"/>
      <c r="R14" s="302"/>
      <c r="S14" s="303"/>
      <c r="T14" s="304"/>
      <c r="U14" s="563"/>
      <c r="V14" s="1399"/>
      <c r="W14" s="161"/>
      <c r="X14" s="1139" t="s">
        <v>0</v>
      </c>
      <c r="Y14" s="798" t="str">
        <f>Y9&amp;Y10&amp;Y11&amp;Y12&amp;Y13</f>
        <v/>
      </c>
      <c r="Z14" s="1008"/>
    </row>
    <row r="15" spans="1:58" s="66" customFormat="1" ht="29.25" customHeight="1">
      <c r="A15" s="602"/>
      <c r="B15" s="563"/>
      <c r="C15" s="202"/>
      <c r="D15" s="1240" t="s">
        <v>1120</v>
      </c>
      <c r="E15" s="1241"/>
      <c r="F15" s="1241"/>
      <c r="G15" s="1241"/>
      <c r="H15" s="1241"/>
      <c r="I15" s="1241"/>
      <c r="J15" s="1241"/>
      <c r="K15" s="1241"/>
      <c r="L15" s="1241"/>
      <c r="M15" s="1241"/>
      <c r="N15" s="1241"/>
      <c r="O15" s="1241"/>
      <c r="P15" s="1241"/>
      <c r="Q15" s="1241"/>
      <c r="R15" s="1241"/>
      <c r="S15" s="1242"/>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have a local environmental reach.</v>
      </c>
      <c r="Y16" s="627"/>
      <c r="Z16" s="627"/>
    </row>
    <row r="17" spans="1:66" s="9" customFormat="1" ht="24.75" customHeight="1">
      <c r="A17" s="601"/>
      <c r="B17" s="563"/>
      <c r="C17" s="203"/>
      <c r="D17" s="1401" t="s">
        <v>252</v>
      </c>
      <c r="E17" s="1401"/>
      <c r="F17" s="1401"/>
      <c r="G17" s="1401"/>
      <c r="H17" s="1401"/>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400" t="s">
        <v>0</v>
      </c>
      <c r="F18" s="1400"/>
      <c r="G18" s="570" t="s">
        <v>0</v>
      </c>
      <c r="H18" s="334" t="s">
        <v>0</v>
      </c>
      <c r="I18" s="1390" t="s">
        <v>0</v>
      </c>
      <c r="J18" s="1390"/>
      <c r="K18" s="1390"/>
      <c r="L18" s="1390"/>
      <c r="M18" s="1390"/>
      <c r="N18" s="1390"/>
      <c r="O18" s="1390"/>
      <c r="P18" s="335" t="s">
        <v>0</v>
      </c>
      <c r="Q18" s="335"/>
      <c r="R18" s="335"/>
      <c r="S18" s="336"/>
      <c r="T18" s="282"/>
      <c r="U18" s="563"/>
      <c r="V18" s="332"/>
      <c r="W18" s="332"/>
      <c r="X18" s="629">
        <v>1</v>
      </c>
      <c r="Y18" s="628" t="s">
        <v>411</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91" t="s">
        <v>256</v>
      </c>
      <c r="E21" s="1391"/>
      <c r="F21" s="1391"/>
      <c r="G21" s="1391"/>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92" t="s">
        <v>258</v>
      </c>
      <c r="E22" s="1392"/>
      <c r="F22" s="1392"/>
      <c r="G22" s="1392"/>
      <c r="H22" s="1392"/>
      <c r="I22" s="1392"/>
      <c r="J22" s="1392"/>
      <c r="K22" s="1392"/>
      <c r="L22" s="1392"/>
      <c r="M22" s="1392"/>
      <c r="N22" s="1392"/>
      <c r="O22" s="1392"/>
      <c r="P22" s="1392"/>
      <c r="Q22" s="1392"/>
      <c r="R22" s="1392"/>
      <c r="S22" s="1392"/>
      <c r="T22" s="304"/>
      <c r="U22" s="563"/>
      <c r="V22" s="180"/>
      <c r="W22" s="161"/>
      <c r="X22" s="1146" t="str">
        <f>IF(X28=0,"No","Yes")</f>
        <v>Yes</v>
      </c>
      <c r="Y22" s="55"/>
      <c r="Z22" s="55"/>
      <c r="AA22"/>
    </row>
    <row r="23" spans="1:66" s="66" customFormat="1" ht="21" customHeight="1">
      <c r="A23" s="602"/>
      <c r="B23" s="563"/>
      <c r="C23" s="202"/>
      <c r="D23" s="1356" t="s">
        <v>223</v>
      </c>
      <c r="E23" s="1356"/>
      <c r="F23" s="1356"/>
      <c r="G23" s="1356"/>
      <c r="H23" s="1356"/>
      <c r="I23" s="1356"/>
      <c r="J23" s="1356"/>
      <c r="K23" s="1356"/>
      <c r="L23" s="1356"/>
      <c r="M23" s="1356"/>
      <c r="N23" s="1356"/>
      <c r="O23" s="1356"/>
      <c r="P23" s="1356"/>
      <c r="Q23" s="1356"/>
      <c r="R23" s="687"/>
      <c r="S23" s="687"/>
      <c r="T23" s="304"/>
      <c r="U23" s="563"/>
      <c r="V23" s="180"/>
      <c r="W23" s="161"/>
      <c r="X23" s="284" t="b">
        <v>1</v>
      </c>
      <c r="Y23" s="55"/>
      <c r="Z23" s="55"/>
      <c r="AA23"/>
      <c r="AB23"/>
    </row>
    <row r="24" spans="1:66" s="66" customFormat="1" ht="21" customHeight="1">
      <c r="A24" s="602"/>
      <c r="B24" s="563"/>
      <c r="C24" s="202"/>
      <c r="D24" s="1356" t="s">
        <v>221</v>
      </c>
      <c r="E24" s="1356"/>
      <c r="F24" s="1356"/>
      <c r="G24" s="1356"/>
      <c r="H24" s="1356"/>
      <c r="I24" s="1356"/>
      <c r="J24" s="1356"/>
      <c r="K24" s="1356"/>
      <c r="L24" s="1356"/>
      <c r="M24" s="1356"/>
      <c r="N24" s="1356"/>
      <c r="O24" s="1356"/>
      <c r="P24" s="1356"/>
      <c r="Q24" s="1356"/>
      <c r="R24" s="1356"/>
      <c r="S24" s="1356"/>
      <c r="T24" s="304"/>
      <c r="U24" s="563"/>
      <c r="V24" s="180"/>
      <c r="W24" s="161"/>
      <c r="X24" s="284" t="b">
        <v>0</v>
      </c>
      <c r="Y24" s="55"/>
      <c r="Z24" s="55"/>
      <c r="AA24"/>
      <c r="AB24"/>
    </row>
    <row r="25" spans="1:66" s="66" customFormat="1" ht="21" customHeight="1">
      <c r="A25" s="602"/>
      <c r="B25" s="563"/>
      <c r="C25" s="202"/>
      <c r="D25" s="1353" t="s">
        <v>224</v>
      </c>
      <c r="E25" s="1353"/>
      <c r="F25" s="1353"/>
      <c r="G25" s="1353"/>
      <c r="H25" s="1353"/>
      <c r="I25" s="1353"/>
      <c r="J25" s="1353"/>
      <c r="K25" s="1353"/>
      <c r="L25" s="1353"/>
      <c r="M25" s="1353"/>
      <c r="N25" s="1353"/>
      <c r="O25" s="1353"/>
      <c r="P25" s="1353"/>
      <c r="Q25" s="1353"/>
      <c r="R25" s="1353"/>
      <c r="S25" s="1353"/>
      <c r="T25" s="304"/>
      <c r="U25" s="563"/>
      <c r="V25" s="180"/>
      <c r="W25" s="161"/>
      <c r="X25" s="284" t="b">
        <v>0</v>
      </c>
      <c r="Y25" s="38"/>
      <c r="Z25" s="55"/>
      <c r="AA25"/>
      <c r="AB25"/>
    </row>
    <row r="26" spans="1:66" s="66" customFormat="1" ht="21" customHeight="1">
      <c r="A26" s="602"/>
      <c r="B26" s="563"/>
      <c r="C26" s="202"/>
      <c r="D26" s="1353" t="s">
        <v>222</v>
      </c>
      <c r="E26" s="1353"/>
      <c r="F26" s="1353"/>
      <c r="G26" s="1353"/>
      <c r="H26" s="1353"/>
      <c r="I26" s="1353"/>
      <c r="J26" s="1353"/>
      <c r="K26" s="1353"/>
      <c r="L26" s="1353"/>
      <c r="M26" s="1353"/>
      <c r="N26" s="1353"/>
      <c r="O26" s="1353"/>
      <c r="P26" s="1353"/>
      <c r="Q26" s="1353"/>
      <c r="R26" s="1353"/>
      <c r="S26" s="1353"/>
      <c r="T26" s="304"/>
      <c r="U26" s="563"/>
      <c r="V26" s="180"/>
      <c r="W26" s="161"/>
      <c r="X26" s="284" t="b">
        <v>0</v>
      </c>
      <c r="Y26" s="324"/>
      <c r="Z26" s="55"/>
      <c r="AA26"/>
      <c r="AB26"/>
    </row>
    <row r="27" spans="1:66" s="66" customFormat="1" ht="21" customHeight="1">
      <c r="A27" s="602"/>
      <c r="B27" s="563"/>
      <c r="C27" s="202"/>
      <c r="D27" s="1353" t="s">
        <v>225</v>
      </c>
      <c r="E27" s="1353"/>
      <c r="F27" s="1353"/>
      <c r="G27" s="1353"/>
      <c r="H27" s="1353"/>
      <c r="I27" s="1353"/>
      <c r="J27" s="1353"/>
      <c r="K27" s="1353"/>
      <c r="L27" s="1353"/>
      <c r="M27" s="1353"/>
      <c r="N27" s="1353"/>
      <c r="O27" s="1353"/>
      <c r="P27" s="1353"/>
      <c r="Q27" s="1353"/>
      <c r="R27" s="1353"/>
      <c r="S27" s="1353"/>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1</v>
      </c>
      <c r="Y28" s="1380" t="str">
        <f>IF(C.5EnvCorrolation=0,"",IF(X28=0,"do not have a selection for alignment with EPA Strategic Plan at this time.",IF(X28=1,"align with "&amp;X28&amp;" action in the EPA Strategic Plan.","align with "&amp;X28&amp;" actions in the EPA Strategic Plan.")))</f>
        <v>align with 1 action in the EPA Strategic Plan.</v>
      </c>
      <c r="Z28" s="1380"/>
      <c r="AA28"/>
      <c r="AB28"/>
    </row>
    <row r="29" spans="1:66" s="66" customFormat="1" ht="24.75" customHeight="1">
      <c r="A29" s="602"/>
      <c r="B29" s="563"/>
      <c r="C29" s="202"/>
      <c r="D29" s="1391" t="s">
        <v>295</v>
      </c>
      <c r="E29" s="1391"/>
      <c r="F29" s="1391"/>
      <c r="G29" s="1391"/>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92" t="s">
        <v>257</v>
      </c>
      <c r="E30" s="1392"/>
      <c r="F30" s="1392"/>
      <c r="G30" s="1392"/>
      <c r="H30" s="1392"/>
      <c r="I30" s="1392"/>
      <c r="J30" s="1392"/>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402" t="s">
        <v>292</v>
      </c>
      <c r="E31" s="1402"/>
      <c r="F31" s="1402"/>
      <c r="G31" s="1402"/>
      <c r="H31" s="1402"/>
      <c r="I31" s="1402"/>
      <c r="J31" s="1402"/>
      <c r="K31" s="1402"/>
      <c r="L31" s="1402"/>
      <c r="M31" s="1402"/>
      <c r="N31" s="1402"/>
      <c r="O31" s="1402"/>
      <c r="P31" s="1402"/>
      <c r="Q31" s="1402"/>
      <c r="R31" s="1402"/>
      <c r="S31" s="1402"/>
      <c r="T31" s="709"/>
      <c r="U31" s="563"/>
      <c r="V31" s="317"/>
      <c r="W31" s="315"/>
      <c r="X31" s="322" t="b">
        <v>0</v>
      </c>
      <c r="Y31" s="318"/>
      <c r="Z31" s="318"/>
      <c r="AA31" s="319"/>
      <c r="AB31" s="319"/>
    </row>
    <row r="32" spans="1:66" s="66" customFormat="1" ht="35.1" customHeight="1">
      <c r="A32" s="602"/>
      <c r="B32" s="563"/>
      <c r="C32" s="202"/>
      <c r="D32" s="1402" t="s">
        <v>293</v>
      </c>
      <c r="E32" s="1402"/>
      <c r="F32" s="1402"/>
      <c r="G32" s="1402"/>
      <c r="H32" s="1402"/>
      <c r="I32" s="1402"/>
      <c r="J32" s="1402"/>
      <c r="K32" s="1402"/>
      <c r="L32" s="1402"/>
      <c r="M32" s="1402"/>
      <c r="N32" s="1402"/>
      <c r="O32" s="1402"/>
      <c r="P32" s="1402"/>
      <c r="Q32" s="1402"/>
      <c r="R32" s="1402"/>
      <c r="S32" s="1402"/>
      <c r="T32" s="304"/>
      <c r="U32" s="563"/>
      <c r="V32" s="233"/>
      <c r="W32" s="161"/>
      <c r="X32" s="323" t="b">
        <v>0</v>
      </c>
      <c r="Y32" s="1404"/>
      <c r="Z32" s="55"/>
      <c r="AA32"/>
    </row>
    <row r="33" spans="1:27" s="66" customFormat="1" ht="38.25" customHeight="1">
      <c r="A33" s="602"/>
      <c r="B33" s="563"/>
      <c r="C33" s="202"/>
      <c r="D33" s="1403" t="s">
        <v>294</v>
      </c>
      <c r="E33" s="1403"/>
      <c r="F33" s="1403"/>
      <c r="G33" s="1403"/>
      <c r="H33" s="1403"/>
      <c r="I33" s="1403"/>
      <c r="J33" s="1403"/>
      <c r="K33" s="1403"/>
      <c r="L33" s="1403"/>
      <c r="M33" s="1403"/>
      <c r="N33" s="1403"/>
      <c r="O33" s="1403"/>
      <c r="P33" s="1403"/>
      <c r="Q33" s="1403"/>
      <c r="R33" s="1403"/>
      <c r="S33" s="1403"/>
      <c r="T33" s="304"/>
      <c r="U33" s="563"/>
      <c r="V33" s="233"/>
      <c r="W33" s="161"/>
      <c r="X33" s="323" t="b">
        <v>0</v>
      </c>
      <c r="Y33" s="1404"/>
      <c r="Z33" s="55"/>
      <c r="AA33"/>
    </row>
    <row r="34" spans="1:27" s="66" customFormat="1" ht="39.75" customHeight="1">
      <c r="A34" s="602"/>
      <c r="B34" s="563"/>
      <c r="C34" s="202"/>
      <c r="D34" s="1403" t="s">
        <v>291</v>
      </c>
      <c r="E34" s="1403"/>
      <c r="F34" s="1403"/>
      <c r="G34" s="1403"/>
      <c r="H34" s="1403"/>
      <c r="I34" s="1403"/>
      <c r="J34" s="1403"/>
      <c r="K34" s="1403"/>
      <c r="L34" s="1403"/>
      <c r="M34" s="1403"/>
      <c r="N34" s="1403"/>
      <c r="O34" s="1403"/>
      <c r="P34" s="1403"/>
      <c r="Q34" s="1403"/>
      <c r="R34" s="1403"/>
      <c r="S34" s="1403"/>
      <c r="T34" s="304"/>
      <c r="U34" s="563"/>
      <c r="V34" s="233"/>
      <c r="W34" s="161"/>
      <c r="X34" s="323" t="b">
        <v>0</v>
      </c>
      <c r="Y34" s="1405"/>
      <c r="Z34" s="147"/>
    </row>
    <row r="35" spans="1:27" s="2" customFormat="1" ht="30" customHeight="1">
      <c r="A35" s="600"/>
      <c r="B35" s="563" t="s">
        <v>0</v>
      </c>
      <c r="C35" s="211"/>
      <c r="D35" s="1385" t="s">
        <v>259</v>
      </c>
      <c r="E35" s="1385"/>
      <c r="F35" s="1385"/>
      <c r="G35" s="296"/>
      <c r="H35" s="296"/>
      <c r="I35" s="296"/>
      <c r="J35" s="296"/>
      <c r="K35" s="297"/>
      <c r="L35" s="298"/>
      <c r="M35" s="298"/>
      <c r="N35" s="298"/>
      <c r="O35" s="298"/>
      <c r="P35" s="298"/>
      <c r="Q35" s="298"/>
      <c r="R35" s="298"/>
      <c r="S35" s="298"/>
      <c r="T35" s="212"/>
      <c r="U35" s="563"/>
      <c r="V35"/>
      <c r="W35"/>
      <c r="X35" s="1147">
        <f>COUNTIF(X31:X34,TRUE)</f>
        <v>0</v>
      </c>
      <c r="Y35" s="1380" t="str">
        <f>IF(C.5EnvCorrolation=0,"",IF(X35=0,"do not have a selection for Natural Step support at this time.",IF(X35=1,"supports "&amp;X35&amp;" Natural Step action.","supports "&amp;X35&amp;" Natural Step actions.")))</f>
        <v>do not have a selection for Natural Step support at this time.</v>
      </c>
      <c r="Z35" s="1380"/>
    </row>
    <row r="36" spans="1:27" s="2" customFormat="1" ht="110.25" customHeight="1">
      <c r="A36" s="600"/>
      <c r="B36" s="563"/>
      <c r="C36" s="211"/>
      <c r="D36" s="299" t="s">
        <v>0</v>
      </c>
      <c r="E36" s="299"/>
      <c r="F36" s="1379" t="s">
        <v>0</v>
      </c>
      <c r="G36" s="1379"/>
      <c r="H36" s="300"/>
      <c r="I36" s="301"/>
      <c r="J36" s="1375" t="s">
        <v>0</v>
      </c>
      <c r="K36" s="1375"/>
      <c r="L36" s="1375"/>
      <c r="M36" s="1375"/>
      <c r="N36" s="1375"/>
      <c r="O36" s="1375"/>
      <c r="P36" s="1375"/>
      <c r="Q36" s="1375"/>
      <c r="R36" s="1375"/>
      <c r="S36" s="1375"/>
      <c r="T36" s="212"/>
      <c r="U36" s="563"/>
      <c r="V36" s="1378" t="s">
        <v>0</v>
      </c>
      <c r="W36" s="174"/>
      <c r="X36" s="482"/>
      <c r="Y36" s="483"/>
      <c r="Z36" s="147"/>
    </row>
    <row r="37" spans="1:27" s="2" customFormat="1" ht="29.25" customHeight="1">
      <c r="A37" s="600"/>
      <c r="B37" s="563"/>
      <c r="C37" s="211"/>
      <c r="D37" s="1376" t="s">
        <v>217</v>
      </c>
      <c r="E37" s="1377"/>
      <c r="F37" s="1377"/>
      <c r="G37" s="1362"/>
      <c r="H37" s="1362"/>
      <c r="I37" s="1362"/>
      <c r="J37" s="1363"/>
      <c r="K37" s="1363"/>
      <c r="L37" s="1363"/>
      <c r="M37" s="1363"/>
      <c r="N37" s="1363"/>
      <c r="O37" s="1363"/>
      <c r="P37" s="1363"/>
      <c r="Q37" s="1363"/>
      <c r="R37" s="1363"/>
      <c r="S37" s="1363"/>
      <c r="T37" s="212"/>
      <c r="U37" s="563"/>
      <c r="V37" s="1378"/>
      <c r="W37" s="159"/>
      <c r="X37" s="415">
        <v>1</v>
      </c>
      <c r="Y37" s="147" t="s">
        <v>230</v>
      </c>
      <c r="Z37" s="1012" t="str">
        <f>IF(C.5EnvCorrolation=0,"",IF(X37=1,"no data uncertainties",IF(X37=2,"low/medium data uncertainties",IF(X37=3,"medium data uncertainties",IF(X37=4,"medium/high data uncertainties","high data uncertainties")))))</f>
        <v>no data uncertainties</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72" t="s">
        <v>412</v>
      </c>
      <c r="E39" s="1372"/>
      <c r="F39" s="1372"/>
      <c r="G39" s="120"/>
      <c r="H39" s="1339" t="s">
        <v>0</v>
      </c>
      <c r="I39" s="1384"/>
      <c r="J39" s="1336" t="s">
        <v>37</v>
      </c>
      <c r="K39" s="1337"/>
      <c r="L39" s="1337"/>
      <c r="M39" s="1337"/>
      <c r="N39" s="1337"/>
      <c r="O39" s="1337"/>
      <c r="P39" s="1337"/>
      <c r="Q39" s="1337"/>
      <c r="R39" s="1337"/>
      <c r="S39" s="1338"/>
      <c r="T39" s="201"/>
      <c r="U39" s="563"/>
      <c r="V39" s="313" t="s">
        <v>757</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758</v>
      </c>
      <c r="W40" s="167"/>
      <c r="X40" s="414">
        <f>VLOOKUP($J39,C.VL_ComplexityRating,2,FALSE)</f>
        <v>1</v>
      </c>
      <c r="Y40" s="882" t="str">
        <f>J39</f>
        <v>definitely not complex</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124</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52" t="s">
        <v>0</v>
      </c>
      <c r="E44" s="1253"/>
      <c r="F44" s="1253"/>
      <c r="G44" s="1253"/>
      <c r="H44" s="1253"/>
      <c r="I44" s="1253"/>
      <c r="J44" s="1253"/>
      <c r="K44" s="1253"/>
      <c r="L44" s="1253"/>
      <c r="M44" s="1253"/>
      <c r="N44" s="1253"/>
      <c r="O44" s="1253"/>
      <c r="P44" s="1253"/>
      <c r="Q44" s="1253"/>
      <c r="R44" s="1253"/>
      <c r="S44" s="1254"/>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400</v>
      </c>
      <c r="B46" s="563"/>
      <c r="C46" s="202"/>
      <c r="D46" s="1333" t="s">
        <v>0</v>
      </c>
      <c r="E46" s="1334"/>
      <c r="F46" s="1334"/>
      <c r="G46" s="1334"/>
      <c r="H46" s="1334"/>
      <c r="I46" s="1334"/>
      <c r="J46" s="1334"/>
      <c r="K46" s="1334"/>
      <c r="L46" s="1334"/>
      <c r="M46" s="1334"/>
      <c r="N46" s="1334"/>
      <c r="O46" s="1334"/>
      <c r="P46" s="1334"/>
      <c r="Q46" s="1334"/>
      <c r="R46" s="1334"/>
      <c r="S46" s="1335"/>
      <c r="T46" s="201"/>
      <c r="U46" s="563"/>
      <c r="W46" s="161"/>
      <c r="X46" s="122"/>
      <c r="Y46" s="147"/>
      <c r="Z46" s="55"/>
    </row>
    <row r="47" spans="1:27">
      <c r="B47" s="563"/>
      <c r="C47" s="293"/>
      <c r="D47" s="294"/>
      <c r="E47" s="294"/>
      <c r="F47" s="294"/>
      <c r="G47" s="1226">
        <f ca="1">TODAY()</f>
        <v>41810</v>
      </c>
      <c r="H47" s="1226"/>
      <c r="I47" s="1226"/>
      <c r="J47" s="1226"/>
      <c r="K47" s="1226"/>
      <c r="L47" s="1226"/>
      <c r="M47" s="1226"/>
      <c r="N47" s="1226"/>
      <c r="O47" s="1226"/>
      <c r="P47" s="1226"/>
      <c r="Q47" s="1226"/>
      <c r="R47" s="1226"/>
      <c r="S47" s="1226"/>
      <c r="T47" s="1227"/>
      <c r="U47" s="563"/>
      <c r="X47" s="147"/>
      <c r="Y47" s="147"/>
      <c r="Z47" s="147"/>
    </row>
    <row r="48" spans="1:27">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Y35:Z35"/>
    <mergeCell ref="D23:Q23"/>
    <mergeCell ref="D24:S24"/>
    <mergeCell ref="D25:S25"/>
    <mergeCell ref="D31:S31"/>
    <mergeCell ref="D32:S32"/>
    <mergeCell ref="D33:S33"/>
    <mergeCell ref="D34:S34"/>
    <mergeCell ref="D30:J30"/>
    <mergeCell ref="Y32:Y34"/>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F9F9BD673498439FA3C6522570CBC3" ma:contentTypeVersion="" ma:contentTypeDescription="Create a new document." ma:contentTypeScope="" ma:versionID="2bbcae92bdd4b5314f689cab36adb54b">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D7032BD7-FA75-454D-85D3-02C09DE67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233</vt:i4>
      </vt:variant>
    </vt:vector>
  </HeadingPairs>
  <TitlesOfParts>
    <vt:vector size="251"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Drivers</vt:lpstr>
      <vt:lpstr>Sheet1</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2014-06-20T18:30:27Z</cp:lastPrinted>
  <dcterms:created xsi:type="dcterms:W3CDTF">2012-04-11T21:44:01Z</dcterms:created>
  <dcterms:modified xsi:type="dcterms:W3CDTF">2014-06-20T22:17:36Z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0x01010077F9F9BD673498439FA3C6522570CBC3</vt:lpwstr>
  </property>
</Properties>
</file>