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600" windowHeight="1176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G718" i="94"/>
  <c r="AK107" l="1"/>
  <c r="AK105"/>
  <c r="AK110"/>
  <c r="AK112"/>
  <c r="AK183"/>
  <c r="C624"/>
  <c r="AK31"/>
  <c r="AH20"/>
  <c r="C161"/>
  <c r="C136"/>
  <c r="AK78"/>
  <c r="B488"/>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B78"/>
  <c r="I38"/>
  <c r="I29"/>
  <c r="I24"/>
  <c r="I23"/>
  <c r="I20"/>
  <c r="I16" s="1"/>
  <c r="I18"/>
  <c r="I15"/>
  <c r="I14"/>
  <c r="I12"/>
  <c r="I10"/>
  <c r="I8"/>
  <c r="AK32"/>
  <c r="AK41"/>
  <c r="AK25"/>
  <c r="AF564"/>
  <c r="AK24"/>
  <c r="AK23"/>
  <c r="AF25"/>
  <c r="AK97"/>
  <c r="B97" s="1"/>
  <c r="AK81"/>
  <c r="AF78"/>
  <c r="AK71"/>
  <c r="B71" s="1"/>
  <c r="AK80"/>
  <c r="AF80"/>
  <c r="AK96"/>
  <c r="AF96"/>
  <c r="AF70"/>
  <c r="AF71"/>
  <c r="AK82"/>
  <c r="AK94"/>
  <c r="AF94"/>
  <c r="AK86"/>
  <c r="AF86"/>
  <c r="AF97"/>
  <c r="C116"/>
  <c r="B81" l="1"/>
  <c r="AK58"/>
  <c r="AK72"/>
  <c r="AF81"/>
  <c r="AI192"/>
  <c r="AF195"/>
  <c r="AF194"/>
  <c r="D12"/>
  <c r="F18" l="1"/>
  <c r="F20"/>
  <c r="F16" s="1"/>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C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8"/>
  <c r="D7"/>
  <c r="D6"/>
  <c r="AF216" i="94"/>
  <c r="AF217"/>
  <c r="AK217"/>
  <c r="B217" s="1"/>
  <c r="AF218"/>
  <c r="AK218"/>
  <c r="AF219"/>
  <c r="B220"/>
  <c r="AF220"/>
  <c r="AG220"/>
  <c r="G220" s="1"/>
  <c r="AH220"/>
  <c r="H220" s="1"/>
  <c r="B221"/>
  <c r="AF221"/>
  <c r="AG221"/>
  <c r="G221" s="1"/>
  <c r="AH221"/>
  <c r="H221" s="1"/>
  <c r="B222"/>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F229"/>
  <c r="AK229"/>
  <c r="B229" s="1"/>
  <c r="AF230"/>
  <c r="AK230"/>
  <c r="B230" s="1"/>
  <c r="AK524"/>
  <c r="AK516"/>
  <c r="B516" s="1"/>
  <c r="AF516"/>
  <c r="B107"/>
  <c r="AF107"/>
  <c r="AF106"/>
  <c r="B105"/>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K233"/>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2"/>
  <c r="B72"/>
  <c r="B58"/>
  <c r="B25" i="102"/>
  <c r="C25" s="1"/>
  <c r="A1"/>
  <c r="A4" i="103"/>
  <c r="A3"/>
  <c r="F1" i="102"/>
  <c r="AK639" i="94"/>
  <c r="A3" i="102"/>
  <c r="B46"/>
  <c r="C46" s="1"/>
  <c r="AK706" i="94"/>
  <c r="AK705"/>
  <c r="B705" s="1"/>
  <c r="AF705"/>
  <c r="B701"/>
  <c r="AF637"/>
  <c r="AH637" s="1"/>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D2" i="96"/>
  <c r="AF310" i="94"/>
  <c r="AF292"/>
  <c r="B292"/>
  <c r="C294"/>
  <c r="AF294"/>
  <c r="C295"/>
  <c r="AF295"/>
  <c r="AF724"/>
  <c r="AF723"/>
  <c r="AF722"/>
  <c r="AF806"/>
  <c r="AK204"/>
  <c r="AK203"/>
  <c r="C723" l="1"/>
  <c r="C736"/>
  <c r="C533"/>
  <c r="C597"/>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H642" s="1"/>
  <c r="AF640"/>
  <c r="AF251"/>
  <c r="AH251" s="1"/>
  <c r="AF250"/>
  <c r="AH250" s="1"/>
  <c r="AF249"/>
  <c r="AH249" s="1"/>
  <c r="AF248"/>
  <c r="AF247"/>
  <c r="AF246"/>
  <c r="AF233"/>
  <c r="AH233" s="1"/>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C8"/>
  <c r="C7"/>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3" l="1"/>
  <c r="H673" s="1"/>
  <c r="AH675" l="1"/>
  <c r="H675" s="1"/>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G37" s="1"/>
  <c r="B34" i="102" s="1"/>
  <c r="C34" s="1"/>
  <c r="E34" s="1"/>
  <c r="AH37" i="94"/>
  <c r="H37" s="1"/>
  <c r="B35" i="102" s="1"/>
  <c r="C35" s="1"/>
  <c r="E35" s="1"/>
  <c r="AG22" i="94"/>
  <c r="G22" s="1"/>
  <c r="B13" i="102"/>
  <c r="AG12" i="94"/>
  <c r="AG14"/>
  <c r="AG54"/>
  <c r="AG283"/>
  <c r="AH117"/>
  <c r="H117" s="1"/>
  <c r="AH118"/>
  <c r="H118" s="1"/>
  <c r="AG493" l="1"/>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AG264"/>
  <c r="G264" s="1"/>
  <c r="AH264" s="1"/>
  <c r="H264" s="1"/>
  <c r="AH282"/>
  <c r="H282" s="1"/>
  <c r="AH284"/>
  <c r="H284" s="1"/>
  <c r="AH279"/>
  <c r="H279" s="1"/>
  <c r="AH175"/>
  <c r="H175" s="1"/>
  <c r="A26" i="103"/>
  <c r="AH181" i="94"/>
  <c r="H181" s="1"/>
  <c r="AH281"/>
  <c r="H281" s="1"/>
  <c r="B8" i="102"/>
  <c r="C8" s="1"/>
  <c r="E8" s="1"/>
  <c r="AH271" i="94"/>
  <c r="H271" s="1"/>
  <c r="AG190"/>
  <c r="G190" s="1"/>
  <c r="AH190" s="1"/>
  <c r="F424" l="1"/>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779"/>
  <c r="H779" s="1"/>
  <c r="AH822"/>
  <c r="H822" s="1"/>
  <c r="AH824"/>
  <c r="H824" s="1"/>
  <c r="AH821"/>
  <c r="H821" s="1"/>
  <c r="AH823"/>
  <c r="H823" s="1"/>
  <c r="AH467"/>
  <c r="H467" s="1"/>
  <c r="B21" i="102"/>
  <c r="C21" s="1"/>
  <c r="E21" s="1"/>
  <c r="B55"/>
  <c r="C55" s="1"/>
  <c r="E55" s="1"/>
  <c r="AH30" i="94" l="1"/>
  <c r="H30" s="1"/>
  <c r="AG29"/>
  <c r="AH25"/>
  <c r="AH593" s="1"/>
  <c r="B48" i="102"/>
  <c r="AG34" i="94"/>
  <c r="AH54" s="1"/>
  <c r="H54" s="1"/>
  <c r="B17" i="102"/>
  <c r="C17" s="1"/>
  <c r="E17" s="1"/>
  <c r="B16"/>
  <c r="F467" i="94"/>
  <c r="C16" i="102"/>
  <c r="E16" s="1"/>
  <c r="AH244" i="94" l="1"/>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AG725"/>
  <c r="G725" s="1"/>
  <c r="AG788"/>
  <c r="AG764"/>
  <c r="G764" s="1"/>
  <c r="AG722"/>
  <c r="G722" s="1"/>
  <c r="G718"/>
  <c r="AG762"/>
  <c r="G762" s="1"/>
  <c r="AG749"/>
  <c r="G749" s="1"/>
  <c r="AG736"/>
  <c r="G736" s="1"/>
  <c r="AG786"/>
  <c r="AG779" l="1"/>
  <c r="G779" s="1"/>
  <c r="B44" i="102" l="1"/>
  <c r="AG645" i="94"/>
  <c r="G645" s="1"/>
  <c r="H233"/>
  <c r="H249" s="1"/>
  <c r="AH237"/>
  <c r="H237" s="1"/>
  <c r="C18" i="99" s="1"/>
  <c r="H251" i="94"/>
  <c r="AG637" s="1"/>
  <c r="AH19"/>
  <c r="H19" s="1"/>
  <c r="H642"/>
  <c r="H250"/>
  <c r="AH630"/>
  <c r="H630" s="1"/>
  <c r="H637"/>
  <c r="AH31"/>
  <c r="H31" s="1"/>
  <c r="AH16"/>
  <c r="H16" s="1"/>
  <c r="AH626" l="1"/>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AH229" s="1"/>
  <c r="B49" i="102"/>
  <c r="AH669" i="94"/>
  <c r="H669" s="1"/>
  <c r="AH668"/>
  <c r="H668" s="1"/>
  <c r="AH654"/>
  <c r="H654" s="1"/>
  <c r="AH671"/>
  <c r="H671" s="1"/>
  <c r="AG482" l="1"/>
  <c r="G482" s="1"/>
  <c r="AH482" s="1"/>
  <c r="H482" s="1"/>
  <c r="AG477"/>
  <c r="G477" s="1"/>
  <c r="AG478"/>
  <c r="G478" s="1"/>
  <c r="AG687"/>
  <c r="G687" s="1"/>
  <c r="AH32"/>
  <c r="C49" i="102"/>
  <c r="E49" s="1"/>
  <c r="H229" i="94"/>
  <c r="AG692"/>
  <c r="G692" s="1"/>
  <c r="H32" l="1"/>
  <c r="AH42" s="1"/>
  <c r="AH22"/>
  <c r="H22" s="1"/>
  <c r="AH477"/>
  <c r="H477" s="1"/>
  <c r="F477" s="1"/>
  <c r="AH478"/>
  <c r="H478" s="1"/>
  <c r="AG484" s="1"/>
  <c r="G484" s="1"/>
  <c r="AH691" l="1"/>
  <c r="H691" s="1"/>
  <c r="AH692"/>
  <c r="H692" s="1"/>
  <c r="AH700" s="1"/>
  <c r="H700" s="1"/>
  <c r="AG701" s="1"/>
  <c r="G701" s="1"/>
  <c r="AH701" s="1"/>
  <c r="H701" s="1"/>
  <c r="AH707" s="1"/>
  <c r="H707"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AH484"/>
  <c r="H484" s="1"/>
  <c r="F484" s="1"/>
  <c r="AG708"/>
  <c r="G708" s="1"/>
  <c r="AH708" s="1"/>
  <c r="H708" s="1"/>
  <c r="AH713" s="1"/>
  <c r="H713" s="1"/>
  <c r="AH489"/>
  <c r="H489" s="1"/>
  <c r="AH646"/>
  <c r="H646" s="1"/>
  <c r="AH645"/>
  <c r="H645" s="1"/>
  <c r="F478"/>
  <c r="F692" l="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AH749"/>
  <c r="AG766" s="1"/>
  <c r="G766" s="1"/>
  <c r="AH736"/>
  <c r="H736" s="1"/>
  <c r="AH786"/>
  <c r="AH763"/>
  <c r="H763" s="1"/>
  <c r="AH762"/>
  <c r="AH764"/>
  <c r="H764" s="1"/>
  <c r="AH787"/>
  <c r="AH29"/>
  <c r="H29" s="1"/>
  <c r="AH38"/>
  <c r="H38" s="1"/>
  <c r="B37" i="102" s="1"/>
  <c r="C37" s="1"/>
  <c r="E37" s="1"/>
  <c r="B36"/>
  <c r="C36" s="1"/>
  <c r="E36" s="1"/>
  <c r="B24"/>
  <c r="C24" s="1"/>
  <c r="E24" s="1"/>
  <c r="B54"/>
  <c r="C54" s="1"/>
  <c r="E54" s="1"/>
  <c r="AH39" i="94"/>
  <c r="AI39"/>
  <c r="H20"/>
  <c r="H25"/>
  <c r="AG25" s="1"/>
  <c r="G25"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AG593"/>
  <c r="G593" s="1"/>
  <c r="AH589"/>
  <c r="H589" s="1"/>
  <c r="AH24"/>
  <c r="AH539"/>
  <c r="AH541"/>
  <c r="H541" s="1"/>
  <c r="AH540"/>
  <c r="H540" s="1"/>
  <c r="AK20"/>
  <c r="B20" s="1"/>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AG755"/>
  <c r="AH755" s="1"/>
  <c r="G23"/>
  <c r="AH563"/>
  <c r="H563" s="1"/>
  <c r="AG569" l="1"/>
  <c r="G569" s="1"/>
  <c r="AG584"/>
  <c r="G584" s="1"/>
  <c r="AH584" s="1"/>
  <c r="AG563"/>
  <c r="G563" s="1"/>
  <c r="AH543"/>
  <c r="H543" s="1"/>
  <c r="AH493"/>
  <c r="H493" s="1"/>
  <c r="AG761"/>
  <c r="AH761" s="1"/>
  <c r="AH760"/>
  <c r="AH507"/>
  <c r="H507" s="1"/>
  <c r="H584" l="1"/>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AG596" i="94"/>
  <c r="G596" s="1"/>
  <c r="AH586" l="1"/>
  <c r="H586" s="1"/>
  <c r="E45" i="102"/>
  <c r="A47" i="103"/>
  <c r="AG603" i="94"/>
  <c r="G603" s="1"/>
  <c r="H593"/>
  <c r="C47" i="102" s="1"/>
  <c r="E47" s="1"/>
  <c r="AH596" i="94"/>
  <c r="H596" s="1"/>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PCAdmin</author>
  </authors>
  <commentList>
    <comment ref="B591" author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<sst xmlns="http://schemas.openxmlformats.org/spreadsheetml/2006/main" count="2004" uniqueCount="792">
  <si>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</si>
  <si>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</si>
  <si>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</si>
  <si>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</si>
  <si>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</si>
  <si>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</si>
  <si>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</si>
  <si>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</si>
  <si>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</si>
  <si>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</si>
  <si>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</si>
  <si>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</si>
  <si>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</si>
  <si>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</si>
  <si>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</si>
  <si>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</si>
  <si>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</si>
  <si>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</si>
  <si>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</si>
  <si>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</si>
  <si>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</si>
  <si>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</si>
  <si>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</si>
  <si>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</si>
  <si>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</si>
  <si>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</si>
  <si>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</si>
  <si>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</si>
  <si>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</si>
  <si>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</si>
  <si>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</si>
  <si>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</si>
  <si>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</si>
  <si>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</si>
  <si>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</si>
  <si>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</si>
  <si>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</si>
  <si>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</si>
  <si>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</si>
  <si>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</si>
  <si>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</si>
  <si>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</si>
  <si>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</si>
  <si>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</si>
  <si>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</si>
  <si>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</si>
  <si>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</si>
  <si>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</si>
  <si>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</si>
  <si>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</si>
  <si>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</si>
  <si>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</si>
  <si>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</si>
  <si>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</si>
  <si>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</si>
  <si>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</si>
  <si>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</si>
  <si>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</si>
  <si>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</si>
  <si>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</si>
  <si>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</si>
  <si>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</si>
  <si>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</si>
  <si>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</si>
  <si>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</si>
  <si>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</si>
  <si>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</si>
  <si>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</si>
  <si>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</si>
  <si>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</si>
  <si>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</si>
  <si>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</si>
  <si>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</si>
  <si>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</si>
  <si>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</si>
  <si>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</si>
  <si>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</si>
  <si>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</si>
  <si>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</si>
  <si>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</si>
  <si>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</si>
  <si>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</si>
  <si>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</si>
  <si>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</si>
  <si>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</si>
  <si>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</si>
  <si>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</si>
  <si>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</si>
  <si>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</si>
  <si>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</si>
  <si>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</si>
  <si>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</si>
  <si>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</si>
  <si>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</si>
  <si>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</si>
  <si>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</si>
  <si>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</si>
  <si>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</si>
  <si>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</si>
  <si>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</si>
  <si>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</si>
  <si>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</si>
  <si>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</si>
  <si>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</si>
  <si>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</si>
  <si>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</si>
  <si>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</si>
  <si>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</si>
  <si>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</si>
  <si>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</si>
  <si>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</si>
  <si>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</si>
  <si>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</si>
  <si>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</si>
  <si>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</si>
  <si>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</si>
  <si>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</si>
  <si>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</si>
  <si>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</si>
  <si>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</si>
  <si>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</si>
  <si>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</si>
  <si>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</si>
  <si>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</si>
  <si>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</si>
  <si>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</si>
  <si>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</si>
  <si>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</si>
  <si>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</si>
  <si>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</si>
  <si>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</si>
  <si>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</si>
  <si>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</si>
  <si>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</si>
  <si>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</si>
  <si>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</si>
  <si>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</si>
  <si>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</si>
  <si>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</si>
  <si>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</si>
  <si>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</si>
  <si>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</si>
  <si>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</si>
  <si>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</si>
  <si>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</si>
  <si>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</si>
  <si>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</si>
  <si>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</si>
  <si>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</si>
  <si>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</si>
  <si>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</si>
  <si>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</si>
  <si>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</si>
  <si>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</si>
  <si>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</si>
  <si>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</si>
  <si>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</si>
  <si>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</si>
  <si>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</si>
  <si>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</si>
  <si>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</si>
  <si>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</si>
  <si>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</si>
  <si>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</si>
  <si>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</si>
  <si>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</si>
  <si>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</si>
  <si>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</si>
  <si>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</si>
  <si>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</si>
  <si>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</si>
  <si>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</si>
  <si>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</si>
  <si>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</si>
  <si>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</si>
  <si>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</si>
  <si>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</si>
  <si>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</si>
  <si>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</si>
  <si>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</si>
  <si>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</si>
  <si>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</si>
  <si>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</si>
  <si>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</si>
  <si>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</si>
  <si>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</si>
  <si>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</si>
  <si>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</si>
  <si>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</si>
  <si>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</si>
  <si>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</si>
  <si>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</si>
  <si>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</si>
  <si>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</si>
  <si>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</si>
  <si>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</si>
  <si>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</si>
  <si>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</si>
  <si>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</si>
  <si>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</si>
  <si>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</si>
  <si>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</si>
  <si>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</si>
  <si>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</si>
  <si>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</si>
  <si>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</si>
  <si>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</si>
  <si>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</si>
  <si>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</si>
  <si>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</si>
  <si>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</si>
  <si>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</si>
  <si>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</si>
  <si>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</si>
  <si>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</si>
  <si>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</si>
  <si>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</si>
  <si>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</si>
  <si>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</si>
  <si>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</si>
  <si>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</si>
  <si>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</si>
  <si>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</si>
  <si>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</si>
  <si>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</si>
  <si>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</si>
  <si>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</si>
  <si>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</si>
  <si>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</si>
  <si>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</si>
  <si>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</si>
  <si>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</si>
  <si>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</si>
  <si>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</si>
  <si>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</si>
  <si>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</si>
  <si>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</si>
  <si>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</si>
  <si>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</si>
  <si>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</si>
  <si>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</si>
  <si>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</si>
  <si>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</si>
  <si>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</si>
  <si>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</si>
  <si>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</si>
  <si>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</si>
  <si>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</si>
  <si>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</si>
  <si>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</si>
  <si>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</si>
  <si>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</si>
  <si>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</si>
  <si>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</si>
  <si>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</si>
  <si>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</si>
  <si>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</si>
  <si>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</si>
  <si>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</si>
  <si>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</si>
  <si>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</si>
  <si>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</si>
  <si>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</si>
  <si>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</si>
  <si>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</si>
  <si>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</si>
  <si>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</si>
  <si>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</si>
  <si>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</si>
  <si>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</si>
  <si>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</si>
  <si>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</si>
  <si>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</si>
  <si>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</si>
  <si>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</si>
  <si>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</si>
  <si>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</si>
  <si>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</si>
  <si>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</si>
  <si>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</si>
  <si>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</si>
  <si>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</si>
  <si>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</si>
  <si>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</si>
  <si>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</si>
  <si>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</si>
  <si>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</si>
  <si>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</si>
  <si>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</si>
  <si>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</si>
  <si>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</si>
  <si>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</si>
  <si>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</si>
  <si>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</si>
  <si>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</si>
  <si>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</si>
  <si>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</si>
  <si>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</si>
  <si>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</si>
  <si>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</si>
  <si>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</si>
  <si>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</si>
  <si>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</si>
  <si>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</si>
  <si>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</si>
  <si>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</si>
  <si>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</si>
  <si>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</si>
  <si>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</si>
  <si>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</si>
  <si>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</si>
  <si>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</si>
  <si>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</si>
  <si>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</si>
  <si>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</si>
  <si>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</si>
  <si>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</si>
  <si>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</si>
  <si>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</si>
  <si>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</si>
  <si>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</si>
  <si>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</si>
  <si>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</si>
  <si>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</si>
  <si>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</si>
  <si>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</si>
  <si>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</si>
  <si>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</si>
  <si>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</si>
  <si>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</si>
  <si>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</si>
  <si>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</si>
  <si>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</si>
  <si>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</si>
  <si>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</si>
  <si>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</si>
  <si>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</si>
  <si>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</si>
  <si>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</si>
  <si>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</si>
  <si>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</si>
  <si>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</si>
  <si>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</si>
  <si>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</si>
  <si>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</si>
  <si>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</si>
  <si>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</si>
  <si>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</si>
  <si>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</si>
  <si>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</si>
  <si>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</si>
  <si>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</si>
  <si>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</si>
  <si>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</si>
  <si>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</si>
  <si>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</si>
  <si>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</si>
  <si>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</si>
  <si>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</si>
  <si>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</si>
  <si>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</si>
  <si>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</si>
  <si>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</si>
  <si>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</si>
  <si>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</si>
  <si>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</si>
  <si>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</si>
  <si>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</si>
  <si>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</si>
  <si>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</si>
  <si>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</si>
  <si>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</si>
  <si>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</si>
  <si>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</si>
  <si>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</si>
  <si>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</si>
  <si>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</si>
  <si>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</si>
  <si>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</si>
  <si>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</si>
  <si>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</si>
  <si>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</si>
  <si>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</si>
  <si>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</si>
  <si>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</si>
  <si>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</si>
  <si>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</si>
  <si>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</si>
  <si>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</si>
  <si>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</si>
  <si>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</si>
  <si>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</si>
  <si>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</si>
  <si>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</si>
  <si>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</si>
  <si>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</si>
  <si>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</si>
  <si>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</si>
  <si>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</si>
  <si>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</si>
  <si>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</si>
  <si>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</si>
  <si>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</si>
  <si>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</si>
  <si>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</si>
  <si>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</si>
  <si>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</si>
  <si>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</si>
  <si>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</si>
  <si>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</si>
  <si>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</si>
  <si>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</si>
  <si>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</si>
  <si>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</si>
  <si>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</si>
  <si>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</si>
  <si>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</si>
  <si>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</si>
  <si>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</si>
  <si>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</si>
  <si>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</si>
  <si>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</si>
  <si>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</si>
  <si>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</si>
  <si>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</si>
  <si>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</si>
  <si>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</si>
  <si>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</si>
  <si>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</si>
  <si>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</si>
  <si>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</si>
  <si>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</si>
  <si>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</si>
  <si>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</si>
  <si>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</si>
  <si>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</si>
  <si>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</si>
  <si>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</si>
  <si>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</si>
  <si>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</si>
  <si>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</si>
  <si>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</si>
  <si>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</si>
  <si>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</si>
  <si>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</si>
  <si>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</si>
  <si>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</si>
  <si>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</si>
  <si>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</si>
  <si>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</si>
  <si>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</si>
  <si>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</si>
  <si>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</si>
  <si>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</si>
  <si>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</si>
  <si>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</si>
  <si>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</si>
  <si>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</si>
  <si>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</si>
  <si>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</si>
  <si>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</si>
  <si>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</si>
  <si>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</si>
  <si>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</si>
  <si>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</si>
  <si>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</si>
  <si>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</si>
  <si>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</si>
  <si>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</si>
  <si>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</si>
  <si>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</si>
  <si>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</si>
  <si>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</si>
  <si>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</si>
  <si>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</si>
  <si>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</si>
  <si>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</si>
  <si>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</si>
  <si>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</si>
  <si>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</si>
  <si>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</si>
  <si>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</si>
  <si>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</si>
  <si>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</si>
  <si>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</si>
  <si>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</si>
  <si>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</si>
  <si>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</si>
  <si>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</si>
  <si>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</si>
  <si>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</si>
  <si>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</si>
  <si>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</si>
  <si>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</si>
  <si>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</si>
  <si>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</si>
  <si>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</si>
  <si>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</si>
  <si>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</si>
  <si>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</si>
  <si>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</si>
  <si>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</si>
  <si>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</si>
  <si>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</si>
  <si>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</si>
  <si>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</si>
  <si>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</si>
  <si>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</si>
  <si>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</si>
  <si>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</si>
  <si>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</si>
  <si>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</si>
  <si>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</si>
  <si>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</si>
  <si>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</si>
  <si>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</si>
  <si>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</si>
  <si>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</si>
  <si>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</si>
  <si>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</si>
  <si>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</si>
  <si>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</si>
  <si>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</si>
  <si>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</si>
  <si>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</si>
  <si>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</si>
  <si>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</si>
  <si>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</si>
  <si>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</si>
  <si>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</si>
  <si>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</si>
  <si>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</si>
  <si>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</si>
  <si>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</si>
  <si>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</si>
  <si>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</si>
  <si>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</si>
  <si>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</si>
  <si>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</si>
  <si>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</si>
  <si>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</si>
  <si>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</si>
  <si>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</si>
  <si>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</si>
  <si>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</si>
  <si>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</si>
  <si>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</si>
  <si>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</si>
  <si>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</si>
  <si>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</si>
  <si>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</si>
  <si>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</si>
  <si>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</si>
  <si>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</si>
  <si>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</si>
  <si>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</si>
  <si>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</si>
  <si>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</si>
  <si>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</si>
  <si>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</si>
  <si>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</si>
  <si>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</si>
  <si>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</si>
  <si>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</si>
  <si>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</si>
  <si>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</si>
  <si>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</si>
  <si>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</si>
  <si>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</si>
  <si>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</si>
  <si>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</si>
  <si>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</si>
  <si>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</si>
  <si>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</si>
  <si>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</si>
  <si>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</si>
  <si>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</si>
  <si>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</si>
  <si>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</si>
  <si>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</si>
  <si>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</si>
  <si>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</si>
  <si>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</si>
  <si>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</si>
  <si>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</si>
  <si>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</si>
  <si>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</si>
  <si>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</si>
  <si>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</si>
  <si>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</si>
  <si>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</si>
  <si>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</si>
  <si>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</si>
  <si>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</si>
  <si>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</si>
  <si>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</si>
  <si>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</si>
  <si>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</si>
  <si>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</si>
  <si>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</si>
  <si>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</si>
  <si>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</si>
  <si>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</si>
  <si>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</si>
  <si>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</si>
  <si>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</si>
  <si>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</si>
  <si>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</si>
  <si>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</si>
  <si>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</si>
  <si>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</si>
  <si>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</si>
  <si>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</si>
  <si>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</si>
  <si>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</si>
  <si>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</si>
  <si>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</si>
  <si>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</si>
  <si>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</si>
  <si>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</si>
  <si>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</si>
  <si>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</si>
  <si>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</si>
  <si>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</si>
  <si>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</si>
  <si>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</si>
  <si>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</si>
  <si>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</si>
  <si>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</si>
  <si>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</si>
  <si>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</si>
  <si>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</si>
  <si>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</si>
  <si>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</si>
  <si>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</si>
  <si>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</si>
  <si>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</si>
  <si>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</si>
  <si>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</si>
  <si>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</si>
  <si>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</si>
  <si>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</si>
  <si>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</si>
  <si>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</si>
  <si>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</si>
  <si>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</si>
  <si>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</si>
  <si>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</si>
  <si>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</si>
  <si>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</si>
  <si>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</si>
  <si>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</si>
  <si>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</si>
  <si>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</si>
  <si>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</si>
  <si>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</si>
  <si>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</si>
  <si>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</si>
  <si>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</si>
  <si>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</si>
  <si>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</si>
  <si>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</si>
  <si>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</si>
  <si>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</si>
  <si>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</si>
  <si>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</si>
  <si>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</si>
  <si>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</si>
  <si>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</si>
  <si>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</si>
  <si>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</si>
  <si>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</si>
  <si>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</si>
  <si>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</si>
  <si>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</si>
  <si>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</si>
  <si>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</si>
  <si>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</si>
  <si>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</si>
  <si>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</si>
  <si>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</si>
  <si>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</si>
  <si>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</si>
  <si>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</si>
  <si>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</si>
  <si>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</si>
  <si>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</si>
  <si>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</si>
  <si>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</si>
  <si>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</si>
  <si>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</si>
  <si>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</si>
  <si>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</si>
  <si>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</si>
  <si>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</si>
  <si>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</si>
  <si>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</si>
  <si>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</si>
  <si>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</si>
  <si>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</si>
  <si>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</si>
  <si>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</si>
  <si>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</si>
  <si>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</si>
  <si>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</si>
  <si>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</si>
  <si>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</si>
  <si>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</si>
  <si>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</si>
  <si>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</si>
  <si>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</si>
  <si>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</si>
  <si>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</si>
  <si>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</si>
  <si>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</si>
  <si>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</si>
  <si>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</si>
  <si>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</si>
  <si>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</si>
  <si>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</si>
  <si>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</si>
  <si>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</si>
  <si>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</si>
  <si>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</si>
  <si>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</si>
  <si>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</si>
  <si>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</si>
  <si>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</si>
  <si>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</si>
  <si>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</si>
  <si>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</si>
  <si>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</si>
  <si>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</si>
  <si>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</si>
  <si>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</si>
  <si>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</si>
  <si>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</si>
  <si>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</si>
  <si>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</si>
  <si>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</si>
  <si>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</si>
  <si>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</si>
  <si>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</si>
  <si>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</si>
  <si>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</si>
  <si>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</si>
  <si>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</si>
  <si>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</si>
  <si>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</si>
  <si>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</si>
  <si>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</si>
  <si>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</si>
  <si>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</si>
  <si>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</si>
  <si>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</si>
  <si>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</si>
  <si>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</si>
  <si>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</si>
  <si>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</si>
  <si>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</si>
  <si>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</si>
  <si>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</si>
  <si>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</si>
  <si>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</si>
  <si>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</si>
  <si>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</si>
  <si>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</si>
  <si>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</si>
  <si>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</si>
  <si>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</si>
  <si>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</si>
  <si>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</si>
  <si>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</si>
  <si>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</si>
  <si>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</si>
  <si>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</si>
  <si>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</si>
  <si>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</si>
  <si>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</si>
  <si>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</si>
  <si>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Jerry</t>
  </si>
  <si>
    <t>Leah</t>
  </si>
  <si>
    <t>Lydia</t>
  </si>
  <si>
    <t>Q-Time number = ?????</t>
  </si>
  <si>
    <t>x</t>
  </si>
  <si>
    <t>Greenhouse gas permitting</t>
  </si>
  <si>
    <t>Jerry Ebersole</t>
  </si>
  <si>
    <t>Leah Feldon</t>
  </si>
  <si>
    <t>GHGTemp</t>
  </si>
  <si>
    <t>Lydia Emer</t>
  </si>
  <si>
    <t>Operations Division Administrator</t>
  </si>
  <si>
    <t>Andrea Gartenbaum</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</si>
</sst>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6">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b/>
      <sz val="10"/>
      <color rgb="FFFF0000"/>
      <name val="Cambria"/>
      <family val="1"/>
      <scheme val="minor"/>
    </font>
    <font>
      <sz val="10"/>
      <color theme="3" tint="0.59999389629810485"/>
      <name val="Cambria"/>
      <family val="1"/>
      <scheme val="minor"/>
    </font>
    <font>
      <b/>
      <sz val="11"/>
      <color rgb="FFFF0000"/>
      <name val="Cambria"/>
      <family val="1"/>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fgColor rgb="FFFF0000"/>
        <bgColor indexed="64"/>
      </patternFill>
    </fill>
  </fills>
  <borders count="104">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
      <left style="thin">
        <color theme="0" tint="-0.249977111117893"/>
      </left>
      <right style="thin">
        <color theme="0" tint="-0.249977111117893"/>
      </right>
      <top/>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111">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2" borderId="9" xfId="0" applyNumberFormat="1" applyFont="1" applyFill="1" applyBorder="1" applyAlignment="1" applyProtection="1"/>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2" borderId="97" xfId="0" applyNumberFormat="1" applyFont="1" applyFill="1" applyBorder="1" applyAlignment="1" applyProtection="1">
      <protection locked="0"/>
    </xf>
    <xf numFmtId="166" fontId="73" fillId="42"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164" fontId="88" fillId="2" borderId="0" xfId="0" quotePrefix="1" applyNumberFormat="1" applyFont="1" applyFill="1" applyBorder="1" applyAlignment="1" applyProtection="1">
      <alignment horizontal="left" vertical="center" wrapText="1" indent="4"/>
    </xf>
    <xf numFmtId="164" fontId="88" fillId="2" borderId="0" xfId="0" applyNumberFormat="1" applyFont="1" applyFill="1" applyBorder="1" applyAlignment="1" applyProtection="1">
      <alignment horizontal="left" vertical="center" wrapText="1" indent="4"/>
    </xf>
    <xf numFmtId="166" fontId="143" fillId="0" borderId="2" xfId="0" applyNumberFormat="1" applyFont="1" applyFill="1" applyBorder="1" applyAlignment="1" applyProtection="1">
      <alignment horizontal="right" vertical="center"/>
      <protection locked="0"/>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164" fontId="173" fillId="2" borderId="0" xfId="0" applyNumberFormat="1" applyFont="1" applyFill="1" applyBorder="1" applyAlignment="1" applyProtection="1">
      <alignment horizontal="left" vertical="center" wrapText="1"/>
    </xf>
    <xf numFmtId="164" fontId="173" fillId="0" borderId="0" xfId="1" applyNumberFormat="1" applyFont="1" applyFill="1" applyBorder="1" applyAlignment="1" applyProtection="1">
      <alignment horizontal="left" vertical="center" wrapText="1" indent="1"/>
    </xf>
    <xf numFmtId="164" fontId="173" fillId="0" borderId="0" xfId="0" applyNumberFormat="1" applyFont="1" applyFill="1" applyBorder="1" applyAlignment="1" applyProtection="1">
      <alignment horizontal="left" vertical="center" wrapText="1" indent="2"/>
    </xf>
    <xf numFmtId="164" fontId="173" fillId="0" borderId="0" xfId="0" applyNumberFormat="1" applyFont="1" applyFill="1" applyBorder="1" applyAlignment="1" applyProtection="1">
      <alignment horizontal="left" vertical="center" wrapText="1" indent="4"/>
    </xf>
    <xf numFmtId="164" fontId="173" fillId="2" borderId="0" xfId="0" applyNumberFormat="1" applyFont="1" applyFill="1" applyBorder="1" applyAlignment="1" applyProtection="1">
      <alignment horizontal="left" vertical="center" wrapText="1" indent="2"/>
    </xf>
    <xf numFmtId="164" fontId="173" fillId="2" borderId="0" xfId="0" applyNumberFormat="1" applyFont="1" applyFill="1" applyBorder="1" applyAlignment="1" applyProtection="1">
      <alignment horizontal="left" vertical="center" wrapText="1" indent="1"/>
    </xf>
    <xf numFmtId="164" fontId="173" fillId="0" borderId="0" xfId="1" applyNumberFormat="1" applyFont="1" applyFill="1" applyBorder="1" applyAlignment="1" applyProtection="1">
      <alignment horizontal="left" vertical="center" wrapText="1" indent="2"/>
    </xf>
    <xf numFmtId="164" fontId="173" fillId="0" borderId="0" xfId="1" applyNumberFormat="1" applyFont="1" applyFill="1" applyBorder="1" applyAlignment="1" applyProtection="1">
      <alignment horizontal="left" vertical="center" wrapText="1" indent="3"/>
    </xf>
    <xf numFmtId="164" fontId="173" fillId="0" borderId="0" xfId="0" quotePrefix="1" applyNumberFormat="1" applyFont="1" applyFill="1" applyBorder="1" applyAlignment="1" applyProtection="1">
      <alignment horizontal="left" vertical="center" wrapText="1" indent="6"/>
    </xf>
    <xf numFmtId="164" fontId="173" fillId="0" borderId="0" xfId="0" applyNumberFormat="1" applyFont="1" applyFill="1" applyBorder="1" applyAlignment="1" applyProtection="1">
      <alignment horizontal="left" vertical="center" wrapText="1" indent="1"/>
    </xf>
    <xf numFmtId="167" fontId="173" fillId="0" borderId="0" xfId="0" applyNumberFormat="1" applyFont="1" applyBorder="1" applyAlignment="1" applyProtection="1">
      <alignment horizontal="left" vertical="center" wrapText="1" indent="1"/>
    </xf>
    <xf numFmtId="0" fontId="73" fillId="2" borderId="103" xfId="0" applyNumberFormat="1" applyFont="1" applyFill="1" applyBorder="1" applyAlignment="1" applyProtection="1">
      <alignment horizontal="left" vertical="center" wrapText="1"/>
      <protection locked="0"/>
    </xf>
    <xf numFmtId="0" fontId="174" fillId="0" borderId="0" xfId="0" quotePrefix="1" applyNumberFormat="1" applyFont="1" applyBorder="1" applyAlignment="1" applyProtection="1">
      <alignment horizontal="left" vertical="center" wrapText="1" indent="4"/>
    </xf>
    <xf numFmtId="0" fontId="174" fillId="0" borderId="0" xfId="0" quotePrefix="1" applyNumberFormat="1" applyFont="1" applyBorder="1" applyAlignment="1" applyProtection="1">
      <alignment horizontal="left" vertical="center" wrapText="1" indent="2"/>
    </xf>
    <xf numFmtId="164" fontId="174" fillId="0" borderId="0" xfId="0" applyFont="1" applyAlignment="1">
      <alignment horizontal="left" vertical="center" indent="4"/>
    </xf>
    <xf numFmtId="164" fontId="174" fillId="0" borderId="0" xfId="0" quotePrefix="1" applyFont="1" applyAlignment="1">
      <alignment horizontal="left" vertical="center" indent="2"/>
    </xf>
    <xf numFmtId="166" fontId="73" fillId="43" borderId="2" xfId="0" applyNumberFormat="1" applyFont="1" applyFill="1" applyBorder="1" applyAlignment="1" applyProtection="1"/>
    <xf numFmtId="164" fontId="173" fillId="0" borderId="0" xfId="0" applyFont="1" applyAlignment="1" applyProtection="1">
      <alignment horizontal="left" vertical="center" indent="3"/>
    </xf>
    <xf numFmtId="0" fontId="173" fillId="0" borderId="0" xfId="0" applyNumberFormat="1" applyFont="1" applyBorder="1" applyAlignment="1" applyProtection="1">
      <alignment horizontal="left" wrapText="1"/>
    </xf>
    <xf numFmtId="0" fontId="173" fillId="2" borderId="2" xfId="1" applyNumberFormat="1" applyFont="1" applyFill="1" applyBorder="1" applyAlignment="1" applyProtection="1">
      <alignment horizontal="center" vertical="center"/>
      <protection locked="0"/>
    </xf>
    <xf numFmtId="164" fontId="175" fillId="0" borderId="0" xfId="0" applyFont="1"/>
    <xf numFmtId="166" fontId="173" fillId="2" borderId="2" xfId="0" applyNumberFormat="1" applyFont="1" applyFill="1" applyBorder="1" applyAlignment="1" applyProtection="1">
      <protection locked="0"/>
    </xf>
    <xf numFmtId="164" fontId="173" fillId="0" borderId="59" xfId="0" applyFont="1" applyBorder="1" applyAlignment="1">
      <alignment horizontal="center" wrapText="1"/>
    </xf>
    <xf numFmtId="164" fontId="173" fillId="0" borderId="54" xfId="0" applyFont="1" applyBorder="1" applyAlignment="1">
      <alignment horizontal="center" wrapText="1"/>
    </xf>
    <xf numFmtId="164" fontId="173" fillId="2" borderId="0" xfId="0" applyNumberFormat="1" applyFont="1" applyFill="1" applyBorder="1" applyAlignment="1" applyProtection="1">
      <alignment wrapText="1"/>
    </xf>
    <xf numFmtId="0" fontId="173" fillId="0" borderId="0" xfId="0" applyNumberFormat="1" applyFont="1" applyFill="1" applyBorder="1" applyAlignment="1" applyProtection="1">
      <alignment horizontal="left" wrapText="1"/>
    </xf>
    <xf numFmtId="164" fontId="175" fillId="0" borderId="0" xfId="0" applyFont="1" applyBorder="1"/>
    <xf numFmtId="0" fontId="173" fillId="2" borderId="2" xfId="1" applyNumberFormat="1" applyFont="1" applyFill="1" applyBorder="1" applyAlignment="1" applyProtection="1">
      <alignment vertical="center" wrapText="1"/>
      <protection locked="0"/>
    </xf>
    <xf numFmtId="0" fontId="173" fillId="2" borderId="0" xfId="1" applyNumberFormat="1" applyFont="1" applyFill="1" applyBorder="1" applyAlignment="1" applyProtection="1">
      <alignment vertical="center" wrapText="1"/>
      <protection locked="0"/>
    </xf>
    <xf numFmtId="166" fontId="173" fillId="5" borderId="60" xfId="0" applyNumberFormat="1" applyFont="1" applyFill="1" applyBorder="1" applyAlignment="1" applyProtection="1">
      <alignment horizontal="right"/>
      <protection locked="0"/>
    </xf>
    <xf numFmtId="166" fontId="173" fillId="5" borderId="45" xfId="0" applyNumberFormat="1" applyFont="1" applyFill="1" applyBorder="1" applyAlignment="1" applyProtection="1">
      <alignment horizontal="right"/>
      <protection locked="0"/>
    </xf>
    <xf numFmtId="167" fontId="173" fillId="2" borderId="0" xfId="1" applyNumberFormat="1" applyFont="1" applyFill="1" applyBorder="1" applyAlignment="1" applyProtection="1">
      <alignment horizontal="left" vertical="center" wrapText="1" indent="1"/>
    </xf>
    <xf numFmtId="164" fontId="175" fillId="0" borderId="62" xfId="0" applyFont="1" applyBorder="1"/>
    <xf numFmtId="164" fontId="175" fillId="0" borderId="47" xfId="0" applyFont="1" applyBorder="1"/>
    <xf numFmtId="167" fontId="173" fillId="2" borderId="0" xfId="1" applyNumberFormat="1" applyFont="1" applyFill="1" applyBorder="1" applyAlignment="1" applyProtection="1">
      <alignment horizontal="left" vertical="center" wrapText="1" indent="3"/>
    </xf>
    <xf numFmtId="0" fontId="175" fillId="0" borderId="0" xfId="0" applyNumberFormat="1" applyFont="1"/>
    <xf numFmtId="0" fontId="173" fillId="2" borderId="0" xfId="0" applyNumberFormat="1" applyFont="1" applyFill="1" applyBorder="1" applyAlignment="1" applyProtection="1">
      <alignment horizontal="left" wrapText="1"/>
    </xf>
    <xf numFmtId="167" fontId="173" fillId="2" borderId="0" xfId="1" applyNumberFormat="1" applyFont="1" applyFill="1" applyBorder="1" applyAlignment="1" applyProtection="1">
      <alignment horizontal="left" vertical="center" wrapText="1"/>
    </xf>
    <xf numFmtId="0" fontId="173" fillId="2" borderId="0" xfId="0" applyNumberFormat="1" applyFont="1" applyFill="1" applyBorder="1" applyAlignment="1" applyProtection="1">
      <alignment horizontal="left" wrapText="1" indent="1"/>
    </xf>
    <xf numFmtId="0" fontId="173" fillId="2" borderId="2" xfId="0" applyNumberFormat="1" applyFont="1" applyFill="1" applyBorder="1" applyAlignment="1" applyProtection="1">
      <alignment horizontal="left" vertical="center" wrapText="1"/>
      <protection locked="0"/>
    </xf>
    <xf numFmtId="166" fontId="173" fillId="2" borderId="2" xfId="0" applyNumberFormat="1" applyFont="1" applyFill="1" applyBorder="1" applyAlignment="1" applyProtection="1">
      <alignment horizontal="right" vertical="center"/>
      <protection locked="0"/>
    </xf>
    <xf numFmtId="164" fontId="173" fillId="0" borderId="0" xfId="0" applyFont="1" applyProtection="1"/>
    <xf numFmtId="0" fontId="173" fillId="2" borderId="0" xfId="0" quotePrefix="1" applyNumberFormat="1" applyFont="1" applyFill="1" applyBorder="1" applyAlignment="1" applyProtection="1">
      <alignment horizontal="left" wrapText="1" indent="3"/>
    </xf>
    <xf numFmtId="0" fontId="173" fillId="2" borderId="0" xfId="0" applyNumberFormat="1" applyFont="1" applyFill="1" applyBorder="1" applyAlignment="1" applyProtection="1">
      <alignment horizontal="left" vertical="center" wrapText="1"/>
      <protection locked="0"/>
    </xf>
    <xf numFmtId="0" fontId="173" fillId="2" borderId="0" xfId="0" applyNumberFormat="1" applyFont="1" applyFill="1" applyBorder="1" applyAlignment="1" applyProtection="1">
      <alignment horizontal="left" vertical="center" wrapText="1" indent="1"/>
    </xf>
    <xf numFmtId="0" fontId="173" fillId="2" borderId="0" xfId="1" applyNumberFormat="1" applyFont="1" applyFill="1" applyBorder="1" applyAlignment="1" applyProtection="1">
      <alignment horizontal="left" vertical="center" wrapText="1"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file:///C:\Users\acurtis\AppData\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2341"/>
  <sheetViews>
    <sheetView showGridLines="0" tabSelected="1" topLeftCell="A149" zoomScale="120" zoomScaleNormal="120" workbookViewId="0">
      <selection activeCell="H794" sqref="H794"/>
    </sheetView>
  </sheetViews>
  <sheetFormatPr defaultColWidth="9" defaultRowHeight="14.25" outlineLevelRow="3" outlineLevelCol="2"/>
  <cols>
    <col min="1" max="1" width="1.5" customWidth="1"/>
    <col min="2" max="2" width="63.125" customWidth="1"/>
    <col min="3" max="3" width="2.375" style="39" customWidth="1"/>
    <col min="4" max="4" width="2.375" style="721" customWidth="1"/>
    <col min="5" max="5" width="2.375" style="721"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3"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c r="A1" s="145" t="s">
        <v>0</v>
      </c>
      <c r="B1" s="105" t="s">
        <v>28</v>
      </c>
      <c r="C1" s="141"/>
      <c r="D1" s="686" t="s">
        <v>0</v>
      </c>
      <c r="E1" s="686"/>
      <c r="F1" s="813" t="s">
        <v>0</v>
      </c>
      <c r="G1" s="1005" t="s">
        <v>0</v>
      </c>
      <c r="H1" s="1005"/>
      <c r="I1" s="740"/>
      <c r="AF1" s="360" t="s">
        <v>21</v>
      </c>
      <c r="AG1" s="59"/>
      <c r="AH1" s="76"/>
      <c r="AI1" s="809"/>
      <c r="AJ1" s="1003"/>
      <c r="AK1" s="1003"/>
      <c r="AL1" s="1003"/>
      <c r="AM1" s="1003"/>
      <c r="AN1" s="1003"/>
      <c r="AO1" s="1003"/>
    </row>
    <row r="2" spans="1:51" s="23" customFormat="1" ht="14.1" customHeight="1">
      <c r="A2" s="145"/>
      <c r="B2" s="790" t="str">
        <f>S.General.CodeName</f>
        <v>GHGTemp</v>
      </c>
      <c r="C2" s="86" t="s">
        <v>0</v>
      </c>
      <c r="D2" s="171"/>
      <c r="E2" s="171"/>
      <c r="F2" s="381" t="s">
        <v>0</v>
      </c>
      <c r="G2" s="374" t="s">
        <v>282</v>
      </c>
      <c r="H2" s="374" t="s">
        <v>171</v>
      </c>
      <c r="I2" s="740"/>
      <c r="J2"/>
      <c r="K2"/>
      <c r="L2"/>
      <c r="M2"/>
      <c r="N2"/>
      <c r="O2"/>
      <c r="P2"/>
      <c r="Q2"/>
      <c r="R2"/>
      <c r="S2"/>
      <c r="T2"/>
      <c r="U2"/>
      <c r="X2"/>
      <c r="AB2"/>
      <c r="AC2"/>
      <c r="AF2" s="360" t="s">
        <v>58</v>
      </c>
      <c r="AG2" s="76"/>
      <c r="AH2" s="76"/>
      <c r="AI2" s="59"/>
      <c r="AJ2" s="68"/>
      <c r="AK2" s="58"/>
      <c r="AL2" s="76"/>
    </row>
    <row r="3" spans="1:51" s="23" customFormat="1" ht="14.1" customHeight="1">
      <c r="A3" s="145"/>
      <c r="B3" s="791" t="s">
        <v>0</v>
      </c>
      <c r="C3" s="998" t="s">
        <v>0</v>
      </c>
      <c r="D3" s="998"/>
      <c r="E3" s="998"/>
      <c r="F3" s="998"/>
      <c r="G3" s="792">
        <f ca="1">AG3</f>
        <v>41892</v>
      </c>
      <c r="H3" s="793">
        <f>AH3</f>
        <v>42038</v>
      </c>
      <c r="I3" s="740"/>
      <c r="J3"/>
      <c r="K3"/>
      <c r="L3"/>
      <c r="M3"/>
      <c r="N3"/>
      <c r="O3"/>
      <c r="P3"/>
      <c r="Q3"/>
      <c r="R3"/>
      <c r="S3"/>
      <c r="T3"/>
      <c r="U3"/>
      <c r="X3"/>
      <c r="AB3"/>
      <c r="AC3"/>
      <c r="AF3" s="360" t="s">
        <v>58</v>
      </c>
      <c r="AG3" s="60">
        <f ca="1">TODAY()</f>
        <v>41892</v>
      </c>
      <c r="AH3" s="60">
        <f>S.EndOfRulemaking</f>
        <v>42038</v>
      </c>
      <c r="AI3" s="475" t="s">
        <v>0</v>
      </c>
      <c r="AJ3" s="379"/>
      <c r="AK3" s="347" t="str">
        <f>"Last row = "&amp;ROW(S.General.LastCellSchedule)</f>
        <v>Last row = 866</v>
      </c>
      <c r="AL3" s="76"/>
      <c r="AS3" s="990"/>
      <c r="AT3" s="990"/>
      <c r="AU3" s="990"/>
      <c r="AV3" s="990"/>
      <c r="AW3" s="990"/>
      <c r="AX3" s="990"/>
      <c r="AY3" s="990"/>
    </row>
    <row r="4" spans="1:51" ht="6" customHeight="1">
      <c r="A4" s="163"/>
      <c r="B4" s="106"/>
      <c r="C4" s="98"/>
      <c r="D4" s="687"/>
      <c r="E4" s="687"/>
      <c r="F4" s="99"/>
      <c r="G4" s="98"/>
      <c r="H4" s="98"/>
      <c r="I4" s="740"/>
      <c r="AF4" s="360" t="s">
        <v>16</v>
      </c>
      <c r="AG4" s="58"/>
      <c r="AH4" s="58"/>
      <c r="AI4" s="58"/>
      <c r="AJ4" s="160"/>
      <c r="AK4" s="58"/>
      <c r="AL4" s="76"/>
      <c r="AM4"/>
    </row>
    <row r="5" spans="1:51" s="23" customFormat="1" ht="39.75" customHeight="1" thickBot="1">
      <c r="A5" s="163"/>
      <c r="B5" s="995" t="s">
        <v>642</v>
      </c>
      <c r="C5" s="995"/>
      <c r="D5" s="995"/>
      <c r="E5" s="995"/>
      <c r="F5" s="995"/>
      <c r="G5" s="833"/>
      <c r="H5" s="833"/>
      <c r="I5" s="913"/>
      <c r="J5"/>
      <c r="K5"/>
      <c r="L5"/>
      <c r="M5"/>
      <c r="N5"/>
      <c r="O5"/>
      <c r="P5"/>
      <c r="Q5"/>
      <c r="R5"/>
      <c r="S5"/>
      <c r="T5"/>
      <c r="U5"/>
      <c r="X5"/>
      <c r="AB5"/>
      <c r="AC5"/>
      <c r="AF5" s="360">
        <v>0</v>
      </c>
      <c r="AG5" s="58"/>
      <c r="AH5" s="801" t="s">
        <v>644</v>
      </c>
      <c r="AI5" s="58" t="s">
        <v>0</v>
      </c>
      <c r="AJ5" s="160"/>
      <c r="AK5" s="493" t="s">
        <v>0</v>
      </c>
      <c r="AL5" s="76"/>
    </row>
    <row r="6" spans="1:51" s="23" customFormat="1" ht="14.1" customHeight="1" thickTop="1" thickBot="1">
      <c r="A6" s="163"/>
      <c r="B6" s="330" t="s">
        <v>643</v>
      </c>
      <c r="C6" s="477" t="s">
        <v>16</v>
      </c>
      <c r="F6" s="892"/>
      <c r="G6" s="1081"/>
      <c r="I6" s="914"/>
      <c r="AF6" s="361">
        <f>IF(C6="N",0,1)</f>
        <v>1</v>
      </c>
      <c r="AG6" s="58"/>
      <c r="AH6" s="802">
        <f>IF(C6="N",S.Overview.BANNER.Start,G6)</f>
        <v>0</v>
      </c>
      <c r="AI6" s="34"/>
      <c r="AJ6" s="343"/>
      <c r="AK6" s="58"/>
      <c r="AL6" s="76"/>
    </row>
    <row r="7" spans="1:51" s="23" customFormat="1" ht="6.75" customHeight="1" thickBot="1">
      <c r="A7" s="163"/>
      <c r="B7" s="328"/>
      <c r="C7" s="327"/>
      <c r="D7" s="520"/>
      <c r="E7" s="520"/>
      <c r="F7" s="893"/>
      <c r="G7" s="279"/>
      <c r="H7" s="279" t="s">
        <v>0</v>
      </c>
      <c r="I7" s="915"/>
      <c r="AF7" s="360">
        <v>0</v>
      </c>
      <c r="AG7" s="76"/>
      <c r="AH7" s="59"/>
      <c r="AI7" s="59"/>
      <c r="AJ7" s="343"/>
      <c r="AK7" s="34"/>
      <c r="AL7" s="76"/>
    </row>
    <row r="8" spans="1:51" s="39" customFormat="1" ht="13.5" customHeight="1" thickBot="1">
      <c r="A8" s="163"/>
      <c r="B8" s="370" t="str">
        <f>AK8</f>
        <v>TEMPORARY Rulemaking</v>
      </c>
      <c r="C8" s="794" t="s">
        <v>21</v>
      </c>
      <c r="F8" s="894" t="s">
        <v>0</v>
      </c>
      <c r="I8" s="916">
        <f>IF(S.General.RuleType="P",60,30)</f>
        <v>30</v>
      </c>
      <c r="AF8" s="361">
        <v>1</v>
      </c>
      <c r="AG8" s="796"/>
      <c r="AH8" s="796"/>
      <c r="AI8" s="34"/>
      <c r="AJ8" s="797"/>
      <c r="AK8" s="798" t="str">
        <f>IF(S.General.RuleType="P","PERMANENT Rulemaking ","TEMPORARY Rulemaking")</f>
        <v>TEMPORARY Rulemaking</v>
      </c>
      <c r="AL8" s="795"/>
    </row>
    <row r="9" spans="1:51" s="23" customFormat="1" ht="6.75" customHeight="1" thickBot="1">
      <c r="A9" s="163"/>
      <c r="B9" s="328"/>
      <c r="C9" s="327"/>
      <c r="D9" s="520"/>
      <c r="E9" s="520"/>
      <c r="F9" s="893"/>
      <c r="G9" s="279"/>
      <c r="H9" s="279"/>
      <c r="I9" s="915"/>
      <c r="J9"/>
      <c r="K9"/>
      <c r="L9"/>
      <c r="M9"/>
      <c r="N9"/>
      <c r="O9"/>
      <c r="P9"/>
      <c r="Q9"/>
      <c r="R9"/>
      <c r="S9"/>
      <c r="T9"/>
      <c r="U9"/>
      <c r="X9"/>
      <c r="AB9"/>
      <c r="AC9"/>
      <c r="AF9" s="360">
        <v>0</v>
      </c>
      <c r="AG9" s="76"/>
      <c r="AH9" s="59"/>
      <c r="AI9" s="59"/>
      <c r="AJ9" s="343"/>
      <c r="AK9" s="34"/>
      <c r="AL9" s="76"/>
    </row>
    <row r="10" spans="1:51" s="23" customFormat="1" ht="14.1" customHeight="1" thickBot="1">
      <c r="A10" s="163"/>
      <c r="B10" s="267" t="s">
        <v>305</v>
      </c>
      <c r="C10" s="476">
        <v>2</v>
      </c>
      <c r="F10" s="895" t="s">
        <v>0</v>
      </c>
      <c r="G10"/>
      <c r="H10"/>
      <c r="I10" s="917">
        <f>IF(S.General.Complexity=1,0,IF(S.General.Complexity=2,30,60))</f>
        <v>30</v>
      </c>
      <c r="J10"/>
      <c r="K10"/>
      <c r="L10"/>
      <c r="M10"/>
      <c r="N10"/>
      <c r="O10"/>
      <c r="P10"/>
      <c r="Q10"/>
      <c r="R10"/>
      <c r="S10"/>
      <c r="T10"/>
      <c r="U10"/>
      <c r="X10"/>
      <c r="AB10"/>
      <c r="AC10"/>
      <c r="AF10" s="361">
        <v>1</v>
      </c>
      <c r="AG10" s="34"/>
      <c r="AH10" s="34"/>
      <c r="AI10" s="34"/>
      <c r="AJ10" s="343"/>
      <c r="AK10" s="58"/>
      <c r="AL10" s="76"/>
    </row>
    <row r="11" spans="1:51" s="23" customFormat="1" ht="6.75" customHeight="1">
      <c r="A11" s="163"/>
      <c r="B11" s="328"/>
      <c r="C11" s="327"/>
      <c r="D11" s="520"/>
      <c r="E11" s="520"/>
      <c r="F11" s="893"/>
      <c r="G11" s="800"/>
      <c r="H11" s="279"/>
      <c r="I11" s="915"/>
      <c r="J11"/>
      <c r="K11"/>
      <c r="L11"/>
      <c r="M11"/>
      <c r="N11"/>
      <c r="O11"/>
      <c r="P11"/>
      <c r="Q11"/>
      <c r="R11"/>
      <c r="S11"/>
      <c r="T11"/>
      <c r="U11"/>
      <c r="X11"/>
      <c r="AB11"/>
      <c r="AC11"/>
      <c r="AF11" s="360">
        <v>0</v>
      </c>
      <c r="AG11" s="76"/>
      <c r="AH11" s="59"/>
      <c r="AI11" s="59"/>
      <c r="AJ11" s="343"/>
      <c r="AK11" s="34"/>
      <c r="AL11" s="76"/>
    </row>
    <row r="12" spans="1:51" s="23" customFormat="1" ht="14.1" hidden="1" customHeight="1" thickBot="1">
      <c r="A12" s="145"/>
      <c r="B12" s="840" t="str">
        <f>AK12</f>
        <v>Advisory Committee - not involved</v>
      </c>
      <c r="C12" s="477" t="s">
        <v>205</v>
      </c>
      <c r="D12" s="505" t="str">
        <f>HYPERLINK("\\deqhq1\Rule_Resources\i\2-AdvisoryCommittee.pdf","i")</f>
        <v>i</v>
      </c>
      <c r="E12" s="75"/>
      <c r="F12" s="895" t="s">
        <v>0</v>
      </c>
      <c r="G12" s="908">
        <v>41761</v>
      </c>
      <c r="H12" s="910">
        <f>AH12 AH12</f>
        <v>0</v>
      </c>
      <c r="I12" s="917">
        <f>IF(S.AC.CommitteeInvolved="N",0,21)</f>
        <v>0</v>
      </c>
      <c r="J12"/>
      <c r="K12"/>
      <c r="L12"/>
      <c r="M12"/>
      <c r="N12"/>
      <c r="O12"/>
      <c r="P12"/>
      <c r="Q12"/>
      <c r="R12"/>
      <c r="S12"/>
      <c r="T12"/>
      <c r="U12"/>
      <c r="X12"/>
      <c r="AB12"/>
      <c r="AC12"/>
      <c r="AF12" s="361">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1"/>
      <c r="C13" s="843"/>
      <c r="D13" s="844"/>
      <c r="E13" s="844"/>
      <c r="F13" s="896"/>
      <c r="G13" s="332"/>
      <c r="H13" s="332"/>
      <c r="I13" s="918"/>
      <c r="J13"/>
      <c r="K13"/>
      <c r="L13"/>
      <c r="M13"/>
      <c r="N13"/>
      <c r="O13"/>
      <c r="P13"/>
      <c r="Q13"/>
      <c r="R13"/>
      <c r="S13"/>
      <c r="T13"/>
      <c r="U13"/>
      <c r="X13"/>
      <c r="AB13"/>
      <c r="AC13"/>
      <c r="AF13" s="360">
        <v>0</v>
      </c>
      <c r="AG13" s="64"/>
      <c r="AH13" s="59"/>
      <c r="AI13" s="108"/>
      <c r="AJ13" s="162"/>
      <c r="AK13" s="65"/>
      <c r="AL13" s="76"/>
    </row>
    <row r="14" spans="1:51" ht="13.5" hidden="1" customHeight="1" outlineLevel="1" thickBot="1">
      <c r="A14" s="145"/>
      <c r="B14" s="330" t="str">
        <f>AK14</f>
        <v>Fees - not involved</v>
      </c>
      <c r="C14" s="477" t="s">
        <v>205</v>
      </c>
      <c r="D14" s="845"/>
      <c r="E14" s="845"/>
      <c r="F14" s="895">
        <f>IF(S.Fee.Involved="N",0,14)</f>
        <v>0</v>
      </c>
      <c r="G14" s="291">
        <f>AG14</f>
        <v>0</v>
      </c>
      <c r="H14" s="309">
        <f>AH14</f>
        <v>0</v>
      </c>
      <c r="I14" s="917">
        <f>IF(S.Fee.Involved="N",0,14)</f>
        <v>0</v>
      </c>
      <c r="AF14" s="361">
        <f>IF(S.Fee.Involved="N",0,1)</f>
        <v>0</v>
      </c>
      <c r="AG14" s="60">
        <f>IF(S.Fee.Involved="N",,S.DIRECTOR.Approves.ForDEQRulemakingPlan)</f>
        <v>0</v>
      </c>
      <c r="AH14" s="60">
        <f>IF(S.Fee.Involved="N",,WORKDAY(S.EQC.Meeting+4,1,S.DDL_DEQClosed))</f>
        <v>0</v>
      </c>
      <c r="AI14" s="64"/>
      <c r="AJ14" s="343"/>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c r="A15" s="145"/>
      <c r="B15" s="204" t="str">
        <f>AK15</f>
        <v>-blank-</v>
      </c>
      <c r="C15" s="477" t="s">
        <v>205</v>
      </c>
      <c r="D15" s="690" t="str">
        <f>HYPERLINK("\\deqhq1\Rule_Resources\i\3-FeeApproval.pdf","i")</f>
        <v>i</v>
      </c>
      <c r="E15" s="690"/>
      <c r="F15" s="895">
        <f>IF(S.Fee.Involved="N",0,IF(S.Fee.DASApprovalRequired="N",0,21))</f>
        <v>0</v>
      </c>
      <c r="G15" s="359"/>
      <c r="H15" s="359"/>
      <c r="I15" s="917">
        <f>IF(S.Fee.Involved="N",0,IF(S.Fee.DASApprovalRequired="N",0,21))</f>
        <v>0</v>
      </c>
      <c r="J15"/>
      <c r="K15"/>
      <c r="L15"/>
      <c r="M15"/>
      <c r="N15"/>
      <c r="O15"/>
      <c r="P15"/>
      <c r="Q15"/>
      <c r="R15"/>
      <c r="S15"/>
      <c r="T15"/>
      <c r="U15"/>
      <c r="X15"/>
      <c r="AB15"/>
      <c r="AC15"/>
      <c r="AF15" s="360">
        <f>IF(S.Fee.Involved="Y",1,0)</f>
        <v>0</v>
      </c>
      <c r="AG15" s="64"/>
      <c r="AH15" s="64" t="s">
        <v>0</v>
      </c>
      <c r="AI15" s="64"/>
      <c r="AJ15" s="343"/>
      <c r="AK15" s="63" t="str">
        <f>IF(S.Fee.Involved="N","-blank-",IF(AND(C15="Y",S.Fee.Involved="Y"),"DAS - Fee approval required","DAS - Fee approval NOT required"))</f>
        <v>-blank-</v>
      </c>
      <c r="AL15" s="76"/>
    </row>
    <row r="16" spans="1:51" s="23" customFormat="1" ht="14.1" hidden="1" customHeight="1" outlineLevel="1">
      <c r="A16" s="145"/>
      <c r="B16" s="204" t="str">
        <f>AK16</f>
        <v>-blank-</v>
      </c>
      <c r="C16" s="266"/>
      <c r="D16" s="692"/>
      <c r="E16" s="692"/>
      <c r="F16" s="895">
        <f>IF(F20=45,0,30)</f>
        <v>30</v>
      </c>
      <c r="G16" s="368" t="s">
        <v>0</v>
      </c>
      <c r="H16" s="804">
        <f>AH16</f>
        <v>0</v>
      </c>
      <c r="I16" s="917">
        <f>IF(I20=45,0,30)</f>
        <v>30</v>
      </c>
      <c r="J16"/>
      <c r="K16"/>
      <c r="L16"/>
      <c r="M16"/>
      <c r="N16"/>
      <c r="O16"/>
      <c r="P16"/>
      <c r="Q16"/>
      <c r="R16"/>
      <c r="S16"/>
      <c r="T16"/>
      <c r="U16"/>
      <c r="X16"/>
      <c r="AB16"/>
      <c r="AC16"/>
      <c r="AF16" s="360">
        <f>IF(AND(S.Fee.Involved="Y",S.Notice.Involved="Y"),1,0)</f>
        <v>0</v>
      </c>
      <c r="AG16" s="48"/>
      <c r="AH16" s="60">
        <f>IF(S.Fee.Involved="N",,IF(S.Notice.Involved="N",,IF(S.Fee.DASApprovalRequired="Y",WORKDAY(S.Notice.OpenComment-29,-1,S.DDL_DEQClosed),S.Notice.SubmitToSOS)))</f>
        <v>0</v>
      </c>
      <c r="AI16" s="996"/>
      <c r="AJ16" s="345"/>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outlineLevel="1">
      <c r="A17" s="145"/>
      <c r="B17" s="841"/>
      <c r="C17" s="843"/>
      <c r="D17" s="844"/>
      <c r="E17" s="844"/>
      <c r="F17" s="896"/>
      <c r="G17" s="332"/>
      <c r="H17" s="332"/>
      <c r="I17" s="918"/>
      <c r="J17"/>
      <c r="K17"/>
      <c r="L17"/>
      <c r="M17"/>
      <c r="N17"/>
      <c r="O17"/>
      <c r="P17"/>
      <c r="Q17"/>
      <c r="R17"/>
      <c r="S17"/>
      <c r="T17"/>
      <c r="U17"/>
      <c r="X17"/>
      <c r="AB17"/>
      <c r="AC17"/>
      <c r="AF17" s="360">
        <v>0</v>
      </c>
      <c r="AG17" s="64"/>
      <c r="AH17" s="59"/>
      <c r="AI17" s="996"/>
      <c r="AJ17" s="343"/>
      <c r="AK17" s="65"/>
      <c r="AL17" s="76"/>
    </row>
    <row r="18" spans="1:41" s="23" customFormat="1" ht="13.5" hidden="1" customHeight="1" outlineLevel="1" thickBot="1">
      <c r="A18" s="163"/>
      <c r="B18" s="330" t="str">
        <f>AK18</f>
        <v>State Implementation Plan for AQ rules - not involved</v>
      </c>
      <c r="C18" s="477" t="s">
        <v>205</v>
      </c>
      <c r="D18" s="846"/>
      <c r="E18" s="846"/>
      <c r="F18" s="895">
        <f>IF(S.SIP.Involved="N",0,IF(S.General.Complexity=1,0,112))</f>
        <v>0</v>
      </c>
      <c r="G18" s="835" t="s">
        <v>0</v>
      </c>
      <c r="H18" s="75"/>
      <c r="I18" s="917">
        <f>IF(S.SIP.Involved="N",0,IF(S.General.Complexity=1,0,112))</f>
        <v>0</v>
      </c>
      <c r="J18"/>
      <c r="K18"/>
      <c r="L18"/>
      <c r="M18"/>
      <c r="N18"/>
      <c r="O18"/>
      <c r="P18"/>
      <c r="Q18"/>
      <c r="R18"/>
      <c r="S18"/>
      <c r="T18"/>
      <c r="U18"/>
      <c r="X18"/>
      <c r="AB18"/>
      <c r="AC18"/>
      <c r="AF18" s="361">
        <f>IF(S.SIP.Involved="N",0,1)</f>
        <v>0</v>
      </c>
      <c r="AG18" s="48"/>
      <c r="AH18" s="48"/>
      <c r="AI18" s="996"/>
      <c r="AJ18" s="343"/>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for AQ rules - not involved</v>
      </c>
      <c r="AL18" s="76"/>
    </row>
    <row r="19" spans="1:41" s="23" customFormat="1" ht="14.1" hidden="1" customHeight="1" outlineLevel="1">
      <c r="A19" s="145"/>
      <c r="B19" s="204" t="str">
        <f>AK19</f>
        <v>-blank-</v>
      </c>
      <c r="C19" s="75"/>
      <c r="D19" s="847" t="s">
        <v>0</v>
      </c>
      <c r="E19" s="847"/>
      <c r="F19" s="896"/>
      <c r="G19" s="848" t="s">
        <v>0</v>
      </c>
      <c r="H19" s="804">
        <f>AH19</f>
        <v>0</v>
      </c>
      <c r="I19" s="918"/>
      <c r="J19"/>
      <c r="K19"/>
      <c r="L19"/>
      <c r="M19"/>
      <c r="N19"/>
      <c r="O19"/>
      <c r="P19"/>
      <c r="Q19"/>
      <c r="R19"/>
      <c r="S19"/>
      <c r="T19"/>
      <c r="U19"/>
      <c r="X19"/>
      <c r="AB19"/>
      <c r="AC19"/>
      <c r="AF19" s="361">
        <f>IF(AND(S.General.Complexity&gt;1,S.SIP.Involved="Y"),1,0)</f>
        <v>0</v>
      </c>
      <c r="AG19" s="48"/>
      <c r="AH19" s="60">
        <f>IF(S.SIP.Involved="N",,IF(S.General.Complexity=1,,IF(S.Notice.Involved="N","ERROR",WORKDAY(DATE(YEAR(S.Notice.OpenComment),MONTH(S.Notice.OpenComment)-6,DAY(S.Notice.OpenComment+1)),-1,S.DDL_DEQClosed))))</f>
        <v>0</v>
      </c>
      <c r="AI19" s="59"/>
      <c r="AJ19" s="343"/>
      <c r="AK19" s="63" t="str">
        <f>IF(S.SIP.Involved="N","-blank-",IF(ISERROR(H19)=TRUE,"ERROR - Must enter 'Y' to involve public notice and hearing below","EPA - submit SIP Development Plan 6 months before comment period opens "))</f>
        <v>-blank-</v>
      </c>
      <c r="AL19" s="76"/>
    </row>
    <row r="20" spans="1:41" s="23" customFormat="1" ht="14.1" hidden="1" customHeight="1" outlineLevel="1">
      <c r="A20" s="163"/>
      <c r="B20" s="204" t="str">
        <f>AK20</f>
        <v>-blank-</v>
      </c>
      <c r="D20" s="689"/>
      <c r="E20" s="689"/>
      <c r="F20" s="895">
        <f>IF(S.SIP.Involved="N",,IF(S.General.Complexity=1,0,45))</f>
        <v>0</v>
      </c>
      <c r="G20" s="836" t="s">
        <v>0</v>
      </c>
      <c r="H20" s="265">
        <f>AH20</f>
        <v>0</v>
      </c>
      <c r="I20" s="917">
        <f>IF(S.SIP.Involved="N",,IF(S.General.Complexity=1,0,45))</f>
        <v>0</v>
      </c>
      <c r="AF20" s="361">
        <f>IF(S.SIP.Involved="Y",1,0)</f>
        <v>0</v>
      </c>
      <c r="AG20" s="48"/>
      <c r="AH20" s="911">
        <f>IF(S.SIP.Involved="N",,IF(S.Notice.Involved="N","ERROR",WORKDAY(S.Notice.SubmitToSOS-60,-1,S.DDL_DEQClosed)))</f>
        <v>0</v>
      </c>
      <c r="AI20" s="863" t="s">
        <v>0</v>
      </c>
      <c r="AJ20" s="343"/>
      <c r="AK20" s="63" t="str">
        <f>IF(S.SIP.Involved="N","-blank-",IF(ISERROR(H20)=TRUE,"ERROR - Must enter 'Y' to involve public notice and hearing below","EPA - submit at least 45 days before ubmittig notice to SOS"))</f>
        <v>-blank-</v>
      </c>
      <c r="AL20" s="76"/>
    </row>
    <row r="21" spans="1:41" s="23" customFormat="1" ht="6" hidden="1" customHeight="1" outlineLevel="1">
      <c r="A21" s="145"/>
      <c r="B21" s="329"/>
      <c r="C21" s="329"/>
      <c r="D21" s="844"/>
      <c r="E21" s="844"/>
      <c r="F21" s="896"/>
      <c r="G21" s="332"/>
      <c r="H21" s="849"/>
      <c r="I21" s="918"/>
      <c r="J21"/>
      <c r="K21"/>
      <c r="L21"/>
      <c r="M21"/>
      <c r="N21"/>
      <c r="O21"/>
      <c r="P21"/>
      <c r="Q21"/>
      <c r="R21"/>
      <c r="S21"/>
      <c r="T21"/>
      <c r="U21"/>
      <c r="X21"/>
      <c r="AB21"/>
      <c r="AC21"/>
      <c r="AF21" s="360">
        <v>0</v>
      </c>
      <c r="AG21" s="76"/>
      <c r="AH21" s="76"/>
      <c r="AI21" s="108" t="s">
        <v>229</v>
      </c>
      <c r="AJ21" s="343"/>
      <c r="AK21" s="77"/>
      <c r="AL21" s="76"/>
    </row>
    <row r="22" spans="1:41" s="23" customFormat="1" ht="15" hidden="1" customHeight="1" thickBot="1">
      <c r="A22" s="145"/>
      <c r="B22" s="370" t="str">
        <f t="shared" ref="B22:B32" si="0">AK22</f>
        <v>Public Notice - not required for TEMPORARY rules - APA</v>
      </c>
      <c r="C22" s="477" t="s">
        <v>205</v>
      </c>
      <c r="D22" s="846"/>
      <c r="E22" s="846"/>
      <c r="F22" s="895" t="s">
        <v>757</v>
      </c>
      <c r="G22" s="908">
        <f t="shared" ref="G22:H25" si="1">AG22</f>
        <v>0</v>
      </c>
      <c r="H22" s="909">
        <f t="shared" si="1"/>
        <v>0</v>
      </c>
      <c r="I22" s="917" t="s">
        <v>0</v>
      </c>
      <c r="J22"/>
      <c r="K22"/>
      <c r="L22"/>
      <c r="M22"/>
      <c r="N22"/>
      <c r="O22"/>
      <c r="P22"/>
      <c r="Q22"/>
      <c r="R22"/>
      <c r="S22"/>
      <c r="T22"/>
      <c r="U22"/>
      <c r="X22"/>
      <c r="AB22"/>
      <c r="AC22"/>
      <c r="AF22" s="360">
        <f>IF(S.Notice.Involved="N",0,1)</f>
        <v>0</v>
      </c>
      <c r="AG22" s="60">
        <f>IF(S.Notice.Involved="N",,S.DIRECTOR.Approves.ForDEQRulemakingPlan)</f>
        <v>0</v>
      </c>
      <c r="AH22" s="60">
        <f>IF(S.Notice.Involved="N",,S.Notice.CloseComment)</f>
        <v>0</v>
      </c>
      <c r="AI22" s="59" t="s">
        <v>758</v>
      </c>
      <c r="AJ22" s="343"/>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 - not required for TEMPORARY rules - APA</v>
      </c>
      <c r="AL22" s="76"/>
      <c r="AN22" s="131"/>
      <c r="AO22" s="131"/>
    </row>
    <row r="23" spans="1:41" s="23" customFormat="1" ht="14.1" hidden="1" customHeight="1">
      <c r="A23" s="145" t="s">
        <v>0</v>
      </c>
      <c r="B23" s="204" t="str">
        <f t="shared" si="0"/>
        <v>-blank-</v>
      </c>
      <c r="F23" s="895">
        <v>10</v>
      </c>
      <c r="G23" s="907">
        <f t="shared" si="1"/>
        <v>0</v>
      </c>
      <c r="H23" s="907">
        <f t="shared" si="1"/>
        <v>0</v>
      </c>
      <c r="I23" s="917">
        <f>IF(S.Notice.Involved="N",0,10)</f>
        <v>0</v>
      </c>
      <c r="AF23" s="360">
        <f>IF(S.Notice.Involved="Y",1,0)</f>
        <v>0</v>
      </c>
      <c r="AG23" s="60">
        <f>IF(S.Notice.Involved="N",,WORKDAY(H23-F23+1,-1,S.DDL_DEQClosed))</f>
        <v>0</v>
      </c>
      <c r="AH23" s="60">
        <f>IF(S.Notice.Involved="N",,WORKDAY(G24-9,-1,S.DDL_DEQClosed))</f>
        <v>0</v>
      </c>
      <c r="AI23" s="946">
        <v>7</v>
      </c>
      <c r="AJ23" s="344"/>
      <c r="AK23" s="63" t="str">
        <f>IF(S.Notice.Involved="Y","Due to "&amp;S.Staff.Program.Mgr.FirstName&amp;" - approval to submit Notice Packet to Rule Publication","-blank-")</f>
        <v>-blank-</v>
      </c>
      <c r="AL23" s="76"/>
    </row>
    <row r="24" spans="1:41" s="23" customFormat="1" ht="14.1" hidden="1" customHeight="1">
      <c r="A24" s="145" t="s">
        <v>0</v>
      </c>
      <c r="B24" s="204" t="str">
        <f t="shared" si="0"/>
        <v>-blank-</v>
      </c>
      <c r="F24" s="895">
        <v>14</v>
      </c>
      <c r="G24" s="907">
        <f t="shared" si="1"/>
        <v>0</v>
      </c>
      <c r="H24" s="309">
        <f t="shared" si="1"/>
        <v>0</v>
      </c>
      <c r="I24" s="917">
        <f>IF(S.Notice.Involved="N",0,IF(S.General.Complexity=1,7,IF(S.General.Complexity=2,14,21)))</f>
        <v>0</v>
      </c>
      <c r="AF24" s="360">
        <f>IF(S.Notice.Involved="Y",1,0)</f>
        <v>0</v>
      </c>
      <c r="AG24" s="60">
        <f>IF(S.Notice.Involved="N",,WORKDAY(H24-F24+1,-1,S.DDL_DEQClosed))</f>
        <v>0</v>
      </c>
      <c r="AH24" s="60">
        <f>IF(S.Notice.Involved="N",,WORKDAY(S.Notice.Submit.ToADA-13,-1,S.DDL_DEQClosed))</f>
        <v>0</v>
      </c>
      <c r="AI24" s="475">
        <v>14</v>
      </c>
      <c r="AJ24" s="344"/>
      <c r="AK24" s="63" t="str">
        <f>IF(S.Notice.Involved="Y","Due to Rule Publication ("&amp;S.Staff.RG.Lead.FirstName&amp;") - final edits and validations","-blank-")</f>
        <v>-blank-</v>
      </c>
      <c r="AL24" s="76"/>
    </row>
    <row r="25" spans="1:41" s="23" customFormat="1" ht="14.1" hidden="1" customHeight="1">
      <c r="A25" s="145" t="s">
        <v>0</v>
      </c>
      <c r="B25" s="905" t="str">
        <f>AK25</f>
        <v>-blank-</v>
      </c>
      <c r="F25" s="895">
        <v>5</v>
      </c>
      <c r="G25" s="907">
        <f t="shared" si="1"/>
        <v>0</v>
      </c>
      <c r="H25" s="309">
        <f t="shared" si="1"/>
        <v>0</v>
      </c>
      <c r="I25" s="917">
        <v>7</v>
      </c>
      <c r="J25"/>
      <c r="K25"/>
      <c r="L25"/>
      <c r="M25"/>
      <c r="N25"/>
      <c r="O25"/>
      <c r="P25"/>
      <c r="Q25"/>
      <c r="R25"/>
      <c r="S25"/>
      <c r="T25"/>
      <c r="U25"/>
      <c r="X25"/>
      <c r="AB25"/>
      <c r="AC25"/>
      <c r="AF25" s="360">
        <f>IF(S.Notice.Involved="Y",1,0)</f>
        <v>0</v>
      </c>
      <c r="AG25" s="60">
        <f>IF(S.Notice.Involved="N",,WORKDAY(H25-F25+1,-1,S.DDL_DEQClosed))</f>
        <v>0</v>
      </c>
      <c r="AH25" s="60">
        <f>IF(S.Notice.Involved="N",,WORKDAY(S.Notice.SubmitToSOS-13,-1,S.DDL_DEQClosed))</f>
        <v>0</v>
      </c>
      <c r="AI25" s="475">
        <v>5</v>
      </c>
      <c r="AJ25" s="344"/>
      <c r="AK25" s="63" t="str">
        <f>IF(S.Notice.Involved="Y","Due to "&amp;S.Staff.Assistant.DA.ShortName&amp;" for input and approval to publish Notice Packet","-blank-")</f>
        <v>-blank-</v>
      </c>
      <c r="AL25" s="76"/>
    </row>
    <row r="26" spans="1:41" s="23" customFormat="1" ht="14.1" hidden="1" customHeight="1" thickBot="1">
      <c r="A26" s="145" t="s">
        <v>0</v>
      </c>
      <c r="B26" s="204" t="str">
        <f t="shared" si="0"/>
        <v>-blank</v>
      </c>
      <c r="C26" s="204"/>
      <c r="D26" s="691"/>
      <c r="E26" s="691"/>
      <c r="G26" s="836"/>
      <c r="H26" s="834">
        <f>AH26</f>
        <v>0</v>
      </c>
      <c r="I26" s="740"/>
      <c r="AF26" s="360">
        <f>IF(S.Notice.Involved="Y",1,0)</f>
        <v>0</v>
      </c>
      <c r="AG26" s="48"/>
      <c r="AH26" s="60">
        <f>IF(S.Notice.Involved="N",,VLOOKUP(S.Notice.InOregonBulletin,VL_Bulletin,2,FALSE))</f>
        <v>0</v>
      </c>
      <c r="AI26" s="863" t="s">
        <v>0</v>
      </c>
      <c r="AJ26" s="344"/>
      <c r="AK26" s="63" t="str">
        <f>IF(S.Notice.Involved="Y","SOS - submit on workday no later than 15th of month BEFORE Bulletin","-blank")</f>
        <v>-blank</v>
      </c>
      <c r="AL26" s="76"/>
    </row>
    <row r="27" spans="1:41" s="23" customFormat="1" ht="14.1" hidden="1" customHeight="1" thickBot="1">
      <c r="A27" s="145" t="s">
        <v>0</v>
      </c>
      <c r="B27" s="204" t="str">
        <f t="shared" si="0"/>
        <v>-blank-</v>
      </c>
      <c r="C27" s="999" t="s">
        <v>682</v>
      </c>
      <c r="D27" s="999"/>
      <c r="E27" s="999"/>
      <c r="F27" s="999"/>
      <c r="G27" s="1000"/>
      <c r="H27" s="832">
        <v>41913</v>
      </c>
      <c r="I27" s="740"/>
      <c r="J27"/>
      <c r="K27"/>
      <c r="L27"/>
      <c r="M27"/>
      <c r="N27"/>
      <c r="O27"/>
      <c r="P27"/>
      <c r="Q27"/>
      <c r="R27"/>
      <c r="S27"/>
      <c r="T27"/>
      <c r="U27"/>
      <c r="X27"/>
      <c r="AB27"/>
      <c r="AC27"/>
      <c r="AF27" s="360">
        <f>IF(S.Notice.Involved="Y",1,0)</f>
        <v>0</v>
      </c>
      <c r="AG27" s="48"/>
      <c r="AH27" s="60">
        <f>IF(S.Notice.Involved="N",,IF(OR(S.General.Complexity&gt;1,S.SIP.Involved="Y"),VLOOKUP(S.EQC.Meeting-90,S.DDL_Bulletin,TRUE,VLOOKUP(S.EQC.Meeting-60,S.DDL_Bulletin,TRUE))))</f>
        <v>0</v>
      </c>
      <c r="AI27" s="863" t="s">
        <v>0</v>
      </c>
      <c r="AJ27" s="345"/>
      <c r="AK27" s="63" t="str">
        <f>IF(S.Notice.Involved="Y","SOS - Oregon Bulletin always publishes on the 1st of month ","-blank-")</f>
        <v>-blank-</v>
      </c>
      <c r="AL27" s="76"/>
    </row>
    <row r="28" spans="1:41" s="23" customFormat="1" ht="6" hidden="1" customHeight="1" thickBot="1">
      <c r="A28" s="145"/>
      <c r="B28" s="329"/>
      <c r="C28" s="329"/>
      <c r="D28" s="329"/>
      <c r="E28" s="329"/>
      <c r="F28" s="329"/>
      <c r="G28" s="329"/>
      <c r="H28" s="329"/>
      <c r="I28" s="740"/>
      <c r="AE28" s="40"/>
      <c r="AF28" s="360">
        <v>1</v>
      </c>
      <c r="AG28" s="48"/>
      <c r="AH28" s="60"/>
      <c r="AI28" s="59"/>
      <c r="AJ28" s="162"/>
      <c r="AK28" s="78"/>
      <c r="AL28" s="76"/>
    </row>
    <row r="29" spans="1:41" s="23" customFormat="1" ht="13.5" hidden="1" customHeight="1" thickBot="1">
      <c r="A29" s="145"/>
      <c r="B29" s="330" t="str">
        <f t="shared" si="0"/>
        <v>Public Comment and Testimony - not involved</v>
      </c>
      <c r="C29" s="477" t="s">
        <v>16</v>
      </c>
      <c r="D29" s="850"/>
      <c r="E29" s="850"/>
      <c r="F29" s="895" t="s">
        <v>0</v>
      </c>
      <c r="G29" s="908">
        <f>AG29</f>
        <v>0</v>
      </c>
      <c r="H29" s="908">
        <f>AH29</f>
        <v>0</v>
      </c>
      <c r="I29" s="919">
        <f>IF(S.Notice.Involved="N",,IF(S.Hearing.1stInvolve="N",,IF(S.General.Complexity=1,0,IF(S.General.Complexity=2,7,14))))</f>
        <v>0</v>
      </c>
      <c r="J29"/>
      <c r="K29"/>
      <c r="L29"/>
      <c r="M29"/>
      <c r="N29"/>
      <c r="O29"/>
      <c r="P29"/>
      <c r="Q29"/>
      <c r="R29"/>
      <c r="S29"/>
      <c r="T29"/>
      <c r="U29"/>
      <c r="X29"/>
      <c r="AB29"/>
      <c r="AC29"/>
      <c r="AF29" s="360">
        <f>IF(S.Hearing.1stInvolve="N",0,1)</f>
        <v>1</v>
      </c>
      <c r="AG29" s="60">
        <f>IF(S.Hearing.1stInvolve="N",,S.Notice.SubmitToSOS)</f>
        <v>0</v>
      </c>
      <c r="AH29" s="60">
        <f>IF(S.Notice.Involved="N",, S.EQC.SubmitStaffRpt)</f>
        <v>0</v>
      </c>
      <c r="AI29" s="48"/>
      <c r="AJ29" s="344"/>
      <c r="AK29" s="63" t="str">
        <f>IF(S.Notice.Involved="N","Public Comment and Testimony - not involved","Public Comment and Testimony")</f>
        <v>Public Comment and Testimony - not involved</v>
      </c>
      <c r="AL29" s="76"/>
      <c r="AM29" s="158" t="s">
        <v>0</v>
      </c>
    </row>
    <row r="30" spans="1:41" s="23" customFormat="1" ht="14.1" hidden="1" customHeight="1">
      <c r="A30" s="145"/>
      <c r="B30" s="204" t="str">
        <f t="shared" si="0"/>
        <v>-blank-</v>
      </c>
      <c r="C30" s="334"/>
      <c r="D30" s="851"/>
      <c r="E30" s="851"/>
      <c r="F30" s="897"/>
      <c r="G30" s="368" t="s">
        <v>0</v>
      </c>
      <c r="H30" s="906">
        <f>AH30</f>
        <v>2</v>
      </c>
      <c r="I30" s="920"/>
      <c r="J30"/>
      <c r="K30"/>
      <c r="L30"/>
      <c r="M30"/>
      <c r="N30"/>
      <c r="O30"/>
      <c r="P30"/>
      <c r="Q30"/>
      <c r="R30"/>
      <c r="S30"/>
      <c r="T30"/>
      <c r="U30"/>
      <c r="X30"/>
      <c r="AB30"/>
      <c r="AC30"/>
      <c r="AF30" s="360">
        <f>IF(S.Hearing.1stInvolve="N",0,1)</f>
        <v>1</v>
      </c>
      <c r="AG30" s="48"/>
      <c r="AH30" s="60">
        <f>IF(S.Hearing.1stInvolve="N",,WORKDAY(S.Notice.SubmitToSOS,1,S.DDL_DEQClosed))</f>
        <v>2</v>
      </c>
      <c r="AI30" s="48"/>
      <c r="AJ30" s="162"/>
      <c r="AK30" s="78" t="str">
        <f>IF(S.Notice.Involved="N","-blank-","Open public comment ")</f>
        <v>-blank-</v>
      </c>
      <c r="AL30" s="76"/>
    </row>
    <row r="31" spans="1:41" ht="14.1" hidden="1" customHeight="1">
      <c r="A31" s="145"/>
      <c r="B31" s="341" t="str">
        <f t="shared" si="0"/>
        <v>ERROR: All hearings must be noticed</v>
      </c>
      <c r="D31" s="845"/>
      <c r="E31" s="845"/>
      <c r="F31" s="898"/>
      <c r="G31" s="368" t="s">
        <v>0</v>
      </c>
      <c r="H31" s="291">
        <f>AH31</f>
        <v>0</v>
      </c>
      <c r="I31" s="920"/>
      <c r="AF31" s="360">
        <f>IF(S.Notice.Involved="N",0,IF(S.Hearing.1stInvolve="Y",1,0))</f>
        <v>0</v>
      </c>
      <c r="AG31" s="48"/>
      <c r="AH31" s="60">
        <f>IF(S.Notice.Involved="N",,IF(S.Hearing.1stInvolve="N",,IF(S.SIP.Involved="N",WORKDAY(S.Notice.InOregonBulletin+13,1,S.DDL_DEQClosed),MAX(WORKDAY(S.Notice.OpenComment+29,1,S.DDL_DEQClosed),WORKDAY(S.Notice.InOregonBulletin+13,1,S.DDL_DEQClosed)))))</f>
        <v>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ERROR: All hearings must be noticed</v>
      </c>
      <c r="AL31" s="76"/>
      <c r="AM31"/>
    </row>
    <row r="32" spans="1:41" ht="14.1" hidden="1" customHeight="1">
      <c r="A32" s="145"/>
      <c r="B32" s="204" t="str">
        <f t="shared" si="0"/>
        <v>-blank-</v>
      </c>
      <c r="C32" s="304"/>
      <c r="D32" s="852"/>
      <c r="E32" s="852"/>
      <c r="F32" s="898"/>
      <c r="G32" s="368" t="s">
        <v>0</v>
      </c>
      <c r="H32" s="291">
        <f>AH32</f>
        <v>0</v>
      </c>
      <c r="I32" s="920"/>
      <c r="AF32" s="360">
        <f>IF(S.Hearing.1stInvolve="N",0,1)</f>
        <v>1</v>
      </c>
      <c r="AG32" s="48"/>
      <c r="AH32" s="60">
        <f>IF(AF32=0,,IF(S.Notice.Involved="N",S.DIRECTOR.Approves.ForDEQRulemakingPlan,WORKDAY(S.Notice.LastHearingDate+2,1,S.DDL_DEQClosed)))</f>
        <v>0</v>
      </c>
      <c r="AI32" s="59"/>
      <c r="AJ32" s="161"/>
      <c r="AK32" s="78" t="str">
        <f>IF(S.Notice.Involved="N","-blank-","Close public comment - DEQ best practice, 3 days after last hearing")</f>
        <v>-blank-</v>
      </c>
      <c r="AL32" s="76"/>
      <c r="AM32"/>
    </row>
    <row r="33" spans="1:39" s="23" customFormat="1" ht="6" hidden="1" customHeight="1">
      <c r="A33" s="145"/>
      <c r="B33" s="329"/>
      <c r="C33" s="329"/>
      <c r="D33" s="329"/>
      <c r="E33" s="329"/>
      <c r="F33" s="899"/>
      <c r="G33" s="329"/>
      <c r="H33" s="329"/>
      <c r="I33" s="921"/>
      <c r="AE33" s="40"/>
      <c r="AF33" s="360">
        <v>1</v>
      </c>
      <c r="AG33" s="48"/>
      <c r="AH33" s="60"/>
      <c r="AI33" s="59"/>
      <c r="AJ33" s="162"/>
      <c r="AK33" s="78"/>
      <c r="AL33" s="76"/>
    </row>
    <row r="34" spans="1:39" s="23" customFormat="1" ht="13.5" customHeight="1">
      <c r="A34" s="145"/>
      <c r="B34" s="330" t="s">
        <v>170</v>
      </c>
      <c r="C34" s="304"/>
      <c r="D34" s="838"/>
      <c r="E34" s="838"/>
      <c r="F34" s="897"/>
      <c r="G34" s="909">
        <v>41857</v>
      </c>
      <c r="H34" s="909">
        <f>AH34</f>
        <v>41911</v>
      </c>
      <c r="I34" s="920"/>
      <c r="J34"/>
      <c r="K34"/>
      <c r="L34"/>
      <c r="M34"/>
      <c r="N34"/>
      <c r="O34"/>
      <c r="P34"/>
      <c r="Q34"/>
      <c r="R34"/>
      <c r="S34"/>
      <c r="T34"/>
      <c r="U34"/>
      <c r="X34"/>
      <c r="AB34"/>
      <c r="AC34"/>
      <c r="AF34" s="360">
        <v>1</v>
      </c>
      <c r="AG34" s="60">
        <f>S.Notice.SubmitToSOS</f>
        <v>0</v>
      </c>
      <c r="AH34" s="60">
        <f>S.EQC.SubmitStaffRpt</f>
        <v>41911</v>
      </c>
      <c r="AI34" s="59"/>
      <c r="AJ34" s="161"/>
      <c r="AK34" s="864" t="s">
        <v>689</v>
      </c>
      <c r="AL34" s="76"/>
    </row>
    <row r="35" spans="1:39" s="23" customFormat="1" ht="6" customHeight="1">
      <c r="A35" s="145"/>
      <c r="B35" s="204"/>
      <c r="C35" s="334"/>
      <c r="D35" s="693"/>
      <c r="E35" s="693"/>
      <c r="F35" s="898"/>
      <c r="G35" s="368"/>
      <c r="H35" s="955"/>
      <c r="I35" s="920"/>
      <c r="AE35" s="40"/>
      <c r="AF35" s="360">
        <v>1</v>
      </c>
      <c r="AG35" s="48"/>
      <c r="AH35" s="48"/>
      <c r="AI35" s="59"/>
      <c r="AJ35" s="162"/>
      <c r="AK35" s="78"/>
      <c r="AL35" s="76"/>
    </row>
    <row r="36" spans="1:39" s="23" customFormat="1" ht="14.1" customHeight="1" thickBot="1">
      <c r="A36" s="163"/>
      <c r="B36" s="371" t="str">
        <f>AK36</f>
        <v>No EQC involvement before Action Item meeting</v>
      </c>
      <c r="C36" s="369"/>
      <c r="D36" s="695"/>
      <c r="E36" s="695"/>
      <c r="F36" s="900"/>
      <c r="G36" s="854" t="s">
        <v>68</v>
      </c>
      <c r="H36" s="855" t="s">
        <v>67</v>
      </c>
      <c r="I36" s="922"/>
      <c r="J36"/>
      <c r="K36"/>
      <c r="L36"/>
      <c r="M36"/>
      <c r="N36"/>
      <c r="O36"/>
      <c r="P36"/>
      <c r="Q36"/>
      <c r="R36"/>
      <c r="S36"/>
      <c r="T36"/>
      <c r="U36"/>
      <c r="X36"/>
      <c r="AB36"/>
      <c r="AC36"/>
      <c r="AF36" s="361">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c r="A37" s="163"/>
      <c r="B37" s="358" t="str">
        <f>AK37</f>
        <v>No Director's report requested</v>
      </c>
      <c r="C37" s="478" t="s">
        <v>205</v>
      </c>
      <c r="D37" s="690" t="str">
        <f>HYPERLINK("http://deqsps/groups/eqc/docs/EQCDeadlines.docx","i")</f>
        <v>i</v>
      </c>
      <c r="E37" s="690"/>
      <c r="F37" s="900"/>
      <c r="G37" s="856">
        <f>AG37</f>
        <v>0</v>
      </c>
      <c r="H37" s="857">
        <f>AH37</f>
        <v>0</v>
      </c>
      <c r="I37" s="922"/>
      <c r="J37"/>
      <c r="K37"/>
      <c r="L37"/>
      <c r="M37"/>
      <c r="N37"/>
      <c r="O37"/>
      <c r="P37"/>
      <c r="Q37"/>
      <c r="R37"/>
      <c r="S37"/>
      <c r="T37"/>
      <c r="U37"/>
      <c r="X37"/>
      <c r="AB37"/>
      <c r="AC37"/>
      <c r="AF37" s="361">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hidden="1" customHeight="1" thickBot="1">
      <c r="A38" s="163"/>
      <c r="B38" s="358" t="str">
        <f>AK38</f>
        <v>No information item requested</v>
      </c>
      <c r="C38" s="477" t="s">
        <v>205</v>
      </c>
      <c r="D38" s="690" t="str">
        <f>HYPERLINK("http://deqsps/groups/eqc/docs/EQCDeadlines.docx","i")</f>
        <v>i</v>
      </c>
      <c r="E38" s="690"/>
      <c r="F38" s="895" t="s">
        <v>0</v>
      </c>
      <c r="G38" s="858">
        <f>AG38</f>
        <v>0</v>
      </c>
      <c r="H38" s="859">
        <f>AH38</f>
        <v>0</v>
      </c>
      <c r="I38" s="919">
        <f>IF(S.EQC.InfoItem="Y",21,0)</f>
        <v>0</v>
      </c>
      <c r="J38"/>
      <c r="K38"/>
      <c r="L38"/>
      <c r="M38"/>
      <c r="N38"/>
      <c r="O38"/>
      <c r="P38"/>
      <c r="Q38"/>
      <c r="R38"/>
      <c r="S38"/>
      <c r="T38"/>
      <c r="U38"/>
      <c r="X38"/>
      <c r="AB38"/>
      <c r="AC38"/>
      <c r="AF38" s="361">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8" t="str">
        <f>AK39</f>
        <v>No facilitated hearing requested</v>
      </c>
      <c r="C39" s="479" t="s">
        <v>205</v>
      </c>
      <c r="D39" s="696"/>
      <c r="E39" s="696"/>
      <c r="F39" s="900"/>
      <c r="G39" s="860">
        <f>AG39</f>
        <v>0</v>
      </c>
      <c r="H39" s="861">
        <v>41934</v>
      </c>
      <c r="I39" s="922"/>
      <c r="J39"/>
      <c r="K39"/>
      <c r="L39"/>
      <c r="M39"/>
      <c r="N39"/>
      <c r="O39"/>
      <c r="P39"/>
      <c r="Q39"/>
      <c r="R39"/>
      <c r="S39"/>
      <c r="T39"/>
      <c r="U39"/>
      <c r="X39"/>
      <c r="AB39"/>
      <c r="AC39"/>
      <c r="AF39" s="361">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c r="A40" s="145"/>
      <c r="B40" s="330" t="s">
        <v>0</v>
      </c>
      <c r="C40" s="334"/>
      <c r="D40" s="694"/>
      <c r="E40" s="694"/>
      <c r="F40" s="900"/>
      <c r="G40" s="335"/>
      <c r="H40" s="336"/>
      <c r="I40" s="922"/>
      <c r="J40"/>
      <c r="K40"/>
      <c r="L40"/>
      <c r="M40"/>
      <c r="N40"/>
      <c r="O40"/>
      <c r="P40"/>
      <c r="Q40"/>
      <c r="R40"/>
      <c r="S40"/>
      <c r="T40"/>
      <c r="U40"/>
      <c r="X40"/>
      <c r="AB40"/>
      <c r="AC40"/>
      <c r="AF40" s="360">
        <v>1</v>
      </c>
      <c r="AG40" s="64"/>
      <c r="AH40" s="64"/>
      <c r="AI40" s="59"/>
      <c r="AJ40" s="161"/>
      <c r="AK40" s="79"/>
      <c r="AL40" s="76"/>
    </row>
    <row r="41" spans="1:39" s="23" customFormat="1" ht="14.1" customHeight="1" thickBot="1">
      <c r="A41" s="145"/>
      <c r="B41" s="529" t="str">
        <f>AK41</f>
        <v>Rule publication - submit TEMPORARY staff report</v>
      </c>
      <c r="C41" s="337"/>
      <c r="D41" s="697"/>
      <c r="E41" s="697"/>
      <c r="F41" s="895" t="s">
        <v>0</v>
      </c>
      <c r="G41" s="368" t="s">
        <v>0</v>
      </c>
      <c r="H41" s="831">
        <f>AH41</f>
        <v>41911</v>
      </c>
      <c r="I41" s="919">
        <f>S.EQC.Meeting-S.EQC.SubmitStaffRpt</f>
        <v>37</v>
      </c>
      <c r="J41"/>
      <c r="K41"/>
      <c r="L41"/>
      <c r="M41"/>
      <c r="N41"/>
      <c r="O41"/>
      <c r="P41"/>
      <c r="Q41"/>
      <c r="R41"/>
      <c r="S41"/>
      <c r="T41"/>
      <c r="U41"/>
      <c r="X41"/>
      <c r="AB41"/>
      <c r="AC41"/>
      <c r="AF41" s="360">
        <v>1</v>
      </c>
      <c r="AG41" s="48"/>
      <c r="AH41" s="60">
        <f>VLOOKUP(S.EQC.Meeting,VL_EQCActivities,2,FALSE)</f>
        <v>41911</v>
      </c>
      <c r="AI41" s="59" t="s">
        <v>0</v>
      </c>
      <c r="AJ41" s="162"/>
      <c r="AK41" s="67" t="str">
        <f>IF(S.General.RuleType="P","Rule Publication - submit PERMANENT staff report","Rule publication - submit TEMPORARY staff report")</f>
        <v>Rule publication - submit TEMPORARY staff report</v>
      </c>
      <c r="AL41" s="76"/>
    </row>
    <row r="42" spans="1:39" s="173" customFormat="1" ht="14.1" customHeight="1" thickBot="1">
      <c r="A42" s="181"/>
      <c r="B42" s="529" t="str">
        <f>AK42</f>
        <v>EQC meeting - TEMPORARY Rulemaking Action Item</v>
      </c>
      <c r="C42" s="999" t="s">
        <v>682</v>
      </c>
      <c r="D42" s="999"/>
      <c r="E42" s="999"/>
      <c r="F42" s="999"/>
      <c r="G42" s="1000"/>
      <c r="H42" s="839">
        <v>41948</v>
      </c>
      <c r="I42" s="740"/>
      <c r="J42"/>
      <c r="K42"/>
      <c r="L42"/>
      <c r="M42"/>
      <c r="N42"/>
      <c r="O42"/>
      <c r="P42"/>
      <c r="Q42"/>
      <c r="R42"/>
      <c r="S42"/>
      <c r="T42"/>
      <c r="U42"/>
      <c r="V42" s="23"/>
      <c r="W42" s="23"/>
      <c r="X42"/>
      <c r="Y42" s="23"/>
      <c r="Z42" s="23"/>
      <c r="AA42" s="23"/>
      <c r="AB42"/>
      <c r="AC42"/>
      <c r="AD42" s="23"/>
      <c r="AE42" s="23"/>
      <c r="AF42" s="360">
        <v>1</v>
      </c>
      <c r="AG42" s="48"/>
      <c r="AH42" s="60" t="e">
        <f>VLOOKUP(WORKDAY(S.Notice.CloseComment+59,1,S.DDL_DEQClosed),VL_EQCActivities,5,TRUE)</f>
        <v>#N/A</v>
      </c>
      <c r="AI42" s="492" t="s">
        <v>0</v>
      </c>
      <c r="AJ42" s="346"/>
      <c r="AK42" s="67" t="str">
        <f>IF(S.General.RuleType="P","EQC meeting - PERMANENT Rulemaking Action Item","EQC meeting - TEMPORARY Rulemaking Action Item")</f>
        <v>EQC meeting - TEMPORARY Rulemaking Action Item</v>
      </c>
      <c r="AL42" s="76"/>
    </row>
    <row r="43" spans="1:39" s="23" customFormat="1" ht="14.1" hidden="1" customHeight="1" thickBot="1">
      <c r="A43" s="145"/>
      <c r="C43" s="334"/>
      <c r="D43"/>
      <c r="E43" s="837"/>
      <c r="G43" s="983" t="s">
        <v>0</v>
      </c>
      <c r="H43" s="983"/>
      <c r="I43" s="923">
        <v>-55</v>
      </c>
      <c r="J43"/>
      <c r="K43"/>
      <c r="L43"/>
      <c r="M43"/>
      <c r="N43"/>
      <c r="O43"/>
      <c r="P43"/>
      <c r="Q43"/>
      <c r="R43"/>
      <c r="S43"/>
      <c r="T43"/>
      <c r="U43"/>
      <c r="X43"/>
      <c r="AB43"/>
      <c r="AC43"/>
      <c r="AF43" s="360">
        <v>1</v>
      </c>
      <c r="AG43" s="997" t="s">
        <v>748</v>
      </c>
      <c r="AH43" s="997"/>
      <c r="AI43" s="997"/>
      <c r="AJ43" s="997"/>
      <c r="AK43" s="997"/>
      <c r="AL43" s="76"/>
    </row>
    <row r="44" spans="1:39" s="23" customFormat="1" ht="14.1" hidden="1" customHeight="1" thickTop="1">
      <c r="A44" s="145"/>
      <c r="C44" s="334"/>
      <c r="D44"/>
      <c r="G44" s="983"/>
      <c r="H44" s="983"/>
      <c r="I44" s="919">
        <f>SUM(I8:I42)</f>
        <v>134</v>
      </c>
      <c r="J44"/>
      <c r="K44"/>
      <c r="L44"/>
      <c r="M44"/>
      <c r="N44"/>
      <c r="O44"/>
      <c r="P44"/>
      <c r="Q44"/>
      <c r="R44"/>
      <c r="S44"/>
      <c r="T44"/>
      <c r="U44"/>
      <c r="X44"/>
      <c r="AB44"/>
      <c r="AC44"/>
      <c r="AF44" s="360">
        <v>1</v>
      </c>
      <c r="AG44" s="997" t="s">
        <v>749</v>
      </c>
      <c r="AH44" s="997"/>
      <c r="AI44" s="997"/>
      <c r="AJ44" s="997"/>
      <c r="AK44" s="997"/>
      <c r="AL44" s="76"/>
    </row>
    <row r="45" spans="1:39" s="23" customFormat="1" ht="6" customHeight="1">
      <c r="A45" s="145"/>
      <c r="B45" s="329"/>
      <c r="C45" s="329"/>
      <c r="D45" s="329"/>
      <c r="E45" s="329"/>
      <c r="F45" s="329"/>
      <c r="G45" s="329"/>
      <c r="H45" s="329"/>
      <c r="I45" s="740"/>
      <c r="AE45" s="40"/>
      <c r="AF45" s="360">
        <v>1</v>
      </c>
      <c r="AG45" s="48"/>
      <c r="AH45" s="60"/>
      <c r="AI45" s="59"/>
      <c r="AJ45" s="162"/>
      <c r="AK45" s="79"/>
      <c r="AL45" s="76"/>
    </row>
    <row r="46" spans="1:39" s="23" customFormat="1" ht="15" customHeight="1">
      <c r="A46" s="145"/>
      <c r="B46" s="330" t="s">
        <v>178</v>
      </c>
      <c r="C46" s="304"/>
      <c r="D46" s="838"/>
      <c r="E46" s="838"/>
      <c r="F46" s="336" t="s">
        <v>0</v>
      </c>
      <c r="G46" s="908">
        <f>AG46</f>
        <v>41948</v>
      </c>
      <c r="H46" s="908">
        <f>AH46</f>
        <v>42038</v>
      </c>
      <c r="I46" s="740"/>
      <c r="J46"/>
      <c r="K46"/>
      <c r="L46"/>
      <c r="M46"/>
      <c r="N46"/>
      <c r="O46"/>
      <c r="P46"/>
      <c r="Q46"/>
      <c r="R46"/>
      <c r="S46"/>
      <c r="T46"/>
      <c r="U46"/>
      <c r="X46"/>
      <c r="AB46"/>
      <c r="AC46"/>
      <c r="AF46" s="360">
        <v>1</v>
      </c>
      <c r="AG46" s="60">
        <f>S.EQC.Meeting</f>
        <v>41948</v>
      </c>
      <c r="AH46" s="60">
        <f>WORKDAY(S.PostEQC.BANNER.Begin+89,1,S.DDL_DEQClosed)</f>
        <v>42038</v>
      </c>
      <c r="AI46" s="48"/>
      <c r="AJ46" s="344"/>
      <c r="AK46" s="569" t="s">
        <v>0</v>
      </c>
      <c r="AL46" s="76"/>
    </row>
    <row r="47" spans="1:39" s="23" customFormat="1" ht="15" customHeight="1" thickBot="1">
      <c r="A47" s="145"/>
      <c r="B47" s="204" t="s">
        <v>57</v>
      </c>
      <c r="C47" s="266"/>
      <c r="D47" s="698"/>
      <c r="E47" s="698"/>
      <c r="F47" s="260"/>
      <c r="G47" s="368" t="s">
        <v>0</v>
      </c>
      <c r="H47" s="906">
        <f>AH47</f>
        <v>41950</v>
      </c>
      <c r="I47" s="740"/>
      <c r="J47"/>
      <c r="K47"/>
      <c r="L47"/>
      <c r="M47"/>
      <c r="N47"/>
      <c r="O47"/>
      <c r="P47"/>
      <c r="Q47"/>
      <c r="R47"/>
      <c r="S47"/>
      <c r="T47"/>
      <c r="U47"/>
      <c r="X47"/>
      <c r="AB47"/>
      <c r="AC47"/>
      <c r="AF47" s="360">
        <v>1</v>
      </c>
      <c r="AG47" s="48"/>
      <c r="AH47" s="60">
        <f>WORKDAY(S.EQC.Meeting+1,1,S.DDL_DEQClosed)</f>
        <v>41950</v>
      </c>
      <c r="AI47" s="48"/>
      <c r="AJ47" s="344"/>
      <c r="AK47" s="570" t="s">
        <v>0</v>
      </c>
      <c r="AL47" s="76"/>
    </row>
    <row r="48" spans="1:39" s="23" customFormat="1" ht="15" hidden="1" customHeight="1" thickBot="1">
      <c r="A48" s="145" t="s">
        <v>0</v>
      </c>
      <c r="B48" s="204" t="str">
        <f>AK48</f>
        <v>DAS - fees not involved</v>
      </c>
      <c r="C48" s="266"/>
      <c r="D48" s="698"/>
      <c r="E48" s="698"/>
      <c r="F48" s="260"/>
      <c r="G48" s="368" t="s">
        <v>0</v>
      </c>
      <c r="H48" s="291">
        <f>AH48</f>
        <v>41953</v>
      </c>
      <c r="I48" s="740"/>
      <c r="J48"/>
      <c r="K48"/>
      <c r="L48"/>
      <c r="M48"/>
      <c r="N48"/>
      <c r="O48"/>
      <c r="P48"/>
      <c r="Q48"/>
      <c r="R48"/>
      <c r="S48"/>
      <c r="T48"/>
      <c r="U48"/>
      <c r="X48"/>
      <c r="AB48"/>
      <c r="AC48"/>
      <c r="AF48" s="360">
        <f>IF(S.Fee.Involved="Y",1,0)</f>
        <v>0</v>
      </c>
      <c r="AG48" s="76" t="s">
        <v>0</v>
      </c>
      <c r="AH48" s="60">
        <f>WORKDAY(S.EQC.Meeting+5,0,S.DDL_DEQClosed)</f>
        <v>41953</v>
      </c>
      <c r="AI48" s="48"/>
      <c r="AJ48" s="344"/>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2" t="s">
        <v>287</v>
      </c>
      <c r="C49" s="477" t="s">
        <v>16</v>
      </c>
      <c r="D49" s="334"/>
      <c r="E49" s="334"/>
      <c r="F49" s="260"/>
      <c r="G49" s="368" t="s">
        <v>0</v>
      </c>
      <c r="H49" s="291">
        <f>AH49</f>
        <v>41950</v>
      </c>
      <c r="I49" s="740"/>
      <c r="AF49" s="360">
        <v>1</v>
      </c>
      <c r="AG49" s="76" t="s">
        <v>0</v>
      </c>
      <c r="AH49" s="60">
        <f>S.PostEQC.FileRuleWithSOS</f>
        <v>41950</v>
      </c>
      <c r="AI49" s="48"/>
      <c r="AJ49" s="42"/>
      <c r="AK49" s="34" t="s">
        <v>0</v>
      </c>
      <c r="AL49" s="76"/>
      <c r="AM49"/>
    </row>
    <row r="50" spans="1:39" s="23" customFormat="1" ht="15" hidden="1" customHeight="1">
      <c r="A50" s="145"/>
      <c r="B50" s="204" t="str">
        <f>AK50</f>
        <v>EPA - SIP not involved</v>
      </c>
      <c r="C50" s="338"/>
      <c r="D50" s="699"/>
      <c r="E50" s="699"/>
      <c r="F50" s="260"/>
      <c r="G50" s="333" t="s">
        <v>0</v>
      </c>
      <c r="H50" s="291">
        <f>AH50</f>
        <v>0</v>
      </c>
      <c r="I50" s="740"/>
      <c r="J50"/>
      <c r="K50"/>
      <c r="L50"/>
      <c r="M50"/>
      <c r="N50"/>
      <c r="O50"/>
      <c r="P50"/>
      <c r="Q50"/>
      <c r="R50"/>
      <c r="S50"/>
      <c r="T50"/>
      <c r="U50"/>
      <c r="X50"/>
      <c r="AB50"/>
      <c r="AC50"/>
      <c r="AF50" s="361">
        <f>IF(S.SIP.Involved="Y",1,0)</f>
        <v>0</v>
      </c>
      <c r="AG50" s="48"/>
      <c r="AH50" s="60">
        <f>IF(S.SIP.Involved="N",,WORKDAY(S.EQC.Meeting+59,1,S.DDL_DEQClosed))</f>
        <v>0</v>
      </c>
      <c r="AI50" s="48"/>
      <c r="AJ50" s="344"/>
      <c r="AK50" s="63" t="str">
        <f>IF(S.SIP.Involved="Y","EPA - goal to submit SIP within 60 days of adoption","EPA - SIP not involved")</f>
        <v>EPA - SIP not involved</v>
      </c>
      <c r="AL50" s="76"/>
    </row>
    <row r="51" spans="1:39" ht="6.75" customHeight="1">
      <c r="A51" s="145"/>
      <c r="B51" s="314"/>
      <c r="C51" s="300"/>
      <c r="D51" s="700"/>
      <c r="E51" s="700"/>
      <c r="F51" s="315"/>
      <c r="G51" s="339"/>
      <c r="H51" s="300"/>
      <c r="I51" s="740"/>
      <c r="AF51" s="360" t="s">
        <v>0</v>
      </c>
      <c r="AG51" s="58"/>
      <c r="AH51" s="58"/>
      <c r="AI51" s="48"/>
      <c r="AJ51" s="42"/>
      <c r="AK51" s="34"/>
      <c r="AL51" s="76"/>
      <c r="AM51"/>
    </row>
    <row r="52" spans="1:39" s="23" customFormat="1" ht="20.25" customHeight="1">
      <c r="A52" s="145"/>
      <c r="B52" s="104" t="s">
        <v>185</v>
      </c>
      <c r="C52" s="84"/>
      <c r="D52" s="169" t="s">
        <v>59</v>
      </c>
      <c r="E52" s="169"/>
      <c r="F52" s="814"/>
      <c r="G52" s="85" t="s">
        <v>0</v>
      </c>
      <c r="H52" s="85" t="s">
        <v>0</v>
      </c>
      <c r="I52" s="740"/>
      <c r="J52"/>
      <c r="K52"/>
      <c r="L52"/>
      <c r="M52"/>
      <c r="N52"/>
      <c r="O52"/>
      <c r="P52"/>
      <c r="Q52"/>
      <c r="R52"/>
      <c r="S52"/>
      <c r="T52"/>
      <c r="U52"/>
      <c r="X52"/>
      <c r="AB52"/>
      <c r="AC52"/>
      <c r="AF52" s="360" t="s">
        <v>0</v>
      </c>
      <c r="AG52" s="76"/>
      <c r="AH52" s="76"/>
      <c r="AI52" s="59"/>
      <c r="AJ52" s="68"/>
      <c r="AK52" s="58" t="s">
        <v>0</v>
      </c>
      <c r="AL52" s="76"/>
    </row>
    <row r="53" spans="1:39" s="375" customFormat="1" ht="14.1" customHeight="1" outlineLevel="1">
      <c r="A53" s="372"/>
      <c r="B53" s="453" t="str">
        <f>S.General.CodeName</f>
        <v>GHGTemp</v>
      </c>
      <c r="C53" s="373" t="s">
        <v>0</v>
      </c>
      <c r="D53" s="373"/>
      <c r="E53" s="373"/>
      <c r="F53" s="381" t="s">
        <v>0</v>
      </c>
      <c r="G53" s="374" t="s">
        <v>56</v>
      </c>
      <c r="H53" s="374" t="s">
        <v>171</v>
      </c>
      <c r="I53" s="740"/>
      <c r="J53"/>
      <c r="K53"/>
      <c r="L53"/>
      <c r="M53"/>
      <c r="N53"/>
      <c r="O53"/>
      <c r="P53"/>
      <c r="Q53"/>
      <c r="R53"/>
      <c r="S53"/>
      <c r="T53"/>
      <c r="U53"/>
      <c r="V53" s="23"/>
      <c r="W53" s="23"/>
      <c r="X53"/>
      <c r="Y53" s="23"/>
      <c r="Z53" s="23"/>
      <c r="AA53" s="23"/>
      <c r="AB53"/>
      <c r="AC53"/>
      <c r="AD53" s="23"/>
      <c r="AE53" s="23"/>
      <c r="AF53" s="377" t="s">
        <v>58</v>
      </c>
      <c r="AG53" s="376"/>
      <c r="AH53" s="376"/>
      <c r="AI53" s="378"/>
      <c r="AJ53" s="379"/>
      <c r="AK53" s="380"/>
      <c r="AL53" s="376"/>
    </row>
    <row r="54" spans="1:39" ht="14.1" customHeight="1" outlineLevel="1">
      <c r="A54" s="145"/>
      <c r="B54" s="382"/>
      <c r="C54" s="384"/>
      <c r="D54" s="114"/>
      <c r="E54" s="114"/>
      <c r="F54" s="385"/>
      <c r="G54" s="201">
        <v>41857</v>
      </c>
      <c r="H54" s="201">
        <f>AH54</f>
        <v>41857</v>
      </c>
      <c r="I54" s="740"/>
      <c r="AF54" s="360" t="s">
        <v>58</v>
      </c>
      <c r="AG54" s="60">
        <f>S.DIRECTOR.Approves.ForDEQRulemakingPlan</f>
        <v>0</v>
      </c>
      <c r="AH54" s="60">
        <f>IF(S.General.RuleType="P",WORKDAY(S.Notice.BANNER.Begin+39,1),S.EQC.BANNER.Begin)</f>
        <v>41857</v>
      </c>
      <c r="AI54" s="60">
        <f>MAX(H120:H214)</f>
        <v>41761</v>
      </c>
      <c r="AJ54" s="68"/>
      <c r="AK54" s="58"/>
      <c r="AL54" s="76"/>
      <c r="AM54"/>
    </row>
    <row r="55" spans="1:39" ht="6" customHeight="1" outlineLevel="1">
      <c r="A55" s="145"/>
      <c r="B55" s="106"/>
      <c r="C55" s="98"/>
      <c r="D55" s="687"/>
      <c r="E55" s="687"/>
      <c r="F55" s="99"/>
      <c r="G55" s="98"/>
      <c r="H55" s="98"/>
      <c r="I55" s="740"/>
      <c r="AF55" s="361" t="s">
        <v>16</v>
      </c>
      <c r="AG55" s="47"/>
      <c r="AH55" s="47"/>
      <c r="AI55" s="69"/>
      <c r="AJ55" s="69"/>
      <c r="AK55" s="35"/>
      <c r="AL55" s="76"/>
      <c r="AM55"/>
    </row>
    <row r="56" spans="1:39" s="23" customFormat="1" ht="12.75" customHeight="1" outlineLevel="1">
      <c r="A56" s="145"/>
      <c r="B56" s="534" t="s">
        <v>776</v>
      </c>
      <c r="C56" s="506" t="str">
        <f>HYPERLINK("\\deqhq1\Rule_Resources\i\0-VersionHistory.pdf","i")</f>
        <v>i</v>
      </c>
      <c r="D56" s="688"/>
      <c r="E56" s="688"/>
      <c r="F56"/>
      <c r="G56" s="82"/>
      <c r="H56" s="82"/>
      <c r="I56" s="740"/>
      <c r="J56"/>
      <c r="K56"/>
      <c r="L56"/>
      <c r="M56"/>
      <c r="N56"/>
      <c r="O56"/>
      <c r="P56"/>
      <c r="Q56"/>
      <c r="R56"/>
      <c r="S56"/>
      <c r="T56"/>
      <c r="U56"/>
      <c r="X56"/>
      <c r="AB56"/>
      <c r="AC56"/>
      <c r="AF56" s="361" t="s">
        <v>20</v>
      </c>
      <c r="AG56" s="47"/>
      <c r="AH56" s="47"/>
      <c r="AI56" s="69"/>
      <c r="AJ56" s="69"/>
      <c r="AK56" s="35"/>
      <c r="AL56" s="76"/>
    </row>
    <row r="57" spans="1:39" s="23" customFormat="1" ht="20.25" customHeight="1" outlineLevel="1">
      <c r="A57" s="145"/>
      <c r="B57" s="340" t="s">
        <v>530</v>
      </c>
      <c r="D57" s="183"/>
      <c r="E57" s="183"/>
      <c r="F57"/>
      <c r="G57" s="349"/>
      <c r="H57" s="349"/>
      <c r="I57" s="740"/>
      <c r="J57"/>
      <c r="K57"/>
      <c r="L57"/>
      <c r="M57"/>
      <c r="N57"/>
      <c r="O57"/>
      <c r="P57"/>
      <c r="Q57"/>
      <c r="R57"/>
      <c r="S57"/>
      <c r="T57"/>
      <c r="U57"/>
      <c r="X57"/>
      <c r="AB57"/>
      <c r="AC57"/>
      <c r="AF57" s="360">
        <v>1</v>
      </c>
      <c r="AG57" s="47"/>
      <c r="AH57" s="47"/>
      <c r="AI57" s="59" t="s">
        <v>0</v>
      </c>
      <c r="AJ57" s="43"/>
      <c r="AK57" s="58"/>
      <c r="AL57" s="76"/>
    </row>
    <row r="58" spans="1:39" s="23" customFormat="1" ht="14.1" customHeight="1" outlineLevel="2">
      <c r="A58" s="145"/>
      <c r="B58" s="904" t="str">
        <f>AK58</f>
        <v>Subject expert, core team member - Jerry</v>
      </c>
      <c r="C58" s="97" t="s">
        <v>0</v>
      </c>
      <c r="D58" s="183"/>
      <c r="E58" s="183"/>
      <c r="F58"/>
      <c r="G58" s="349"/>
      <c r="H58" s="349"/>
      <c r="I58" s="740"/>
      <c r="J58"/>
      <c r="K58"/>
      <c r="L58"/>
      <c r="M58"/>
      <c r="N58"/>
      <c r="O58"/>
      <c r="P58"/>
      <c r="Q58"/>
      <c r="R58"/>
      <c r="S58"/>
      <c r="T58"/>
      <c r="U58"/>
      <c r="X58"/>
      <c r="AB58"/>
      <c r="AC58"/>
      <c r="AF58" s="360">
        <v>1</v>
      </c>
      <c r="AG58" s="47"/>
      <c r="AH58" s="47"/>
      <c r="AI58" s="59"/>
      <c r="AJ58" s="43"/>
      <c r="AK58" s="63" t="str">
        <f>"Subject expert, core team member - "&amp;S.Staff.Subject.Expert.FirstName</f>
        <v>Subject expert, core team member - Jerry</v>
      </c>
      <c r="AL58" s="76"/>
    </row>
    <row r="59" spans="1:39" s="23" customFormat="1" ht="14.1" customHeight="1" outlineLevel="2">
      <c r="A59" s="145"/>
      <c r="B59" s="341" t="s">
        <v>732</v>
      </c>
      <c r="C59" s="97"/>
      <c r="D59" s="183"/>
      <c r="E59" s="183"/>
      <c r="G59" s="349"/>
      <c r="H59" s="349"/>
      <c r="I59" s="740"/>
      <c r="AF59" s="360">
        <v>1</v>
      </c>
      <c r="AG59" s="47"/>
      <c r="AH59" s="47"/>
      <c r="AI59" s="59"/>
      <c r="AJ59" s="43"/>
      <c r="AK59" s="35"/>
      <c r="AL59" s="76"/>
    </row>
    <row r="60" spans="1:39" s="23" customFormat="1" ht="14.1" customHeight="1" outlineLevel="2">
      <c r="A60" s="145"/>
      <c r="B60" s="341" t="s">
        <v>741</v>
      </c>
      <c r="C60" s="97"/>
      <c r="D60" s="183"/>
      <c r="E60" s="183"/>
      <c r="G60" s="349"/>
      <c r="H60" s="349"/>
      <c r="I60" s="740"/>
      <c r="AF60" s="360">
        <v>1</v>
      </c>
      <c r="AG60" s="47"/>
      <c r="AH60" s="47"/>
      <c r="AI60" s="59"/>
      <c r="AJ60" s="43"/>
      <c r="AK60" s="35"/>
      <c r="AL60" s="76"/>
    </row>
    <row r="61" spans="1:39" s="23" customFormat="1" ht="14.1" customHeight="1" outlineLevel="2">
      <c r="A61" s="145"/>
      <c r="B61" s="473" t="s">
        <v>739</v>
      </c>
      <c r="C61" s="97"/>
      <c r="D61" s="183"/>
      <c r="E61" s="183"/>
      <c r="G61" s="349"/>
      <c r="H61" s="349"/>
      <c r="I61" s="740"/>
      <c r="AF61" s="360">
        <v>1</v>
      </c>
      <c r="AG61" s="47"/>
      <c r="AH61" s="47"/>
      <c r="AI61" s="59"/>
      <c r="AJ61" s="43"/>
      <c r="AK61" s="35"/>
      <c r="AL61" s="76"/>
    </row>
    <row r="62" spans="1:39" s="23" customFormat="1" ht="14.1" customHeight="1" outlineLevel="2">
      <c r="A62" s="145"/>
      <c r="B62" s="473" t="s">
        <v>740</v>
      </c>
      <c r="C62" s="97"/>
      <c r="D62" s="183"/>
      <c r="E62" s="183"/>
      <c r="G62" s="349"/>
      <c r="H62" s="349"/>
      <c r="I62" s="740"/>
      <c r="AF62" s="360">
        <v>1</v>
      </c>
      <c r="AG62" s="47"/>
      <c r="AH62" s="47"/>
      <c r="AI62" s="59"/>
      <c r="AJ62" s="43"/>
      <c r="AK62" s="35"/>
      <c r="AL62" s="76"/>
    </row>
    <row r="63" spans="1:39" s="23" customFormat="1" ht="14.1" customHeight="1" outlineLevel="2">
      <c r="A63" s="145"/>
      <c r="B63" s="473" t="s">
        <v>738</v>
      </c>
      <c r="C63" s="97"/>
      <c r="D63" s="183"/>
      <c r="E63" s="183"/>
      <c r="G63" s="349"/>
      <c r="H63" s="349"/>
      <c r="I63" s="740"/>
      <c r="AF63" s="360">
        <v>1</v>
      </c>
      <c r="AG63" s="47"/>
      <c r="AH63" s="47"/>
      <c r="AI63" s="59"/>
      <c r="AJ63" s="43"/>
      <c r="AK63" s="35"/>
      <c r="AL63" s="76"/>
    </row>
    <row r="64" spans="1:39" s="23" customFormat="1" ht="14.1" customHeight="1" outlineLevel="2">
      <c r="A64" s="145"/>
      <c r="B64" s="971" t="s">
        <v>772</v>
      </c>
      <c r="C64" s="97"/>
      <c r="D64" s="183"/>
      <c r="E64" s="183"/>
      <c r="G64" s="349"/>
      <c r="H64" s="349"/>
      <c r="I64" s="740"/>
      <c r="AF64" s="360">
        <v>1</v>
      </c>
      <c r="AG64" s="47"/>
      <c r="AH64" s="47"/>
      <c r="AI64" s="59"/>
      <c r="AJ64" s="43"/>
      <c r="AK64" s="35"/>
      <c r="AL64" s="76"/>
    </row>
    <row r="65" spans="1:38" s="23" customFormat="1" ht="14.1" customHeight="1" outlineLevel="2">
      <c r="A65" s="145"/>
      <c r="B65" s="341" t="s">
        <v>737</v>
      </c>
      <c r="C65" s="97"/>
      <c r="D65" s="183"/>
      <c r="E65" s="183"/>
      <c r="G65" s="349"/>
      <c r="H65" s="349"/>
      <c r="I65" s="740"/>
      <c r="AF65" s="360">
        <v>1</v>
      </c>
      <c r="AG65" s="47"/>
      <c r="AH65" s="47"/>
      <c r="AI65" s="59"/>
      <c r="AJ65" s="43"/>
      <c r="AK65" s="35"/>
      <c r="AL65" s="76"/>
    </row>
    <row r="66" spans="1:38" s="23" customFormat="1" ht="14.1" customHeight="1" outlineLevel="2">
      <c r="A66" s="145"/>
      <c r="B66" s="971" t="s">
        <v>773</v>
      </c>
      <c r="C66" s="97"/>
      <c r="D66" s="183"/>
      <c r="E66" s="183"/>
      <c r="G66" s="349"/>
      <c r="H66" s="349"/>
      <c r="I66" s="740"/>
      <c r="AF66" s="360">
        <v>1</v>
      </c>
      <c r="AG66" s="47"/>
      <c r="AH66" s="47"/>
      <c r="AI66" s="59"/>
      <c r="AJ66" s="43"/>
      <c r="AK66" s="35"/>
      <c r="AL66" s="76"/>
    </row>
    <row r="67" spans="1:38" s="970" customFormat="1" ht="14.1" customHeight="1" outlineLevel="2">
      <c r="A67" s="145"/>
      <c r="B67" s="971" t="s">
        <v>774</v>
      </c>
      <c r="C67" s="97"/>
      <c r="D67" s="183"/>
      <c r="E67" s="183"/>
      <c r="G67" s="349"/>
      <c r="H67" s="349"/>
      <c r="I67" s="740"/>
      <c r="AF67" s="360">
        <v>1</v>
      </c>
      <c r="AG67" s="47"/>
      <c r="AH67" s="47"/>
      <c r="AI67" s="59"/>
      <c r="AJ67" s="43"/>
      <c r="AK67" s="35"/>
      <c r="AL67" s="76"/>
    </row>
    <row r="68" spans="1:38" s="23" customFormat="1" ht="14.1" customHeight="1" outlineLevel="2">
      <c r="A68" s="145"/>
      <c r="B68" s="971" t="s">
        <v>775</v>
      </c>
      <c r="C68" s="97"/>
      <c r="D68" s="183"/>
      <c r="E68" s="183"/>
      <c r="G68" s="349"/>
      <c r="H68" s="349"/>
      <c r="I68" s="740"/>
      <c r="AF68" s="360">
        <v>1</v>
      </c>
      <c r="AG68" s="47"/>
      <c r="AH68" s="47"/>
      <c r="AI68" s="59"/>
      <c r="AJ68" s="43"/>
      <c r="AK68" s="35"/>
      <c r="AL68" s="76"/>
    </row>
    <row r="69" spans="1:38" s="23" customFormat="1" ht="14.1" customHeight="1" outlineLevel="2">
      <c r="A69" s="145"/>
      <c r="B69" s="341" t="s">
        <v>742</v>
      </c>
      <c r="C69" s="97"/>
      <c r="D69" s="183"/>
      <c r="E69" s="183"/>
      <c r="G69" s="349"/>
      <c r="H69" s="349"/>
      <c r="I69" s="740"/>
      <c r="AF69" s="360">
        <v>1</v>
      </c>
      <c r="AG69" s="47"/>
      <c r="AH69" s="47"/>
      <c r="AI69" s="59"/>
      <c r="AJ69" s="43"/>
      <c r="AK69" s="35"/>
      <c r="AL69" s="76"/>
    </row>
    <row r="70" spans="1:38" s="23" customFormat="1" ht="14.1" customHeight="1" outlineLevel="2">
      <c r="A70" s="145"/>
      <c r="B70" s="473" t="s">
        <v>743</v>
      </c>
      <c r="F70" s="893"/>
      <c r="G70" s="789"/>
      <c r="I70" s="39"/>
      <c r="AF70" s="360">
        <f>IF(S.Notice.Involved="Y",1,0)</f>
        <v>0</v>
      </c>
      <c r="AG70" s="48"/>
      <c r="AH70" s="47"/>
      <c r="AI70" s="59"/>
      <c r="AJ70" s="344"/>
      <c r="AK70" s="35"/>
      <c r="AL70" s="76"/>
    </row>
    <row r="71" spans="1:38" s="23" customFormat="1" ht="14.1" customHeight="1" outlineLevel="2">
      <c r="A71" s="145"/>
      <c r="B71" s="358" t="str">
        <f>AK71</f>
        <v>- Lydia &amp; Lydia as needed</v>
      </c>
      <c r="F71" s="893"/>
      <c r="G71" s="789"/>
      <c r="I71" s="39"/>
      <c r="AF71" s="360">
        <f>IF(S.Notice.Involved="Y",1,0)</f>
        <v>0</v>
      </c>
      <c r="AG71" s="48"/>
      <c r="AH71" s="47"/>
      <c r="AI71" s="59"/>
      <c r="AJ71" s="344"/>
      <c r="AK71" s="63" t="str">
        <f>"- "&amp;S.Staff.Assistant.DA.ShortName&amp;" &amp; "&amp;S.Staff.DA.ForProgram.FirstName&amp;" as needed"</f>
        <v>- Lydia &amp; Lydia as needed</v>
      </c>
      <c r="AL71" s="76"/>
    </row>
    <row r="72" spans="1:38" s="23" customFormat="1" ht="14.1" customHeight="1" outlineLevel="2">
      <c r="A72" s="145"/>
      <c r="B72" s="904" t="str">
        <f>AK72</f>
        <v>Sponsoring manager, core team member - Leah</v>
      </c>
      <c r="C72" s="97" t="s">
        <v>0</v>
      </c>
      <c r="D72" s="183"/>
      <c r="E72" s="183"/>
      <c r="F72"/>
      <c r="G72" s="349"/>
      <c r="H72" s="349"/>
      <c r="I72" s="740"/>
      <c r="AF72" s="360">
        <v>1</v>
      </c>
      <c r="AG72" s="47"/>
      <c r="AH72" s="47"/>
      <c r="AI72" s="59"/>
      <c r="AJ72" s="43"/>
      <c r="AK72" s="63" t="str">
        <f>"Sponsoring manager, core team member - "&amp;S.Staff.Program.Mgr.FirstName</f>
        <v>Sponsoring manager, core team member - Leah</v>
      </c>
      <c r="AL72" s="76"/>
    </row>
    <row r="73" spans="1:38" s="23" customFormat="1" ht="14.1" customHeight="1" outlineLevel="2">
      <c r="A73" s="145"/>
      <c r="B73" s="341" t="s">
        <v>733</v>
      </c>
      <c r="C73" s="97"/>
      <c r="D73" s="183"/>
      <c r="E73" s="183"/>
      <c r="G73" s="349"/>
      <c r="H73" s="349"/>
      <c r="I73" s="740"/>
      <c r="AF73" s="360">
        <v>1</v>
      </c>
      <c r="AG73" s="47"/>
      <c r="AH73" s="47"/>
      <c r="AI73" s="59"/>
      <c r="AJ73" s="43"/>
      <c r="AK73" s="63"/>
      <c r="AL73" s="76"/>
    </row>
    <row r="74" spans="1:38" s="23" customFormat="1" ht="14.1" customHeight="1" outlineLevel="2">
      <c r="A74" s="145"/>
      <c r="B74" s="341" t="s">
        <v>768</v>
      </c>
      <c r="C74" s="97"/>
      <c r="D74" s="183"/>
      <c r="E74" s="183"/>
      <c r="G74" s="349"/>
      <c r="H74" s="349"/>
      <c r="I74" s="740"/>
      <c r="AF74" s="360">
        <v>1</v>
      </c>
      <c r="AG74" s="47"/>
      <c r="AH74" s="47"/>
      <c r="AI74" s="59"/>
      <c r="AJ74" s="43"/>
      <c r="AK74" s="35"/>
      <c r="AL74" s="76"/>
    </row>
    <row r="75" spans="1:38" s="23" customFormat="1" ht="14.1" customHeight="1" outlineLevel="2">
      <c r="A75" s="145"/>
      <c r="B75" s="971" t="s">
        <v>769</v>
      </c>
      <c r="C75" s="97"/>
      <c r="D75" s="183"/>
      <c r="E75" s="183"/>
      <c r="G75" s="349"/>
      <c r="H75" s="349"/>
      <c r="I75" s="740"/>
      <c r="AF75" s="360">
        <v>1</v>
      </c>
      <c r="AG75" s="47"/>
      <c r="AH75" s="47"/>
      <c r="AI75" s="59"/>
      <c r="AJ75" s="43"/>
      <c r="AK75" s="35"/>
      <c r="AL75" s="76"/>
    </row>
    <row r="76" spans="1:38" s="23" customFormat="1" ht="14.1" customHeight="1" outlineLevel="2">
      <c r="A76" s="145"/>
      <c r="B76" s="971" t="s">
        <v>770</v>
      </c>
      <c r="C76" s="97"/>
      <c r="D76" s="183"/>
      <c r="E76" s="183"/>
      <c r="G76" s="349"/>
      <c r="H76" s="349"/>
      <c r="I76" s="740"/>
      <c r="AF76" s="360">
        <v>1</v>
      </c>
      <c r="AG76" s="47"/>
      <c r="AH76" s="47"/>
      <c r="AI76" s="59"/>
      <c r="AJ76" s="43"/>
      <c r="AK76" s="35"/>
      <c r="AL76" s="76"/>
    </row>
    <row r="77" spans="1:38" s="23" customFormat="1" ht="14.1" customHeight="1" outlineLevel="2">
      <c r="A77" s="145"/>
      <c r="B77" s="971" t="s">
        <v>771</v>
      </c>
      <c r="C77" s="97"/>
      <c r="D77" s="183"/>
      <c r="E77" s="183"/>
      <c r="G77" s="349"/>
      <c r="H77" s="349"/>
      <c r="I77" s="740"/>
      <c r="AF77" s="360">
        <v>1</v>
      </c>
      <c r="AG77" s="47"/>
      <c r="AH77" s="47"/>
      <c r="AI77" s="59"/>
      <c r="AJ77" s="43"/>
      <c r="AK77" s="35"/>
      <c r="AL77" s="76"/>
    </row>
    <row r="78" spans="1:38" s="23" customFormat="1" ht="14.1" customHeight="1" outlineLevel="2">
      <c r="A78" s="145"/>
      <c r="B78" s="341" t="str">
        <f>AK78</f>
        <v>* leads extra review cycles for Lydia as needed</v>
      </c>
      <c r="F78" s="893"/>
      <c r="G78" s="789"/>
      <c r="I78" s="39"/>
      <c r="AF78" s="360">
        <f>IF(S.Notice.Involved="Y",1,0)</f>
        <v>0</v>
      </c>
      <c r="AG78" s="48"/>
      <c r="AH78" s="47"/>
      <c r="AI78" s="59"/>
      <c r="AJ78" s="344"/>
      <c r="AK78" s="63" t="str">
        <f>"* leads extra review cycles for "&amp;S.Staff.Assistant.DA.ShortName&amp;" as needed"</f>
        <v>* leads extra review cycles for Lydia as needed</v>
      </c>
      <c r="AL78" s="76"/>
    </row>
    <row r="79" spans="1:38" s="23" customFormat="1" ht="14.1" customHeight="1" outlineLevel="2">
      <c r="A79" s="145"/>
      <c r="B79" s="341" t="s">
        <v>742</v>
      </c>
      <c r="C79" s="97"/>
      <c r="D79" s="183"/>
      <c r="E79" s="183"/>
      <c r="G79" s="349"/>
      <c r="H79" s="349"/>
      <c r="I79" s="740"/>
      <c r="AF79" s="360">
        <v>1</v>
      </c>
      <c r="AG79" s="47"/>
      <c r="AH79" s="47"/>
      <c r="AI79" s="59"/>
      <c r="AJ79" s="43"/>
      <c r="AK79" s="35"/>
      <c r="AL79" s="76"/>
    </row>
    <row r="80" spans="1:38" s="23" customFormat="1" ht="14.1" customHeight="1" outlineLevel="2">
      <c r="A80" s="145"/>
      <c r="B80" s="473" t="s">
        <v>743</v>
      </c>
      <c r="F80" s="893"/>
      <c r="G80" s="789"/>
      <c r="I80" s="39"/>
      <c r="AF80" s="360">
        <f>IF(S.Notice.Involved="Y",1,0)</f>
        <v>0</v>
      </c>
      <c r="AG80" s="48"/>
      <c r="AH80" s="47"/>
      <c r="AI80" s="59"/>
      <c r="AJ80" s="344"/>
      <c r="AK80" s="63" t="str">
        <f>"* briefs core team, "&amp;S.Staff.Assistant.DA.ShortName&amp;" &amp; "&amp;S.Staff.DA.ForProgram.FirstName&amp;" as needed"</f>
        <v>* briefs core team, Lydia &amp; Lydia as needed</v>
      </c>
      <c r="AL80" s="76"/>
    </row>
    <row r="81" spans="1:38" s="23" customFormat="1" ht="14.1" customHeight="1" outlineLevel="2">
      <c r="A81" s="145"/>
      <c r="B81" s="358" t="str">
        <f>AK81</f>
        <v>- Lydia &amp; Lydia as needed</v>
      </c>
      <c r="F81" s="893"/>
      <c r="G81" s="789"/>
      <c r="I81" s="39"/>
      <c r="AF81" s="360">
        <f>IF(S.Notice.Involved="Y",1,0)</f>
        <v>0</v>
      </c>
      <c r="AG81" s="48"/>
      <c r="AH81" s="47"/>
      <c r="AI81" s="59"/>
      <c r="AJ81" s="344"/>
      <c r="AK81" s="63" t="str">
        <f>"- "&amp;S.Staff.Assistant.DA.ShortName&amp;" &amp; "&amp;S.Staff.DA.ForProgram.FirstName&amp;" as needed"</f>
        <v>- Lydia &amp; Lydia as needed</v>
      </c>
      <c r="AL81" s="76"/>
    </row>
    <row r="82" spans="1:38" s="23" customFormat="1" ht="14.1" customHeight="1" outlineLevel="2">
      <c r="A82" s="145"/>
      <c r="B82" s="904" t="str">
        <f>AK82</f>
        <v>Rules group lead, core team member - AndreaG</v>
      </c>
      <c r="C82" s="97" t="s">
        <v>0</v>
      </c>
      <c r="D82" s="183"/>
      <c r="E82" s="183"/>
      <c r="F82"/>
      <c r="G82" s="349"/>
      <c r="H82" s="349"/>
      <c r="I82" s="740"/>
      <c r="J82"/>
      <c r="K82"/>
      <c r="L82"/>
      <c r="M82"/>
      <c r="N82"/>
      <c r="O82"/>
      <c r="P82"/>
      <c r="Q82"/>
      <c r="R82"/>
      <c r="S82"/>
      <c r="T82"/>
      <c r="U82"/>
      <c r="X82"/>
      <c r="AB82"/>
      <c r="AC82"/>
      <c r="AF82" s="360">
        <v>1</v>
      </c>
      <c r="AG82" s="47"/>
      <c r="AH82" s="47"/>
      <c r="AI82" s="59"/>
      <c r="AJ82" s="43"/>
      <c r="AK82" s="63" t="str">
        <f>"Rules group lead, core team member - "&amp;S.Staff.RG.Lead.FirstName</f>
        <v>Rules group lead, core team member - AndreaG</v>
      </c>
      <c r="AL82" s="76"/>
    </row>
    <row r="83" spans="1:38" s="23" customFormat="1" ht="14.1" customHeight="1" outlineLevel="2">
      <c r="A83" s="145"/>
      <c r="B83" s="341" t="s">
        <v>734</v>
      </c>
      <c r="C83" s="97"/>
      <c r="D83" s="183"/>
      <c r="E83" s="183"/>
      <c r="G83" s="349"/>
      <c r="H83" s="349"/>
      <c r="I83" s="740"/>
      <c r="AF83" s="360">
        <v>1</v>
      </c>
      <c r="AG83" s="47"/>
      <c r="AH83" s="47"/>
      <c r="AI83" s="59"/>
      <c r="AJ83" s="43"/>
      <c r="AK83" s="63"/>
      <c r="AL83" s="76"/>
    </row>
    <row r="84" spans="1:38" s="23" customFormat="1" ht="14.1" customHeight="1" outlineLevel="2">
      <c r="A84" s="145"/>
      <c r="B84" s="341" t="s">
        <v>741</v>
      </c>
      <c r="C84" s="97"/>
      <c r="D84" s="183"/>
      <c r="E84" s="183"/>
      <c r="G84" s="349"/>
      <c r="H84" s="349"/>
      <c r="I84" s="740"/>
      <c r="AF84" s="360">
        <v>1</v>
      </c>
      <c r="AG84" s="47"/>
      <c r="AH84" s="47"/>
      <c r="AI84" s="59"/>
      <c r="AJ84" s="43"/>
      <c r="AK84" s="35"/>
      <c r="AL84" s="76"/>
    </row>
    <row r="85" spans="1:38" s="23" customFormat="1" ht="14.1" customHeight="1" outlineLevel="2">
      <c r="A85" s="145"/>
      <c r="B85" s="473" t="s">
        <v>746</v>
      </c>
      <c r="C85" s="97"/>
      <c r="D85" s="183"/>
      <c r="E85" s="183"/>
      <c r="G85" s="349"/>
      <c r="H85" s="349"/>
      <c r="I85" s="740"/>
      <c r="AF85" s="360">
        <v>1</v>
      </c>
      <c r="AG85" s="47"/>
      <c r="AH85" s="47"/>
      <c r="AI85" s="59"/>
      <c r="AJ85" s="43"/>
      <c r="AK85" s="63"/>
      <c r="AL85" s="76"/>
    </row>
    <row r="86" spans="1:38" s="23" customFormat="1" ht="14.1" hidden="1" customHeight="1" outlineLevel="2">
      <c r="A86" s="145"/>
      <c r="B86" s="473" t="s">
        <v>745</v>
      </c>
      <c r="F86" s="893"/>
      <c r="G86" s="789"/>
      <c r="H86" s="332"/>
      <c r="I86" s="39"/>
      <c r="AF86" s="360">
        <f>IF(S.Notice.Involved="Y",1,0)</f>
        <v>0</v>
      </c>
      <c r="AG86" s="48"/>
      <c r="AH86" s="47"/>
      <c r="AI86" s="59"/>
      <c r="AJ86" s="344"/>
      <c r="AK86" s="63" t="str">
        <f>"* keeps "&amp;S.Staff.Assistant.DA.ShortName&amp; " informed about risks, progress &amp; potential delays"</f>
        <v>* keeps Lydia informed about risks, progress &amp; potential delays</v>
      </c>
      <c r="AL86" s="76"/>
    </row>
    <row r="87" spans="1:38" s="23" customFormat="1" ht="14.1" customHeight="1" outlineLevel="2">
      <c r="A87" s="145"/>
      <c r="B87" s="341" t="s">
        <v>735</v>
      </c>
      <c r="C87" s="97"/>
      <c r="D87" s="183"/>
      <c r="E87" s="183"/>
      <c r="G87" s="349"/>
      <c r="H87" s="349"/>
      <c r="I87" s="740"/>
      <c r="AF87" s="360">
        <v>1</v>
      </c>
      <c r="AG87" s="47"/>
      <c r="AH87" s="47"/>
      <c r="AI87" s="59"/>
      <c r="AJ87" s="43"/>
      <c r="AK87" s="63"/>
      <c r="AL87" s="76"/>
    </row>
    <row r="88" spans="1:38" s="23" customFormat="1" ht="14.1" customHeight="1" outlineLevel="2">
      <c r="A88" s="145"/>
      <c r="B88" s="473" t="s">
        <v>729</v>
      </c>
      <c r="C88" s="97"/>
      <c r="D88" s="183"/>
      <c r="E88" s="183"/>
      <c r="G88" s="349"/>
      <c r="H88" s="349"/>
      <c r="I88" s="740"/>
      <c r="AF88" s="360">
        <v>1</v>
      </c>
      <c r="AG88" s="47"/>
      <c r="AH88" s="47"/>
      <c r="AI88" s="59"/>
      <c r="AJ88" s="43"/>
      <c r="AK88" s="63"/>
      <c r="AL88" s="76"/>
    </row>
    <row r="89" spans="1:38" s="23" customFormat="1" ht="14.1" customHeight="1" outlineLevel="2">
      <c r="A89" s="145"/>
      <c r="B89" s="473" t="s">
        <v>730</v>
      </c>
      <c r="C89" s="97"/>
      <c r="D89" s="183"/>
      <c r="E89" s="183"/>
      <c r="G89" s="349"/>
      <c r="H89" s="349"/>
      <c r="I89" s="740"/>
      <c r="AF89" s="360">
        <v>1</v>
      </c>
      <c r="AG89" s="47"/>
      <c r="AH89" s="47"/>
      <c r="AI89" s="59"/>
      <c r="AJ89" s="43"/>
      <c r="AK89" s="63"/>
      <c r="AL89" s="76"/>
    </row>
    <row r="90" spans="1:38" s="23" customFormat="1" ht="14.1" customHeight="1" outlineLevel="2">
      <c r="A90" s="145"/>
      <c r="B90" s="1001" t="s">
        <v>744</v>
      </c>
      <c r="C90" s="1002"/>
      <c r="D90" s="183"/>
      <c r="E90" s="183"/>
      <c r="G90" s="349"/>
      <c r="H90" s="349"/>
      <c r="I90" s="740"/>
      <c r="AF90" s="360">
        <v>1</v>
      </c>
      <c r="AG90" s="47"/>
      <c r="AH90" s="47"/>
      <c r="AI90" s="59"/>
      <c r="AJ90" s="43"/>
      <c r="AK90" s="63"/>
      <c r="AL90" s="76"/>
    </row>
    <row r="91" spans="1:38" s="972" customFormat="1" ht="14.1" customHeight="1" outlineLevel="2">
      <c r="A91" s="145"/>
      <c r="B91" s="1001" t="s">
        <v>777</v>
      </c>
      <c r="C91" s="1002"/>
      <c r="D91" s="183"/>
      <c r="E91" s="183"/>
      <c r="G91" s="349"/>
      <c r="H91" s="349"/>
      <c r="I91" s="740"/>
      <c r="AF91" s="360">
        <v>1</v>
      </c>
      <c r="AG91" s="47"/>
      <c r="AH91" s="47"/>
      <c r="AI91" s="59"/>
      <c r="AJ91" s="43"/>
      <c r="AK91" s="63"/>
      <c r="AL91" s="76"/>
    </row>
    <row r="92" spans="1:38" s="23" customFormat="1" ht="14.1" customHeight="1" outlineLevel="2">
      <c r="A92" s="145"/>
      <c r="B92" s="438" t="s">
        <v>778</v>
      </c>
      <c r="C92" s="97"/>
      <c r="D92" s="183"/>
      <c r="E92" s="183"/>
      <c r="G92" s="349"/>
      <c r="H92" s="349"/>
      <c r="I92" s="740"/>
      <c r="AF92" s="360">
        <v>1</v>
      </c>
      <c r="AG92" s="47"/>
      <c r="AH92" s="47"/>
      <c r="AI92" s="59"/>
      <c r="AJ92" s="43"/>
      <c r="AK92" s="63"/>
      <c r="AL92" s="76"/>
    </row>
    <row r="93" spans="1:38" s="23" customFormat="1" ht="14.1" customHeight="1" outlineLevel="2">
      <c r="A93" s="145"/>
      <c r="B93" s="473" t="s">
        <v>736</v>
      </c>
      <c r="C93" s="97"/>
      <c r="D93" s="183"/>
      <c r="E93" s="183"/>
      <c r="G93" s="349"/>
      <c r="H93" s="349"/>
      <c r="I93" s="740"/>
      <c r="AF93" s="360">
        <v>1</v>
      </c>
      <c r="AG93" s="47"/>
      <c r="AH93" s="47"/>
      <c r="AI93" s="59"/>
      <c r="AJ93" s="43"/>
      <c r="AK93" s="63"/>
      <c r="AL93" s="76"/>
    </row>
    <row r="94" spans="1:38" s="23" customFormat="1" ht="14.1" customHeight="1" outlineLevel="2">
      <c r="A94" s="145"/>
      <c r="B94" s="341" t="s">
        <v>731</v>
      </c>
      <c r="F94" s="893"/>
      <c r="G94" s="789"/>
      <c r="H94" s="332"/>
      <c r="I94" s="39"/>
      <c r="AF94" s="360">
        <f>IF(S.Notice.Involved="Y",1,0)</f>
        <v>0</v>
      </c>
      <c r="AG94" s="48"/>
      <c r="AH94" s="47"/>
      <c r="AI94" s="59"/>
      <c r="AJ94" s="344"/>
      <c r="AK94" s="63" t="str">
        <f>"* keeps "&amp;S.Staff.Assistant.DA.ShortName&amp; " informed about risks, progress &amp; potential delays"</f>
        <v>* keeps Lydia informed about risks, progress &amp; potential delays</v>
      </c>
      <c r="AL94" s="76"/>
    </row>
    <row r="95" spans="1:38" s="23" customFormat="1" ht="14.1" customHeight="1" outlineLevel="2">
      <c r="A95" s="145"/>
      <c r="B95" s="341" t="s">
        <v>742</v>
      </c>
      <c r="C95" s="97"/>
      <c r="D95" s="183"/>
      <c r="E95" s="183"/>
      <c r="G95" s="349"/>
      <c r="H95" s="349"/>
      <c r="I95" s="740"/>
      <c r="AF95" s="360">
        <v>1</v>
      </c>
      <c r="AG95" s="47"/>
      <c r="AH95" s="47"/>
      <c r="AI95" s="59"/>
      <c r="AJ95" s="43"/>
      <c r="AK95" s="35"/>
      <c r="AL95" s="76"/>
    </row>
    <row r="96" spans="1:38" s="23" customFormat="1" ht="14.1" customHeight="1" outlineLevel="2">
      <c r="A96" s="145"/>
      <c r="B96" s="978" t="s">
        <v>743</v>
      </c>
      <c r="F96" s="893"/>
      <c r="G96" s="789"/>
      <c r="I96" s="39"/>
      <c r="AF96" s="360">
        <f>IF(S.Notice.Involved="Y",1,0)</f>
        <v>0</v>
      </c>
      <c r="AG96" s="48"/>
      <c r="AH96" s="47"/>
      <c r="AI96" s="59"/>
      <c r="AJ96" s="344"/>
      <c r="AK96" s="63" t="str">
        <f>"* briefs core team, "&amp;S.Staff.Assistant.DA.ShortName&amp;" &amp; "&amp;S.Staff.DA.ForProgram.FirstName&amp;" as needed"</f>
        <v>* briefs core team, Lydia &amp; Lydia as needed</v>
      </c>
      <c r="AL96" s="76"/>
    </row>
    <row r="97" spans="1:38" s="23" customFormat="1" ht="14.1" customHeight="1" outlineLevel="2">
      <c r="A97" s="145"/>
      <c r="B97" s="979" t="str">
        <f>AK97</f>
        <v>- team &amp; Lydia as needed</v>
      </c>
      <c r="F97" s="893"/>
      <c r="G97" s="789"/>
      <c r="I97" s="39"/>
      <c r="AF97" s="360">
        <f>IF(S.Notice.Involved="Y",1,0)</f>
        <v>0</v>
      </c>
      <c r="AG97" s="48"/>
      <c r="AH97" s="47"/>
      <c r="AI97" s="59"/>
      <c r="AJ97" s="344"/>
      <c r="AK97" s="63" t="str">
        <f>"- team &amp; "&amp;S.Staff.DA.ForRulesGroup.FirstName&amp;" as needed"</f>
        <v>- team &amp; Lydia as needed</v>
      </c>
      <c r="AL97" s="76"/>
    </row>
    <row r="98" spans="1:38" s="23" customFormat="1" ht="14.1" customHeight="1" outlineLevel="2">
      <c r="A98" s="145"/>
      <c r="B98" s="904" t="str">
        <f>AK98</f>
        <v>Program Support Staff - Jerry</v>
      </c>
      <c r="C98" s="97" t="s">
        <v>0</v>
      </c>
      <c r="D98" s="183"/>
      <c r="E98" s="183"/>
      <c r="F98"/>
      <c r="G98" s="349"/>
      <c r="H98" s="349"/>
      <c r="I98" s="740"/>
      <c r="AF98" s="360">
        <v>1</v>
      </c>
      <c r="AG98" s="47"/>
      <c r="AH98" s="47"/>
      <c r="AI98" s="59"/>
      <c r="AJ98" s="43"/>
      <c r="AK98" s="63" t="str">
        <f>"Program Support Staff - "&amp;S.Staff.Support</f>
        <v>Program Support Staff - Jerry</v>
      </c>
      <c r="AL98" s="76"/>
    </row>
    <row r="99" spans="1:38" s="23" customFormat="1" ht="14.1" customHeight="1" outlineLevel="2">
      <c r="A99" s="145"/>
      <c r="B99" s="904" t="str">
        <f>AK99</f>
        <v>Assistant DA - Lydia</v>
      </c>
      <c r="C99" s="97" t="s">
        <v>0</v>
      </c>
      <c r="D99" s="183"/>
      <c r="E99" s="183"/>
      <c r="F99"/>
      <c r="G99" s="349"/>
      <c r="H99" s="349"/>
      <c r="I99" s="740"/>
      <c r="AF99" s="360">
        <v>1</v>
      </c>
      <c r="AG99" s="47"/>
      <c r="AH99" s="47"/>
      <c r="AI99" s="59"/>
      <c r="AJ99" s="43"/>
      <c r="AK99" s="63" t="str">
        <f>"Assistant DA - "&amp;S.Staff.Assistant.DA.ShortName</f>
        <v>Assistant DA - Lydia</v>
      </c>
      <c r="AL99" s="76"/>
    </row>
    <row r="100" spans="1:38" s="23" customFormat="1" ht="14.1" customHeight="1" outlineLevel="2">
      <c r="A100" s="145"/>
      <c r="B100" s="904" t="str">
        <f>AK100</f>
        <v>DA - Lydia</v>
      </c>
      <c r="C100" s="97" t="s">
        <v>0</v>
      </c>
      <c r="D100" s="183"/>
      <c r="E100" s="183"/>
      <c r="F100"/>
      <c r="G100" s="349"/>
      <c r="H100" s="349"/>
      <c r="I100" s="740"/>
      <c r="AF100" s="360">
        <v>1</v>
      </c>
      <c r="AG100" s="47"/>
      <c r="AH100" s="47"/>
      <c r="AI100" s="59"/>
      <c r="AJ100" s="43"/>
      <c r="AK100" s="63" t="str">
        <f>"DA - "&amp;S.Staff.DA.ForProgram.FirstName</f>
        <v>DA - Lydia</v>
      </c>
      <c r="AL100" s="76"/>
    </row>
    <row r="101" spans="1:38" s="23" customFormat="1" ht="6.75" customHeight="1" outlineLevel="1">
      <c r="A101" s="145"/>
      <c r="B101" s="314"/>
      <c r="C101" s="300"/>
      <c r="D101" s="700"/>
      <c r="E101" s="700"/>
      <c r="F101" s="315"/>
      <c r="G101" s="339"/>
      <c r="H101" s="300"/>
      <c r="I101" s="740"/>
      <c r="AF101" s="360" t="s">
        <v>0</v>
      </c>
      <c r="AG101" s="58"/>
      <c r="AH101" s="58"/>
      <c r="AI101" s="48"/>
      <c r="AJ101" s="42"/>
      <c r="AK101" s="34"/>
      <c r="AL101" s="76"/>
    </row>
    <row r="102" spans="1:38" s="23" customFormat="1" ht="20.25" customHeight="1" outlineLevel="1">
      <c r="A102" s="145"/>
      <c r="B102" s="340" t="s">
        <v>725</v>
      </c>
      <c r="D102" s="183"/>
      <c r="E102" s="183"/>
      <c r="F102"/>
      <c r="G102" s="349"/>
      <c r="H102" s="349"/>
      <c r="I102" s="740"/>
      <c r="AF102" s="360">
        <v>1</v>
      </c>
      <c r="AG102" s="47"/>
      <c r="AH102" s="47"/>
      <c r="AI102" s="59" t="s">
        <v>0</v>
      </c>
      <c r="AJ102" s="43"/>
      <c r="AK102" s="58"/>
      <c r="AL102" s="76"/>
    </row>
    <row r="103" spans="1:38" s="23" customFormat="1" ht="14.1" hidden="1" customHeight="1" outlineLevel="2">
      <c r="A103" s="145" t="s">
        <v>0</v>
      </c>
      <c r="B103" s="778" t="s">
        <v>783</v>
      </c>
      <c r="C103" s="541" t="s">
        <v>0</v>
      </c>
      <c r="D103" s="701"/>
      <c r="E103" s="701"/>
      <c r="F103"/>
      <c r="I103" s="740"/>
      <c r="AF103" s="360">
        <f t="shared" ref="AF103:AF114" si="2">IF(S.Notice.Involved="Y",1,0)</f>
        <v>0</v>
      </c>
      <c r="AG103" s="59"/>
      <c r="AH103" s="59"/>
      <c r="AI103" s="59"/>
      <c r="AJ103" s="59"/>
      <c r="AK103" s="58"/>
      <c r="AL103" s="76"/>
    </row>
    <row r="104" spans="1:38" s="23" customFormat="1" ht="14.1" customHeight="1" outlineLevel="2">
      <c r="A104" s="145"/>
      <c r="B104" s="778" t="s">
        <v>638</v>
      </c>
      <c r="C104" s="541"/>
      <c r="D104" s="701"/>
      <c r="E104" s="701"/>
      <c r="F104"/>
      <c r="I104" s="740"/>
      <c r="AF104" s="360">
        <f t="shared" si="2"/>
        <v>0</v>
      </c>
      <c r="AG104" s="59"/>
      <c r="AH104" s="59"/>
      <c r="AI104" s="59"/>
      <c r="AJ104" s="59"/>
      <c r="AK104" s="58"/>
      <c r="AL104" s="76"/>
    </row>
    <row r="105" spans="1:38" s="23" customFormat="1" ht="14.1" customHeight="1" outlineLevel="2">
      <c r="A105" s="145" t="s">
        <v>0</v>
      </c>
      <c r="B105" s="779" t="str">
        <f>AK105</f>
        <v>http://deqsps/programs/rulemaking/PROGRAM/GHGTempdefault.aspx</v>
      </c>
      <c r="C105" s="541" t="s">
        <v>0</v>
      </c>
      <c r="D105" s="701"/>
      <c r="E105" s="701"/>
      <c r="F105"/>
      <c r="I105" s="740"/>
      <c r="AF105" s="360">
        <f t="shared" si="2"/>
        <v>0</v>
      </c>
      <c r="AG105" s="59"/>
      <c r="AH105" s="59"/>
      <c r="AI105" s="59"/>
      <c r="AJ105" s="59"/>
      <c r="AK105" s="73" t="str">
        <f>"http://deqsps/programs/rulemaking/PROGRAM/"&amp;S.General.CodeName&amp;"default.aspx"</f>
        <v>http://deqsps/programs/rulemaking/PROGRAM/GHGTempdefault.aspx</v>
      </c>
      <c r="AL105" s="76"/>
    </row>
    <row r="106" spans="1:38" s="23" customFormat="1" ht="14.1" customHeight="1" outlineLevel="2">
      <c r="A106" s="145"/>
      <c r="B106" s="778" t="s">
        <v>639</v>
      </c>
      <c r="C106" s="541"/>
      <c r="D106" s="701"/>
      <c r="E106" s="701"/>
      <c r="F106"/>
      <c r="I106" s="740"/>
      <c r="AF106" s="360">
        <f t="shared" si="2"/>
        <v>0</v>
      </c>
      <c r="AG106" s="59"/>
      <c r="AH106" s="59"/>
      <c r="AI106" s="59"/>
      <c r="AJ106" s="59"/>
      <c r="AK106" s="58"/>
      <c r="AL106" s="76"/>
    </row>
    <row r="107" spans="1:38" s="23" customFormat="1" ht="14.1" customHeight="1" outlineLevel="2">
      <c r="A107" s="145" t="s">
        <v>0</v>
      </c>
      <c r="B107" s="779" t="str">
        <f>AK107</f>
        <v xml:space="preserve">\\deqhq1\Rule_Development\Currrent Plan\GHGTemp.aspx </v>
      </c>
      <c r="C107" s="541" t="s">
        <v>0</v>
      </c>
      <c r="D107" s="701"/>
      <c r="E107" s="701"/>
      <c r="F107"/>
      <c r="I107" s="740"/>
      <c r="AF107" s="360">
        <f t="shared" si="2"/>
        <v>0</v>
      </c>
      <c r="AG107" s="59"/>
      <c r="AH107" s="59"/>
      <c r="AI107" s="59"/>
      <c r="AJ107" s="59"/>
      <c r="AK107" s="73" t="str">
        <f>"\\deqhq1\Rule_Development\Currrent Plan\"&amp;S.General.CodeName&amp;".aspx "</f>
        <v xml:space="preserve">\\deqhq1\Rule_Development\Currrent Plan\GHGTemp.aspx </v>
      </c>
      <c r="AL107" s="76"/>
    </row>
    <row r="108" spans="1:38" s="23" customFormat="1" ht="14.1" customHeight="1" outlineLevel="2">
      <c r="A108" s="145"/>
      <c r="B108" s="778" t="s">
        <v>635</v>
      </c>
      <c r="C108" s="541"/>
      <c r="D108" s="701"/>
      <c r="E108" s="701"/>
      <c r="F108"/>
      <c r="I108" s="740"/>
      <c r="AF108" s="360">
        <f t="shared" si="2"/>
        <v>0</v>
      </c>
      <c r="AG108" s="59"/>
      <c r="AH108" s="59"/>
      <c r="AI108" s="59"/>
      <c r="AJ108" s="59"/>
      <c r="AK108" s="58"/>
      <c r="AL108" s="76"/>
    </row>
    <row r="109" spans="1:38" s="23" customFormat="1" ht="14.1" hidden="1" customHeight="1" outlineLevel="2">
      <c r="A109" s="145"/>
      <c r="B109" s="448" t="s">
        <v>634</v>
      </c>
      <c r="C109" s="541"/>
      <c r="D109" s="701"/>
      <c r="E109" s="701"/>
      <c r="F109"/>
      <c r="I109" s="740"/>
      <c r="AF109" s="360">
        <f t="shared" si="2"/>
        <v>0</v>
      </c>
      <c r="AG109" s="59"/>
      <c r="AH109" s="59"/>
      <c r="AI109" s="59"/>
      <c r="AJ109" s="59"/>
      <c r="AK109" s="58"/>
      <c r="AL109" s="76"/>
    </row>
    <row r="110" spans="1:38" s="23" customFormat="1" ht="14.1" hidden="1" customHeight="1" outlineLevel="2">
      <c r="A110" s="145" t="s">
        <v>0</v>
      </c>
      <c r="B110" s="779" t="str">
        <f>AK110</f>
        <v>http://www.oregon.gov/deq/RulesandRegulations/Pages/comments/GHGTemp.aspx</v>
      </c>
      <c r="C110" s="541" t="s">
        <v>0</v>
      </c>
      <c r="D110" s="701"/>
      <c r="E110" s="701"/>
      <c r="F110"/>
      <c r="I110" s="740"/>
      <c r="J110"/>
      <c r="K110"/>
      <c r="L110"/>
      <c r="M110"/>
      <c r="N110"/>
      <c r="O110"/>
      <c r="P110"/>
      <c r="Q110"/>
      <c r="R110"/>
      <c r="S110"/>
      <c r="T110"/>
      <c r="U110"/>
      <c r="X110"/>
      <c r="AB110"/>
      <c r="AC110"/>
      <c r="AF110" s="360">
        <f t="shared" si="2"/>
        <v>0</v>
      </c>
      <c r="AG110" s="59"/>
      <c r="AH110" s="59"/>
      <c r="AI110" s="59"/>
      <c r="AJ110" s="59"/>
      <c r="AK110" s="73" t="str">
        <f>"http://www.oregon.gov/deq/RulesandRegulations/Pages/comments/"&amp;S.General.CodeName&amp;".aspx"</f>
        <v>http://www.oregon.gov/deq/RulesandRegulations/Pages/comments/GHGTemp.aspx</v>
      </c>
      <c r="AL110" s="76"/>
    </row>
    <row r="111" spans="1:38" s="23" customFormat="1" ht="14.1" customHeight="1" outlineLevel="2">
      <c r="A111" s="145"/>
      <c r="B111" s="448" t="s">
        <v>636</v>
      </c>
      <c r="C111" s="541"/>
      <c r="D111" s="701"/>
      <c r="E111" s="701"/>
      <c r="F111"/>
      <c r="I111" s="740"/>
      <c r="AF111" s="360">
        <f t="shared" si="2"/>
        <v>0</v>
      </c>
      <c r="AG111" s="59"/>
      <c r="AH111" s="59"/>
      <c r="AI111" s="59"/>
      <c r="AJ111" s="59"/>
      <c r="AK111" s="58"/>
      <c r="AL111" s="76"/>
    </row>
    <row r="112" spans="1:38" s="23" customFormat="1" ht="14.1" customHeight="1" outlineLevel="2">
      <c r="A112" s="145" t="s">
        <v>0</v>
      </c>
      <c r="B112" s="779" t="str">
        <f>AK112</f>
        <v xml:space="preserve">http://www.oregon.gov/deq/RulesandRegulations/Pages/2014/GHGTemp.aspx </v>
      </c>
      <c r="C112" s="541" t="s">
        <v>0</v>
      </c>
      <c r="D112" s="701"/>
      <c r="E112" s="701"/>
      <c r="F112"/>
      <c r="I112" s="740"/>
      <c r="AF112" s="360">
        <f t="shared" si="2"/>
        <v>0</v>
      </c>
      <c r="AG112" s="59"/>
      <c r="AH112" s="59"/>
      <c r="AI112" s="59"/>
      <c r="AJ112" s="59"/>
      <c r="AK112" s="73" t="str">
        <f>"http://www.oregon.gov/deq/RulesandRegulations/Pages/2014/"&amp;S.General.CodeName&amp;".aspx "</f>
        <v xml:space="preserve">http://www.oregon.gov/deq/RulesandRegulations/Pages/2014/GHGTemp.aspx </v>
      </c>
      <c r="AL112" s="76"/>
    </row>
    <row r="113" spans="1:38" s="23" customFormat="1" ht="14.1" hidden="1" customHeight="1" outlineLevel="2">
      <c r="A113" s="145"/>
      <c r="B113" s="448" t="s">
        <v>637</v>
      </c>
      <c r="C113" s="541"/>
      <c r="D113" s="701"/>
      <c r="E113" s="701"/>
      <c r="F113"/>
      <c r="I113" s="740"/>
      <c r="AF113" s="360">
        <f t="shared" si="2"/>
        <v>0</v>
      </c>
      <c r="AG113" s="59"/>
      <c r="AH113" s="59"/>
      <c r="AI113" s="59"/>
      <c r="AJ113" s="59"/>
      <c r="AK113" s="58"/>
      <c r="AL113" s="76"/>
    </row>
    <row r="114" spans="1:38" s="23" customFormat="1" ht="14.1" hidden="1" customHeight="1" outlineLevel="2">
      <c r="A114" s="145" t="s">
        <v>0</v>
      </c>
      <c r="B114" s="779" t="str">
        <f>AK114</f>
        <v>Comment-GHGTemp@deq.state.or.us</v>
      </c>
      <c r="C114" s="541" t="s">
        <v>0</v>
      </c>
      <c r="D114" s="701"/>
      <c r="E114" s="701"/>
      <c r="F114"/>
      <c r="I114" s="740"/>
      <c r="AF114" s="360">
        <f t="shared" si="2"/>
        <v>0</v>
      </c>
      <c r="AG114" s="59"/>
      <c r="AH114" s="59"/>
      <c r="AI114" s="59"/>
      <c r="AJ114" s="59"/>
      <c r="AK114" s="974" t="str">
        <f>"Comment-"&amp;S.General.CodeName&amp;"@deq.state.or.us"</f>
        <v>Comment-GHGTemp@deq.state.or.us</v>
      </c>
      <c r="AL114" s="76"/>
    </row>
    <row r="115" spans="1:38" s="23" customFormat="1" ht="6" customHeight="1" outlineLevel="1" collapsed="1">
      <c r="A115" s="145"/>
      <c r="B115" s="204"/>
      <c r="C115" s="97"/>
      <c r="D115" s="183"/>
      <c r="E115" s="183"/>
      <c r="G115" s="349"/>
      <c r="H115" s="349"/>
      <c r="I115" s="740"/>
      <c r="AF115" s="360">
        <v>1</v>
      </c>
      <c r="AG115" s="47"/>
      <c r="AH115" s="47"/>
      <c r="AI115" s="59"/>
      <c r="AJ115" s="43"/>
      <c r="AK115" s="63"/>
      <c r="AL115" s="76"/>
    </row>
    <row r="116" spans="1:38" s="172" customFormat="1" ht="18" customHeight="1" outlineLevel="1">
      <c r="A116" s="388"/>
      <c r="B116" s="518" t="s">
        <v>114</v>
      </c>
      <c r="C116" s="506" t="str">
        <f>HYPERLINK("\\deqhq1\Rule_Resources\i\1-DevlopingConceptToAddToPlan.pdf","i")</f>
        <v>i</v>
      </c>
      <c r="D116" s="183"/>
      <c r="E116" s="183"/>
      <c r="F116"/>
      <c r="G116" s="723"/>
      <c r="H116" s="723"/>
      <c r="I116" s="924"/>
      <c r="AF116" s="389">
        <v>1</v>
      </c>
      <c r="AG116" s="47"/>
      <c r="AH116" s="47"/>
      <c r="AI116" s="390" t="s">
        <v>0</v>
      </c>
      <c r="AJ116" s="34"/>
      <c r="AK116" s="58"/>
      <c r="AL116" s="76"/>
    </row>
    <row r="117" spans="1:38" s="23" customFormat="1" ht="14.1" customHeight="1" outlineLevel="2">
      <c r="A117" s="145"/>
      <c r="B117" s="267" t="str">
        <f t="shared" ref="B117:B122" si="3">AK117</f>
        <v>Leah discusses developing concept for DEQ Rulemaking Plan with Lydia</v>
      </c>
      <c r="C117" s="97" t="s">
        <v>0</v>
      </c>
      <c r="D117" s="200" t="s">
        <v>784</v>
      </c>
      <c r="E117" s="871"/>
      <c r="F117"/>
      <c r="G117" s="134"/>
      <c r="H117" s="348">
        <f>AH117</f>
        <v>0</v>
      </c>
      <c r="I117" s="740"/>
      <c r="AF117" s="360">
        <v>1</v>
      </c>
      <c r="AG117" s="47"/>
      <c r="AH117" s="60">
        <f>S.DIRECTOR.Approves.ForDEQRulemakingPlan</f>
        <v>0</v>
      </c>
      <c r="AI117" s="59" t="s">
        <v>0</v>
      </c>
      <c r="AJ117" s="43"/>
      <c r="AK117" s="63" t="str">
        <f>S.Staff.Program.Mgr.FirstName&amp;" discusses developing concept for DEQ Rulemaking Plan with "&amp;S.Staff.Assistant.DA.ShortName</f>
        <v>Leah discusses developing concept for DEQ Rulemaking Plan with Lydia</v>
      </c>
      <c r="AL117" s="76"/>
    </row>
    <row r="118" spans="1:38" s="23" customFormat="1" ht="14.1" customHeight="1" outlineLevel="2">
      <c r="A118" s="145"/>
      <c r="B118" s="208" t="str">
        <f t="shared" si="3"/>
        <v>Lydia approves concept development work</v>
      </c>
      <c r="C118" s="97" t="s">
        <v>0</v>
      </c>
      <c r="D118" s="200" t="s">
        <v>784</v>
      </c>
      <c r="E118" s="871"/>
      <c r="F118"/>
      <c r="G118" s="134"/>
      <c r="H118" s="348">
        <f>AH118</f>
        <v>0</v>
      </c>
      <c r="I118" s="740"/>
      <c r="J118"/>
      <c r="K118"/>
      <c r="L118"/>
      <c r="M118"/>
      <c r="N118"/>
      <c r="O118"/>
      <c r="P118"/>
      <c r="Q118"/>
      <c r="R118"/>
      <c r="S118"/>
      <c r="T118"/>
      <c r="U118"/>
      <c r="X118"/>
      <c r="AB118"/>
      <c r="AC118"/>
      <c r="AF118" s="360">
        <v>1</v>
      </c>
      <c r="AG118" s="47"/>
      <c r="AH118" s="60">
        <f>S.DIRECTOR.Approves.ForDEQRulemakingPlan</f>
        <v>0</v>
      </c>
      <c r="AI118" s="59" t="s">
        <v>0</v>
      </c>
      <c r="AJ118" s="43"/>
      <c r="AK118" s="63" t="str">
        <f>S.Staff.Assistant.DA.ShortName&amp;" approves concept development work"</f>
        <v>Lydia approves concept development work</v>
      </c>
      <c r="AL118" s="76"/>
    </row>
    <row r="119" spans="1:38" s="23" customFormat="1" ht="14.1" customHeight="1" outlineLevel="2">
      <c r="A119" s="145"/>
      <c r="B119" s="267" t="str">
        <f t="shared" si="3"/>
        <v>Leah</v>
      </c>
      <c r="C119" s="97" t="s">
        <v>0</v>
      </c>
      <c r="D119" s="183" t="s">
        <v>784</v>
      </c>
      <c r="E119" s="183"/>
      <c r="F119"/>
      <c r="G119" s="349"/>
      <c r="H119" s="349"/>
      <c r="I119" s="740"/>
      <c r="J119"/>
      <c r="K119"/>
      <c r="L119"/>
      <c r="M119"/>
      <c r="N119"/>
      <c r="O119"/>
      <c r="P119"/>
      <c r="Q119"/>
      <c r="R119"/>
      <c r="S119"/>
      <c r="T119"/>
      <c r="U119"/>
      <c r="X119"/>
      <c r="AB119"/>
      <c r="AC119"/>
      <c r="AF119" s="360">
        <v>1</v>
      </c>
      <c r="AG119" s="47"/>
      <c r="AH119" s="47"/>
      <c r="AI119" s="59"/>
      <c r="AJ119" s="43"/>
      <c r="AK119" s="63" t="str">
        <f>S.Staff.Program.Mgr.FirstName</f>
        <v>Leah</v>
      </c>
      <c r="AL119" s="76"/>
    </row>
    <row r="120" spans="1:38" s="23" customFormat="1" ht="14.1" customHeight="1" outlineLevel="2">
      <c r="A120" s="145"/>
      <c r="B120" s="269" t="str">
        <f t="shared" si="3"/>
        <v>* assigns subject expert for the rulemaking</v>
      </c>
      <c r="C120" s="195" t="s">
        <v>0</v>
      </c>
      <c r="D120" s="200" t="s">
        <v>784</v>
      </c>
      <c r="E120" s="871"/>
      <c r="F120"/>
      <c r="G120" s="349"/>
      <c r="H120" s="190">
        <f>AH120</f>
        <v>0</v>
      </c>
      <c r="I120" s="740"/>
      <c r="J120"/>
      <c r="K120"/>
      <c r="L120"/>
      <c r="M120"/>
      <c r="N120"/>
      <c r="O120"/>
      <c r="P120"/>
      <c r="Q120"/>
      <c r="R120"/>
      <c r="S120"/>
      <c r="T120"/>
      <c r="U120"/>
      <c r="X120"/>
      <c r="AB120"/>
      <c r="AC120"/>
      <c r="AF120" s="360">
        <v>1</v>
      </c>
      <c r="AG120" s="47"/>
      <c r="AH120" s="60">
        <f>H118</f>
        <v>0</v>
      </c>
      <c r="AI120" s="59"/>
      <c r="AJ120" s="43"/>
      <c r="AK120" s="63" t="str">
        <f>"* assigns subject expert for the rulemaking"</f>
        <v>* assigns subject expert for the rulemaking</v>
      </c>
      <c r="AL120" s="76"/>
    </row>
    <row r="121" spans="1:38" s="23" customFormat="1" ht="14.1" customHeight="1" outlineLevel="2">
      <c r="A121" s="145"/>
      <c r="B121" s="341" t="str">
        <f t="shared" si="3"/>
        <v>(reminder - add work to workplans as needed)</v>
      </c>
      <c r="C121" s="195" t="s">
        <v>0</v>
      </c>
      <c r="D121" s="183" t="s">
        <v>0</v>
      </c>
      <c r="E121" s="183"/>
      <c r="F121"/>
      <c r="G121" s="349"/>
      <c r="H121" s="349"/>
      <c r="I121" s="740"/>
      <c r="J121"/>
      <c r="K121"/>
      <c r="L121"/>
      <c r="M121"/>
      <c r="N121"/>
      <c r="O121"/>
      <c r="P121"/>
      <c r="Q121"/>
      <c r="R121"/>
      <c r="S121"/>
      <c r="T121"/>
      <c r="U121"/>
      <c r="X121"/>
      <c r="AB121"/>
      <c r="AC121"/>
      <c r="AF121" s="360">
        <v>1</v>
      </c>
      <c r="AG121" s="47"/>
      <c r="AH121" s="47"/>
      <c r="AI121" s="59"/>
      <c r="AJ121" s="43"/>
      <c r="AK121" s="63" t="str">
        <f>"(reminder - add work to workplans as needed)"</f>
        <v>(reminder - add work to workplans as needed)</v>
      </c>
      <c r="AL121" s="76"/>
    </row>
    <row r="122" spans="1:38" s="23" customFormat="1" ht="14.1" customHeight="1" outlineLevel="2">
      <c r="A122" s="145"/>
      <c r="B122" s="269" t="str">
        <f t="shared" si="3"/>
        <v>* identify existing Q-Time number for concept development work</v>
      </c>
      <c r="C122" s="195" t="s">
        <v>0</v>
      </c>
      <c r="D122" s="200" t="s">
        <v>0</v>
      </c>
      <c r="E122" s="871"/>
      <c r="F122"/>
      <c r="G122" s="349"/>
      <c r="H122" s="190">
        <f>AH122</f>
        <v>0</v>
      </c>
      <c r="I122" s="740"/>
      <c r="AF122" s="360">
        <v>1</v>
      </c>
      <c r="AG122" s="47"/>
      <c r="AH122" s="60">
        <f>H118</f>
        <v>0</v>
      </c>
      <c r="AI122" s="59"/>
      <c r="AJ122" s="43"/>
      <c r="AK122" s="63" t="str">
        <f>"* identify existing Q-Time number for concept development work"</f>
        <v>* identify existing Q-Time number for concept development work</v>
      </c>
      <c r="AL122" s="76"/>
    </row>
    <row r="123" spans="1:38" s="23" customFormat="1" ht="14.1" customHeight="1" outlineLevel="2">
      <c r="A123" s="145"/>
      <c r="B123" s="341" t="s">
        <v>533</v>
      </c>
      <c r="C123" s="195" t="s">
        <v>0</v>
      </c>
      <c r="D123" s="183"/>
      <c r="E123" s="183"/>
      <c r="F123"/>
      <c r="G123" s="350"/>
      <c r="H123" s="350"/>
      <c r="I123" s="740"/>
      <c r="J123"/>
      <c r="K123"/>
      <c r="L123"/>
      <c r="M123"/>
      <c r="N123"/>
      <c r="O123"/>
      <c r="P123"/>
      <c r="Q123"/>
      <c r="R123"/>
      <c r="S123"/>
      <c r="T123"/>
      <c r="U123"/>
      <c r="X123"/>
      <c r="AB123"/>
      <c r="AC123"/>
      <c r="AF123" s="360">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c r="A124" s="145"/>
      <c r="B124" s="267" t="str">
        <f>AK124</f>
        <v>Maggie</v>
      </c>
      <c r="C124" s="195" t="s">
        <v>0</v>
      </c>
      <c r="D124" s="183"/>
      <c r="E124" s="183"/>
      <c r="F124"/>
      <c r="G124" s="350"/>
      <c r="H124" s="350"/>
      <c r="I124" s="740"/>
      <c r="J124"/>
      <c r="K124"/>
      <c r="L124"/>
      <c r="M124"/>
      <c r="N124"/>
      <c r="O124"/>
      <c r="P124"/>
      <c r="Q124"/>
      <c r="R124"/>
      <c r="S124"/>
      <c r="T124"/>
      <c r="U124"/>
      <c r="X124"/>
      <c r="AB124"/>
      <c r="AC124"/>
      <c r="AF124" s="360">
        <v>1</v>
      </c>
      <c r="AG124" s="47"/>
      <c r="AH124" s="47"/>
      <c r="AI124" s="59"/>
      <c r="AJ124" s="43"/>
      <c r="AK124" s="63" t="str">
        <f>S.Staff.AgencyRulesCoordinator</f>
        <v>Maggie</v>
      </c>
      <c r="AL124" s="76"/>
    </row>
    <row r="125" spans="1:38" s="23" customFormat="1" ht="14.1" customHeight="1" outlineLevel="2">
      <c r="A125" s="145"/>
      <c r="B125" s="267" t="s">
        <v>721</v>
      </c>
      <c r="C125" s="195" t="s">
        <v>0</v>
      </c>
      <c r="D125" s="200" t="s">
        <v>784</v>
      </c>
      <c r="E125" s="871"/>
      <c r="F125"/>
      <c r="G125" s="350"/>
      <c r="H125" s="190">
        <f>AH125</f>
        <v>0</v>
      </c>
      <c r="I125" s="740"/>
      <c r="J125"/>
      <c r="K125"/>
      <c r="L125"/>
      <c r="M125"/>
      <c r="N125"/>
      <c r="O125"/>
      <c r="P125"/>
      <c r="Q125"/>
      <c r="R125"/>
      <c r="S125"/>
      <c r="T125"/>
      <c r="U125"/>
      <c r="X125"/>
      <c r="AB125"/>
      <c r="AC125"/>
      <c r="AF125" s="360">
        <v>1</v>
      </c>
      <c r="AG125" s="47"/>
      <c r="AH125" s="60">
        <f>H118</f>
        <v>0</v>
      </c>
      <c r="AI125" s="59"/>
      <c r="AJ125" s="43"/>
      <c r="AK125" s="34" t="s">
        <v>0</v>
      </c>
      <c r="AL125" s="76"/>
    </row>
    <row r="126" spans="1:38" s="23" customFormat="1" ht="14.1" customHeight="1" outlineLevel="2">
      <c r="A126" s="145"/>
      <c r="B126" s="269" t="s">
        <v>531</v>
      </c>
      <c r="C126" s="506" t="str">
        <f>HYPERLINK("\\deqhq1\Rule_Development\Currrent Plan\AQ-CFP.P2-Cory Ann Wind","i")</f>
        <v>i</v>
      </c>
      <c r="D126" s="194" t="s">
        <v>784</v>
      </c>
      <c r="E126" s="871"/>
      <c r="F126"/>
      <c r="G126"/>
      <c r="H126"/>
      <c r="I126" s="740"/>
      <c r="J126"/>
      <c r="K126"/>
      <c r="L126"/>
      <c r="M126"/>
      <c r="N126"/>
      <c r="O126"/>
      <c r="P126"/>
      <c r="Q126"/>
      <c r="R126"/>
      <c r="S126"/>
      <c r="T126"/>
      <c r="U126"/>
      <c r="X126"/>
      <c r="AB126"/>
      <c r="AC126"/>
      <c r="AF126" s="360">
        <v>1</v>
      </c>
      <c r="AG126" s="59"/>
      <c r="AH126" s="59"/>
      <c r="AI126" s="59"/>
      <c r="AJ126" s="43"/>
      <c r="AK126" s="34" t="s">
        <v>0</v>
      </c>
      <c r="AL126" s="76"/>
    </row>
    <row r="127" spans="1:38" s="23" customFormat="1" ht="14.1" customHeight="1" outlineLevel="2">
      <c r="A127" s="145"/>
      <c r="B127" s="269" t="s">
        <v>532</v>
      </c>
      <c r="C127" s="903" t="s">
        <v>728</v>
      </c>
      <c r="D127" s="194" t="s">
        <v>784</v>
      </c>
      <c r="E127" s="871"/>
      <c r="F127"/>
      <c r="I127" s="740"/>
      <c r="AF127" s="360">
        <v>1</v>
      </c>
      <c r="AG127" s="59"/>
      <c r="AH127" s="59"/>
      <c r="AI127" s="59"/>
      <c r="AJ127" s="43"/>
      <c r="AK127" s="34" t="s">
        <v>0</v>
      </c>
      <c r="AL127" s="76"/>
    </row>
    <row r="128" spans="1:38" s="23" customFormat="1" ht="14.1" customHeight="1" outlineLevel="2">
      <c r="A128" s="145"/>
      <c r="B128" s="318" t="s">
        <v>484</v>
      </c>
      <c r="C128" s="195" t="s">
        <v>0</v>
      </c>
      <c r="D128" s="194" t="s">
        <v>0</v>
      </c>
      <c r="E128" s="871"/>
      <c r="F128"/>
      <c r="H128"/>
      <c r="I128" s="740"/>
      <c r="J128"/>
      <c r="K128"/>
      <c r="L128"/>
      <c r="M128"/>
      <c r="N128"/>
      <c r="O128"/>
      <c r="P128"/>
      <c r="Q128"/>
      <c r="R128"/>
      <c r="S128"/>
      <c r="T128"/>
      <c r="U128"/>
      <c r="X128"/>
      <c r="AB128"/>
      <c r="AC128"/>
      <c r="AF128" s="360">
        <v>1</v>
      </c>
      <c r="AG128" s="59"/>
      <c r="AH128" s="59"/>
      <c r="AI128" s="59"/>
      <c r="AJ128" s="43"/>
      <c r="AK128" s="34" t="s">
        <v>0</v>
      </c>
      <c r="AL128" s="76"/>
    </row>
    <row r="129" spans="1:51" ht="14.1" customHeight="1" outlineLevel="2">
      <c r="A129" s="145"/>
      <c r="B129" s="303" t="str">
        <f>AK129</f>
        <v>Leah &amp; Jerry participates in work session. Topics include:</v>
      </c>
      <c r="C129" s="533" t="s">
        <v>0</v>
      </c>
      <c r="D129" s="567" t="s">
        <v>0</v>
      </c>
      <c r="E129" s="872"/>
      <c r="F129"/>
      <c r="G129" s="531"/>
      <c r="H129" s="532">
        <f>AH129</f>
        <v>0</v>
      </c>
      <c r="I129" s="740"/>
      <c r="AF129" s="360">
        <v>1</v>
      </c>
      <c r="AG129" s="48"/>
      <c r="AH129" s="60">
        <f>H125</f>
        <v>0</v>
      </c>
      <c r="AI129" s="59"/>
      <c r="AJ129" s="43"/>
      <c r="AK129" s="63" t="str">
        <f>S.Staff.Program.Mgr.FirstName&amp;" &amp; "&amp;S.Staff.Subject.Expert.FirstName&amp;" participates in work session. Topics include:"</f>
        <v>Leah &amp; Jerry participates in work session. Topics include:</v>
      </c>
      <c r="AL129" s="76"/>
      <c r="AM129"/>
    </row>
    <row r="130" spans="1:51" s="23" customFormat="1" ht="14.1" customHeight="1" outlineLevel="2">
      <c r="A130" s="145" t="s">
        <v>0</v>
      </c>
      <c r="B130" s="419" t="s">
        <v>534</v>
      </c>
      <c r="C130" s="135"/>
      <c r="F130"/>
      <c r="G130" s="135"/>
      <c r="H130" s="135"/>
      <c r="I130" s="740"/>
      <c r="AF130" s="360">
        <v>1</v>
      </c>
      <c r="AG130" s="58"/>
      <c r="AH130" s="58"/>
      <c r="AI130" s="58"/>
      <c r="AJ130" s="43"/>
      <c r="AK130" s="34"/>
      <c r="AL130" s="76"/>
    </row>
    <row r="131" spans="1:51" s="23" customFormat="1" ht="14.1" customHeight="1" outlineLevel="2">
      <c r="A131" s="145"/>
      <c r="B131" s="419" t="s">
        <v>535</v>
      </c>
      <c r="C131" s="135"/>
      <c r="D131"/>
      <c r="F131"/>
      <c r="G131" s="135"/>
      <c r="H131" s="135"/>
      <c r="I131" s="740"/>
      <c r="J131"/>
      <c r="K131"/>
      <c r="L131"/>
      <c r="M131"/>
      <c r="N131"/>
      <c r="O131"/>
      <c r="P131"/>
      <c r="Q131"/>
      <c r="R131"/>
      <c r="S131"/>
      <c r="T131"/>
      <c r="U131"/>
      <c r="X131"/>
      <c r="AB131"/>
      <c r="AC131"/>
      <c r="AF131" s="360">
        <v>1</v>
      </c>
      <c r="AG131" s="58"/>
      <c r="AH131" s="58"/>
      <c r="AI131" s="58"/>
      <c r="AJ131" s="43"/>
      <c r="AK131" s="34"/>
      <c r="AL131" s="76"/>
      <c r="AN131"/>
      <c r="AO131"/>
      <c r="AP131"/>
      <c r="AQ131"/>
      <c r="AR131"/>
      <c r="AS131"/>
      <c r="AT131"/>
      <c r="AU131"/>
      <c r="AV131"/>
      <c r="AW131"/>
      <c r="AX131"/>
      <c r="AY131"/>
    </row>
    <row r="132" spans="1:51" s="23" customFormat="1" ht="14.1" customHeight="1" outlineLevel="2">
      <c r="A132" s="145"/>
      <c r="B132" s="724" t="s">
        <v>536</v>
      </c>
      <c r="C132" s="136"/>
      <c r="D132"/>
      <c r="F132"/>
      <c r="G132" s="137"/>
      <c r="H132" s="138"/>
      <c r="I132" s="740"/>
      <c r="J132"/>
      <c r="K132"/>
      <c r="L132"/>
      <c r="M132"/>
      <c r="N132"/>
      <c r="O132"/>
      <c r="P132"/>
      <c r="Q132"/>
      <c r="R132"/>
      <c r="S132"/>
      <c r="T132"/>
      <c r="U132"/>
      <c r="X132"/>
      <c r="AB132"/>
      <c r="AC132"/>
      <c r="AF132" s="360">
        <v>1</v>
      </c>
      <c r="AG132" s="58"/>
      <c r="AH132" s="58"/>
      <c r="AI132" s="58"/>
      <c r="AJ132" s="43"/>
      <c r="AK132" s="34"/>
      <c r="AL132" s="76"/>
      <c r="AN132"/>
      <c r="AO132"/>
      <c r="AP132"/>
      <c r="AQ132"/>
      <c r="AR132"/>
      <c r="AS132"/>
      <c r="AT132"/>
      <c r="AU132"/>
      <c r="AV132"/>
      <c r="AW132"/>
      <c r="AX132"/>
      <c r="AY132"/>
    </row>
    <row r="133" spans="1:51" s="23" customFormat="1" ht="14.1" customHeight="1" outlineLevel="2">
      <c r="A133" s="145"/>
      <c r="B133" s="724" t="s">
        <v>538</v>
      </c>
      <c r="C133" s="506" t="str">
        <f>HYPERLINK("http://deqsps/programs/rulemaking/default.aspx","i")</f>
        <v>i</v>
      </c>
      <c r="D133"/>
      <c r="F133"/>
      <c r="G133" s="137"/>
      <c r="H133" s="138"/>
      <c r="I133" s="740"/>
      <c r="J133"/>
      <c r="K133"/>
      <c r="L133"/>
      <c r="M133"/>
      <c r="N133"/>
      <c r="O133"/>
      <c r="P133"/>
      <c r="Q133"/>
      <c r="R133"/>
      <c r="S133"/>
      <c r="T133"/>
      <c r="U133"/>
      <c r="X133"/>
      <c r="AB133"/>
      <c r="AC133"/>
      <c r="AF133" s="360">
        <v>1</v>
      </c>
      <c r="AG133" s="58"/>
      <c r="AH133" s="58"/>
      <c r="AI133" s="58"/>
      <c r="AJ133" s="43"/>
      <c r="AK133" s="34"/>
      <c r="AL133" s="76"/>
      <c r="AN133"/>
      <c r="AO133"/>
      <c r="AP133"/>
      <c r="AQ133"/>
      <c r="AR133"/>
      <c r="AS133"/>
      <c r="AT133"/>
      <c r="AU133"/>
      <c r="AV133"/>
      <c r="AW133"/>
      <c r="AX133"/>
      <c r="AY133"/>
    </row>
    <row r="134" spans="1:51" s="23" customFormat="1" ht="14.1" customHeight="1" outlineLevel="2">
      <c r="A134" s="145"/>
      <c r="B134" s="724" t="s">
        <v>537</v>
      </c>
      <c r="C134" s="506" t="str">
        <f>HYPERLINK("\\deqhq1\Rule_Development","i")</f>
        <v>i</v>
      </c>
      <c r="D134"/>
      <c r="F134"/>
      <c r="G134" s="137"/>
      <c r="H134" s="138"/>
      <c r="I134" s="740"/>
      <c r="J134"/>
      <c r="K134"/>
      <c r="L134"/>
      <c r="M134"/>
      <c r="N134"/>
      <c r="O134"/>
      <c r="P134"/>
      <c r="Q134"/>
      <c r="R134"/>
      <c r="S134"/>
      <c r="T134"/>
      <c r="U134"/>
      <c r="X134"/>
      <c r="AB134"/>
      <c r="AC134"/>
      <c r="AF134" s="360">
        <v>1</v>
      </c>
      <c r="AG134" s="58"/>
      <c r="AH134" s="58"/>
      <c r="AI134" s="58"/>
      <c r="AJ134" s="43"/>
      <c r="AK134" s="34"/>
      <c r="AL134" s="76"/>
      <c r="AN134"/>
      <c r="AO134"/>
      <c r="AP134"/>
      <c r="AQ134"/>
      <c r="AR134"/>
      <c r="AS134"/>
      <c r="AT134"/>
      <c r="AU134"/>
      <c r="AV134"/>
      <c r="AW134"/>
      <c r="AX134"/>
      <c r="AY134"/>
    </row>
    <row r="135" spans="1:51" s="23" customFormat="1" ht="14.1" customHeight="1" outlineLevel="2">
      <c r="A135" s="145"/>
      <c r="B135" s="419" t="s">
        <v>539</v>
      </c>
      <c r="C135" s="87"/>
      <c r="D135"/>
      <c r="F135"/>
      <c r="G135" s="137"/>
      <c r="H135" s="138"/>
      <c r="I135" s="740"/>
      <c r="J135"/>
      <c r="K135"/>
      <c r="L135"/>
      <c r="M135"/>
      <c r="N135"/>
      <c r="O135"/>
      <c r="P135"/>
      <c r="Q135"/>
      <c r="R135"/>
      <c r="S135"/>
      <c r="T135"/>
      <c r="U135"/>
      <c r="X135"/>
      <c r="AB135"/>
      <c r="AC135"/>
      <c r="AF135" s="360">
        <v>1</v>
      </c>
      <c r="AG135" s="58"/>
      <c r="AH135" s="58"/>
      <c r="AI135" s="58"/>
      <c r="AJ135" s="43"/>
      <c r="AK135" s="34"/>
      <c r="AL135" s="76"/>
    </row>
    <row r="136" spans="1:51" s="23" customFormat="1" ht="14.1" customHeight="1" outlineLevel="2">
      <c r="A136" s="145"/>
      <c r="B136" s="420" t="s">
        <v>540</v>
      </c>
      <c r="C136" s="506" t="str">
        <f>HYPERLINK("http://www.oregon.gov/deq/RulesandRegulations/Pages/default.aspx","i")</f>
        <v>i</v>
      </c>
      <c r="D136"/>
      <c r="F136"/>
      <c r="G136" s="137"/>
      <c r="H136" s="138"/>
      <c r="I136" s="740"/>
      <c r="J136"/>
      <c r="K136"/>
      <c r="L136"/>
      <c r="M136"/>
      <c r="N136"/>
      <c r="O136"/>
      <c r="P136"/>
      <c r="Q136"/>
      <c r="R136"/>
      <c r="S136"/>
      <c r="T136"/>
      <c r="U136"/>
      <c r="X136"/>
      <c r="AB136"/>
      <c r="AC136"/>
      <c r="AF136" s="360">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0" t="s">
        <v>106</v>
      </c>
      <c r="C137" s="87" t="s">
        <v>0</v>
      </c>
      <c r="D137"/>
      <c r="F137"/>
      <c r="G137" s="137"/>
      <c r="H137" s="138"/>
      <c r="I137" s="740"/>
      <c r="J137"/>
      <c r="K137"/>
      <c r="L137"/>
      <c r="M137"/>
      <c r="N137"/>
      <c r="O137"/>
      <c r="P137"/>
      <c r="Q137"/>
      <c r="R137"/>
      <c r="S137"/>
      <c r="T137"/>
      <c r="U137"/>
      <c r="X137"/>
      <c r="AB137"/>
      <c r="AC137"/>
      <c r="AF137" s="360">
        <f>IF(S.Notice.Involved="Y",1,0)</f>
        <v>0</v>
      </c>
      <c r="AG137" s="58"/>
      <c r="AH137" s="58"/>
      <c r="AI137" s="58"/>
      <c r="AJ137" s="43"/>
      <c r="AK137" s="34"/>
      <c r="AL137" s="76"/>
      <c r="AN137"/>
      <c r="AO137"/>
      <c r="AP137"/>
      <c r="AQ137"/>
      <c r="AR137"/>
      <c r="AS137"/>
      <c r="AT137"/>
      <c r="AU137"/>
      <c r="AV137"/>
      <c r="AW137"/>
      <c r="AX137"/>
      <c r="AY137"/>
    </row>
    <row r="138" spans="1:51" s="23" customFormat="1" ht="14.1" customHeight="1" outlineLevel="2">
      <c r="A138" s="145"/>
      <c r="B138" s="420" t="s">
        <v>107</v>
      </c>
      <c r="C138" s="88"/>
      <c r="D138"/>
      <c r="F138"/>
      <c r="G138" s="135"/>
      <c r="H138" s="135"/>
      <c r="I138" s="740"/>
      <c r="J138"/>
      <c r="K138"/>
      <c r="L138"/>
      <c r="M138"/>
      <c r="N138"/>
      <c r="O138"/>
      <c r="P138"/>
      <c r="Q138"/>
      <c r="R138"/>
      <c r="S138"/>
      <c r="T138"/>
      <c r="U138"/>
      <c r="X138"/>
      <c r="AB138"/>
      <c r="AC138"/>
      <c r="AF138" s="360">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0" t="s">
        <v>108</v>
      </c>
      <c r="C139" s="88"/>
      <c r="D139"/>
      <c r="F139"/>
      <c r="G139" s="353"/>
      <c r="H139" s="352"/>
      <c r="I139" s="740"/>
      <c r="J139"/>
      <c r="K139"/>
      <c r="L139"/>
      <c r="M139"/>
      <c r="N139"/>
      <c r="O139"/>
      <c r="P139"/>
      <c r="Q139"/>
      <c r="R139"/>
      <c r="S139"/>
      <c r="T139"/>
      <c r="U139"/>
      <c r="X139"/>
      <c r="AB139"/>
      <c r="AC139"/>
      <c r="AF139" s="360">
        <f>IF(S.Notice.Involved="Y",1,0)</f>
        <v>0</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0" t="s">
        <v>109</v>
      </c>
      <c r="C140" s="96"/>
      <c r="D140"/>
      <c r="F140"/>
      <c r="G140" s="138"/>
      <c r="H140" s="138"/>
      <c r="I140" s="740"/>
      <c r="J140"/>
      <c r="K140"/>
      <c r="L140"/>
      <c r="M140"/>
      <c r="N140"/>
      <c r="O140"/>
      <c r="P140"/>
      <c r="Q140"/>
      <c r="R140"/>
      <c r="S140"/>
      <c r="T140"/>
      <c r="U140"/>
      <c r="X140"/>
      <c r="AB140"/>
      <c r="AC140"/>
      <c r="AF140" s="360">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c r="A141" s="145"/>
      <c r="B141" s="420" t="str">
        <f>AK141</f>
        <v>- STAFF.RPT.Temporary (blank in folder 6)</v>
      </c>
      <c r="C141" s="96"/>
      <c r="D141"/>
      <c r="F141"/>
      <c r="G141" s="138"/>
      <c r="H141" s="138"/>
      <c r="I141" s="740"/>
      <c r="J141"/>
      <c r="K141"/>
      <c r="L141"/>
      <c r="M141"/>
      <c r="N141"/>
      <c r="O141"/>
      <c r="P141"/>
      <c r="Q141"/>
      <c r="R141"/>
      <c r="S141"/>
      <c r="T141"/>
      <c r="U141"/>
      <c r="X141"/>
      <c r="AB141"/>
      <c r="AC141"/>
      <c r="AF141" s="360">
        <v>1</v>
      </c>
      <c r="AG141" s="58"/>
      <c r="AH141" s="58"/>
      <c r="AI141" s="58"/>
      <c r="AJ141" s="43"/>
      <c r="AK141" s="78" t="str">
        <f>IF(S.General.RuleType="P","- STAFF.RPT.Permanent  (blank in folder 6)","- STAFF.RPT.Temporary (blank in folder 6)")</f>
        <v>- STAFF.RPT.Temporary (blank in folder 6)</v>
      </c>
      <c r="AL141" s="76"/>
    </row>
    <row r="142" spans="1:51" s="23" customFormat="1" ht="14.1" customHeight="1" outlineLevel="2">
      <c r="A142" s="145"/>
      <c r="B142" s="419" t="s">
        <v>228</v>
      </c>
      <c r="C142" s="87"/>
      <c r="D142"/>
      <c r="F142"/>
      <c r="G142" s="137"/>
      <c r="H142" s="138"/>
      <c r="I142" s="740"/>
      <c r="J142"/>
      <c r="K142"/>
      <c r="L142"/>
      <c r="M142"/>
      <c r="N142"/>
      <c r="O142"/>
      <c r="P142"/>
      <c r="Q142"/>
      <c r="R142"/>
      <c r="S142"/>
      <c r="T142"/>
      <c r="U142"/>
      <c r="X142"/>
      <c r="AB142"/>
      <c r="AC142"/>
      <c r="AF142" s="360">
        <v>1</v>
      </c>
      <c r="AG142" s="58"/>
      <c r="AH142" s="58"/>
      <c r="AI142" s="58"/>
      <c r="AJ142" s="43"/>
      <c r="AK142" s="34"/>
      <c r="AL142" s="76"/>
      <c r="AN142"/>
      <c r="AO142"/>
      <c r="AP142"/>
      <c r="AQ142"/>
      <c r="AR142"/>
      <c r="AS142"/>
      <c r="AT142"/>
      <c r="AU142"/>
      <c r="AV142"/>
      <c r="AW142"/>
      <c r="AX142"/>
      <c r="AY142"/>
    </row>
    <row r="143" spans="1:51" s="23" customFormat="1" ht="14.1" customHeight="1" outlineLevel="2">
      <c r="A143" s="145"/>
      <c r="B143" s="420" t="s">
        <v>167</v>
      </c>
      <c r="C143" s="87"/>
      <c r="D143"/>
      <c r="F143"/>
      <c r="G143" s="137"/>
      <c r="H143" s="138"/>
      <c r="I143" s="740"/>
      <c r="J143"/>
      <c r="K143"/>
      <c r="L143"/>
      <c r="M143"/>
      <c r="N143"/>
      <c r="O143"/>
      <c r="P143"/>
      <c r="Q143"/>
      <c r="R143"/>
      <c r="S143"/>
      <c r="T143"/>
      <c r="U143"/>
      <c r="X143"/>
      <c r="AB143"/>
      <c r="AC143"/>
      <c r="AF143" s="360">
        <v>1</v>
      </c>
      <c r="AG143" s="58"/>
      <c r="AH143" s="58"/>
      <c r="AI143" s="58"/>
      <c r="AJ143" s="43"/>
      <c r="AK143" s="34"/>
      <c r="AL143" s="76"/>
      <c r="AN143"/>
      <c r="AO143"/>
      <c r="AP143"/>
      <c r="AQ143"/>
      <c r="AR143"/>
      <c r="AS143"/>
      <c r="AT143"/>
      <c r="AU143"/>
      <c r="AV143"/>
      <c r="AW143"/>
      <c r="AX143"/>
      <c r="AY143"/>
    </row>
    <row r="144" spans="1:51" s="246" customFormat="1" ht="14.1" customHeight="1" outlineLevel="2">
      <c r="A144" s="245"/>
      <c r="B144" s="421" t="s">
        <v>111</v>
      </c>
      <c r="C144" s="247" t="s">
        <v>0</v>
      </c>
      <c r="D144"/>
      <c r="E144" s="23"/>
      <c r="F144"/>
      <c r="G144" s="351"/>
      <c r="H144" s="351"/>
      <c r="I144" s="740"/>
      <c r="J144"/>
      <c r="K144"/>
      <c r="L144"/>
      <c r="M144"/>
      <c r="N144"/>
      <c r="O144"/>
      <c r="P144"/>
      <c r="Q144"/>
      <c r="R144"/>
      <c r="S144"/>
      <c r="T144"/>
      <c r="U144"/>
      <c r="V144" s="23"/>
      <c r="W144" s="23"/>
      <c r="X144"/>
      <c r="Y144" s="23"/>
      <c r="Z144" s="23"/>
      <c r="AA144" s="23"/>
      <c r="AB144"/>
      <c r="AC144"/>
      <c r="AD144" s="23"/>
      <c r="AE144" s="23"/>
      <c r="AF144" s="360">
        <v>1</v>
      </c>
      <c r="AG144" s="249" t="s">
        <v>0</v>
      </c>
      <c r="AH144" s="249"/>
      <c r="AI144" s="250"/>
      <c r="AJ144" s="251"/>
      <c r="AK144" s="251"/>
      <c r="AL144" s="248"/>
    </row>
    <row r="145" spans="1:51" s="23" customFormat="1" ht="14.1" customHeight="1" outlineLevel="2">
      <c r="A145" s="145"/>
      <c r="B145" s="420" t="s">
        <v>110</v>
      </c>
      <c r="C145" s="88"/>
      <c r="D145"/>
      <c r="F145"/>
      <c r="G145" s="352"/>
      <c r="H145" s="135"/>
      <c r="I145" s="740"/>
      <c r="J145"/>
      <c r="K145"/>
      <c r="L145"/>
      <c r="M145"/>
      <c r="N145"/>
      <c r="O145"/>
      <c r="P145"/>
      <c r="Q145"/>
      <c r="R145"/>
      <c r="S145"/>
      <c r="T145"/>
      <c r="U145"/>
      <c r="X145"/>
      <c r="AB145"/>
      <c r="AC145"/>
      <c r="AF145" s="360">
        <v>1</v>
      </c>
      <c r="AG145" s="58"/>
      <c r="AH145" s="58"/>
      <c r="AI145" s="59"/>
      <c r="AJ145" s="43"/>
      <c r="AK145" s="34"/>
      <c r="AL145" s="76"/>
      <c r="AN145"/>
      <c r="AO145"/>
      <c r="AP145"/>
      <c r="AQ145"/>
      <c r="AR145"/>
      <c r="AS145"/>
      <c r="AT145"/>
      <c r="AU145"/>
      <c r="AV145"/>
      <c r="AW145"/>
      <c r="AX145"/>
      <c r="AY145"/>
    </row>
    <row r="146" spans="1:51" ht="14.1" customHeight="1" outlineLevel="2">
      <c r="A146" s="145"/>
      <c r="B146" s="267" t="str">
        <f>AK146</f>
        <v>Jerry drafts:</v>
      </c>
      <c r="C146" s="88"/>
      <c r="D146" s="194" t="s">
        <v>784</v>
      </c>
      <c r="E146" s="871"/>
      <c r="F146"/>
      <c r="G146" s="190">
        <f>AG146</f>
        <v>0</v>
      </c>
      <c r="H146" s="190">
        <f>AH146</f>
        <v>0</v>
      </c>
      <c r="I146" s="740"/>
      <c r="AF146" s="360">
        <v>1</v>
      </c>
      <c r="AG146" s="60">
        <f>H129</f>
        <v>0</v>
      </c>
      <c r="AH146" s="60">
        <f>G146</f>
        <v>0</v>
      </c>
      <c r="AI146" s="59"/>
      <c r="AJ146" s="43"/>
      <c r="AK146" s="78" t="str">
        <f>S.Staff.Subject.Expert.FirstName&amp;" drafts:"</f>
        <v>Jerry drafts:</v>
      </c>
      <c r="AL146" s="76"/>
      <c r="AM146"/>
    </row>
    <row r="147" spans="1:51" s="23" customFormat="1" ht="14.1" customHeight="1" outlineLevel="2">
      <c r="A147" s="145"/>
      <c r="B147" s="302" t="s">
        <v>543</v>
      </c>
      <c r="C147" s="559"/>
      <c r="D147" s="702"/>
      <c r="E147" s="702"/>
      <c r="F147"/>
      <c r="G147" s="90" t="s">
        <v>0</v>
      </c>
      <c r="H147" s="90"/>
      <c r="I147" s="740"/>
      <c r="AF147" s="360">
        <f>IF(S.Planning.DecisionToAddToPlan="A",1,0)</f>
        <v>1</v>
      </c>
      <c r="AG147" s="58"/>
      <c r="AH147" s="58"/>
      <c r="AI147" s="59"/>
      <c r="AJ147" s="62"/>
      <c r="AK147" s="72" t="s">
        <v>0</v>
      </c>
      <c r="AL147" s="76"/>
    </row>
    <row r="148" spans="1:51" s="23" customFormat="1" ht="14.1" customHeight="1" outlineLevel="2">
      <c r="A148" s="145"/>
      <c r="B148" s="302" t="s">
        <v>545</v>
      </c>
      <c r="C148" s="559"/>
      <c r="D148" s="702"/>
      <c r="E148" s="702"/>
      <c r="F148"/>
      <c r="G148" s="90" t="s">
        <v>0</v>
      </c>
      <c r="H148" s="90"/>
      <c r="I148" s="740"/>
      <c r="AF148" s="360">
        <f>IF(S.Planning.DecisionToAddToPlan="A",1,0)</f>
        <v>1</v>
      </c>
      <c r="AG148" s="58"/>
      <c r="AH148" s="58"/>
      <c r="AI148" s="59"/>
      <c r="AJ148" s="62"/>
      <c r="AK148" s="72" t="s">
        <v>0</v>
      </c>
      <c r="AL148" s="76"/>
    </row>
    <row r="149" spans="1:51" s="23" customFormat="1" ht="14.1" customHeight="1" outlineLevel="2">
      <c r="A149" s="145" t="s">
        <v>0</v>
      </c>
      <c r="B149" s="302" t="s">
        <v>544</v>
      </c>
      <c r="C149" s="559"/>
      <c r="D149" s="702"/>
      <c r="E149" s="702"/>
      <c r="F149"/>
      <c r="G149" s="90" t="s">
        <v>0</v>
      </c>
      <c r="H149" s="90"/>
      <c r="I149" s="740"/>
      <c r="AF149" s="360">
        <f>IF(S.Planning.DecisionToAddToPlan="A",1,0)</f>
        <v>1</v>
      </c>
      <c r="AG149" s="58"/>
      <c r="AH149" s="58"/>
      <c r="AI149" s="59"/>
      <c r="AJ149" s="62"/>
      <c r="AK149" s="72" t="s">
        <v>0</v>
      </c>
      <c r="AL149" s="76"/>
    </row>
    <row r="150" spans="1:51" s="23" customFormat="1" ht="14.1" customHeight="1" outlineLevel="2">
      <c r="A150" s="145"/>
      <c r="B150" s="267" t="str">
        <f>AK150</f>
        <v>Jerry gets consenus from Leah &amp; AndreaG on workbooks</v>
      </c>
      <c r="C150" s="88"/>
      <c r="D150" s="194" t="s">
        <v>784</v>
      </c>
      <c r="E150" s="871"/>
      <c r="F150"/>
      <c r="H150" s="190">
        <f>AH150</f>
        <v>0</v>
      </c>
      <c r="I150" s="740"/>
      <c r="AF150" s="360">
        <v>1</v>
      </c>
      <c r="AG150" s="58"/>
      <c r="AH150" s="60">
        <f>S.Planning.DraftWorkbooksEnd</f>
        <v>0</v>
      </c>
      <c r="AI150" s="59"/>
      <c r="AJ150" s="43"/>
      <c r="AK150" s="78" t="str">
        <f>S.Staff.Subject.Expert.FirstName&amp;" gets consenus from "&amp;S.Staff.Program.Mgr.FirstName&amp;" &amp; "&amp;S.Staff.RG.Lead.FirstName&amp;" on workbooks"</f>
        <v>Jerry gets consenus from Leah &amp; AndreaG on workbooks</v>
      </c>
      <c r="AL150" s="76"/>
    </row>
    <row r="151" spans="1:51" s="23" customFormat="1" ht="14.1" customHeight="1" outlineLevel="2">
      <c r="A151" s="145"/>
      <c r="B151" s="267" t="str">
        <f>AK151</f>
        <v>Leah shares concept with Lydia and may stop/delay/advance concept</v>
      </c>
      <c r="C151" s="88"/>
      <c r="D151" s="194" t="s">
        <v>784</v>
      </c>
      <c r="E151" s="871"/>
      <c r="H151" s="190">
        <f>AH151</f>
        <v>0</v>
      </c>
      <c r="I151" s="740"/>
      <c r="AF151" s="360">
        <v>1</v>
      </c>
      <c r="AG151" s="58"/>
      <c r="AH151" s="60">
        <f>S.Planning.DraftWorkbooksEnd</f>
        <v>0</v>
      </c>
      <c r="AI151" s="59"/>
      <c r="AJ151" s="43"/>
      <c r="AK151" s="78" t="str">
        <f>S.Staff.Program.Mgr.FirstName&amp;" shares concept with "&amp;S.Staff.Assistant.DA.ShortName&amp;" and may stop/delay/advance concept"</f>
        <v>Leah shares concept with Lydia and may stop/delay/advance concept</v>
      </c>
      <c r="AL151" s="76"/>
    </row>
    <row r="152" spans="1:51" s="23" customFormat="1" ht="14.1" customHeight="1" outlineLevel="2">
      <c r="A152" s="145"/>
      <c r="B152" s="267" t="str">
        <f>AK152</f>
        <v>Lydia shares concept with Lydia and may stop/delay/advance concept</v>
      </c>
      <c r="C152" s="88"/>
      <c r="D152" s="194" t="s">
        <v>784</v>
      </c>
      <c r="E152" s="871"/>
      <c r="H152" s="190">
        <f>AH152</f>
        <v>0</v>
      </c>
      <c r="I152" s="740"/>
      <c r="AF152" s="360">
        <v>1</v>
      </c>
      <c r="AG152" s="58"/>
      <c r="AH152" s="60">
        <f>S.Planning.DraftWorkbooksEnd</f>
        <v>0</v>
      </c>
      <c r="AI152" s="59"/>
      <c r="AJ152" s="43"/>
      <c r="AK152" s="78" t="str">
        <f>S.Staff.Assistant.DA.ShortName&amp;" shares concept with "&amp;S.Staff.DA.ForProgram.FirstName&amp;" and may stop/delay/advance concept"</f>
        <v>Lydia shares concept with Lydia and may stop/delay/advance concept</v>
      </c>
      <c r="AL152" s="76"/>
    </row>
    <row r="153" spans="1:51" s="23" customFormat="1" ht="14.1" customHeight="1" outlineLevel="2">
      <c r="A153" s="145"/>
      <c r="B153" s="267" t="str">
        <f>AK153</f>
        <v>If advanced, Leah emails AndreaG to indicate her approval</v>
      </c>
      <c r="C153" s="88"/>
      <c r="D153" s="194" t="s">
        <v>784</v>
      </c>
      <c r="E153" s="871"/>
      <c r="H153" s="190">
        <f>AH153</f>
        <v>0</v>
      </c>
      <c r="I153" s="740"/>
      <c r="AF153" s="360">
        <v>1</v>
      </c>
      <c r="AG153" s="58"/>
      <c r="AH153" s="60">
        <f>S.Planning.DraftWorkbooksEnd</f>
        <v>0</v>
      </c>
      <c r="AI153" s="59"/>
      <c r="AJ153" s="43"/>
      <c r="AK153" s="78" t="str">
        <f>"If advanced, "&amp;S.Staff.Program.Mgr.FirstName&amp;" emails "&amp;S.Staff.RG.Lead.FirstName&amp;" to indicate "&amp;S.Staff.Program.Mgr.Pronoun&amp;" approval"</f>
        <v>If advanced, Leah emails AndreaG to indicate her approval</v>
      </c>
      <c r="AL153" s="76"/>
    </row>
    <row r="154" spans="1:51" s="23" customFormat="1" ht="14.1" customHeight="1" outlineLevel="2">
      <c r="A154" s="145"/>
      <c r="B154" s="1066" t="str">
        <f>AK154</f>
        <v>Maggie:</v>
      </c>
      <c r="C154" s="505" t="s">
        <v>48</v>
      </c>
      <c r="D154" s="194"/>
      <c r="E154" s="871"/>
      <c r="H154" s="190">
        <f>AH154</f>
        <v>0</v>
      </c>
      <c r="I154" s="740"/>
      <c r="AF154" s="360">
        <v>1</v>
      </c>
      <c r="AG154" s="58"/>
      <c r="AH154" s="60">
        <f>G154</f>
        <v>0</v>
      </c>
      <c r="AI154" s="59"/>
      <c r="AJ154" s="43"/>
      <c r="AK154" s="78" t="str">
        <f>S.Staff.AgencyRulesCoordinator&amp;":"</f>
        <v>Maggie:</v>
      </c>
      <c r="AL154" s="76"/>
    </row>
    <row r="155" spans="1:51" s="23" customFormat="1" ht="14.1" customHeight="1" outlineLevel="2">
      <c r="A155" s="145"/>
      <c r="B155" s="1067" t="s">
        <v>723</v>
      </c>
      <c r="C155" s="559"/>
      <c r="D155" s="194"/>
      <c r="E155" s="871"/>
      <c r="G155" s="90" t="s">
        <v>0</v>
      </c>
      <c r="H155" s="90"/>
      <c r="I155" s="740"/>
      <c r="AF155" s="360">
        <f>IF(S.Planning.DecisionToAddToPlan="A",1,0)</f>
        <v>1</v>
      </c>
      <c r="AG155" s="58"/>
      <c r="AH155" s="58"/>
      <c r="AI155" s="59"/>
      <c r="AJ155" s="62"/>
      <c r="AK155" s="72" t="s">
        <v>0</v>
      </c>
      <c r="AL155" s="76"/>
    </row>
    <row r="156" spans="1:51" s="23" customFormat="1" ht="14.1" customHeight="1" outlineLevel="2">
      <c r="A156" s="145"/>
      <c r="B156" s="1068" t="s">
        <v>724</v>
      </c>
      <c r="C156" s="559"/>
      <c r="D156" s="194"/>
      <c r="E156" s="871"/>
      <c r="G156" s="90" t="s">
        <v>0</v>
      </c>
      <c r="H156" s="90"/>
      <c r="I156" s="740"/>
      <c r="AF156" s="360">
        <f>IF(S.Planning.DecisionToAddToPlan="A",1,0)</f>
        <v>1</v>
      </c>
      <c r="AG156" s="58"/>
      <c r="AH156" s="58"/>
      <c r="AI156" s="59"/>
      <c r="AJ156" s="62"/>
      <c r="AK156" s="72" t="s">
        <v>0</v>
      </c>
      <c r="AL156" s="76"/>
    </row>
    <row r="157" spans="1:51" s="23" customFormat="1" ht="14.1" customHeight="1" outlineLevel="2">
      <c r="A157" s="145"/>
      <c r="B157" s="1069" t="str">
        <f>AK157</f>
        <v>* shares priority list and factors with Leah &amp; Jerry</v>
      </c>
      <c r="C157" s="88"/>
      <c r="D157" s="194"/>
      <c r="E157" s="871"/>
      <c r="H157" s="190">
        <f>AH157</f>
        <v>0</v>
      </c>
      <c r="I157" s="740"/>
      <c r="AF157" s="360">
        <v>1</v>
      </c>
      <c r="AG157" s="58"/>
      <c r="AH157" s="60">
        <f>S.Planning.DraftWorkbooksEnd</f>
        <v>0</v>
      </c>
      <c r="AI157" s="59"/>
      <c r="AJ157" s="43"/>
      <c r="AK157" s="78" t="str">
        <f>"* shares priority list and factors with "&amp;S.Staff.Program.Mgr.FirstName&amp;" &amp; "&amp;S.Staff.Subject.Expert.FirstName</f>
        <v>* shares priority list and factors with Leah &amp; Jerry</v>
      </c>
      <c r="AL157" s="76"/>
    </row>
    <row r="158" spans="1:51" s="23" customFormat="1" ht="14.1" customHeight="1" outlineLevel="2">
      <c r="A158" s="145"/>
      <c r="B158" s="1067" t="s">
        <v>690</v>
      </c>
      <c r="C158" s="559"/>
      <c r="D158" s="194"/>
      <c r="E158" s="871"/>
      <c r="G158" s="90" t="s">
        <v>0</v>
      </c>
      <c r="H158" s="90"/>
      <c r="I158" s="740"/>
      <c r="AF158" s="360">
        <f>IF(S.Planning.DecisionToAddToPlan="A",1,0)</f>
        <v>1</v>
      </c>
      <c r="AG158" s="58"/>
      <c r="AH158" s="58"/>
      <c r="AI158" s="59"/>
      <c r="AJ158" s="62"/>
      <c r="AK158" s="72" t="s">
        <v>0</v>
      </c>
      <c r="AL158" s="76"/>
    </row>
    <row r="159" spans="1:51" s="23" customFormat="1" ht="14.1" customHeight="1" outlineLevel="2">
      <c r="A159" s="145"/>
      <c r="B159" s="1069" t="str">
        <f>AK159</f>
        <v>* shares priority listing with Leah &amp; AndreaG</v>
      </c>
      <c r="C159" s="88"/>
      <c r="D159" s="194"/>
      <c r="E159" s="871"/>
      <c r="H159" s="190">
        <f>AH159</f>
        <v>0</v>
      </c>
      <c r="I159" s="740"/>
      <c r="AF159" s="360">
        <v>1</v>
      </c>
      <c r="AG159" s="58"/>
      <c r="AH159" s="60">
        <f>S.Planning.DraftWorkbooksEnd</f>
        <v>0</v>
      </c>
      <c r="AI159" s="59"/>
      <c r="AJ159" s="43"/>
      <c r="AK159" s="78" t="str">
        <f>"* shares priority listing with "&amp;S.Staff.Program.Mgr.FirstName&amp;" &amp; "&amp;S.Staff.RG.Lead.FirstName</f>
        <v>* shares priority listing with Leah &amp; AndreaG</v>
      </c>
      <c r="AL159" s="76"/>
    </row>
    <row r="160" spans="1:51" s="23" customFormat="1" ht="14.1" customHeight="1" outlineLevel="2">
      <c r="A160" s="145"/>
      <c r="B160" s="1070" t="s">
        <v>727</v>
      </c>
      <c r="C160" s="195" t="s">
        <v>0</v>
      </c>
      <c r="D160" s="197"/>
      <c r="E160" s="873"/>
      <c r="G160" s="350"/>
      <c r="H160" s="350"/>
      <c r="I160" s="740"/>
      <c r="AF160" s="360">
        <v>1</v>
      </c>
      <c r="AG160" s="47"/>
      <c r="AH160" s="47"/>
      <c r="AI160" s="59"/>
      <c r="AJ160" s="43"/>
      <c r="AK160" s="63" t="str">
        <f>S.Staff.Director&amp;":"</f>
        <v>Dick:</v>
      </c>
      <c r="AL160" s="76"/>
    </row>
    <row r="161" spans="1:39" s="23" customFormat="1" ht="14.1" customHeight="1" outlineLevel="2">
      <c r="A161" s="145"/>
      <c r="B161" s="1066" t="str">
        <f>AK161</f>
        <v>Maggie develops work papers and Leadership Team draft email for Dick</v>
      </c>
      <c r="C161" s="505" t="str">
        <f>HYPERLINK("\\deqhq1\Rule_Resources\i\Code.Name.EMAIL.AddToPlan.docx","i")</f>
        <v>i</v>
      </c>
      <c r="D161" s="194" t="s">
        <v>0</v>
      </c>
      <c r="E161" s="871"/>
      <c r="F161"/>
      <c r="G161" s="190">
        <f>AG161</f>
        <v>0</v>
      </c>
      <c r="H161" s="190">
        <f>AH161</f>
        <v>0</v>
      </c>
      <c r="I161" s="740"/>
      <c r="J161"/>
      <c r="K161"/>
      <c r="L161"/>
      <c r="M161"/>
      <c r="N161"/>
      <c r="O161"/>
      <c r="P161"/>
      <c r="Q161"/>
      <c r="R161"/>
      <c r="S161"/>
      <c r="T161"/>
      <c r="U161"/>
      <c r="X161"/>
      <c r="AB161"/>
      <c r="AC161"/>
      <c r="AF161" s="360">
        <v>1</v>
      </c>
      <c r="AG161" s="60">
        <f>H150</f>
        <v>0</v>
      </c>
      <c r="AH161" s="60">
        <f>G161</f>
        <v>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c r="A162" s="145"/>
      <c r="B162" s="1070" t="str">
        <f>AK162</f>
        <v>Dick:</v>
      </c>
      <c r="C162" s="195" t="s">
        <v>0</v>
      </c>
      <c r="D162" s="197"/>
      <c r="E162" s="873"/>
      <c r="F162"/>
      <c r="G162" s="350"/>
      <c r="H162" s="350"/>
      <c r="I162" s="740"/>
      <c r="J162"/>
      <c r="K162"/>
      <c r="L162"/>
      <c r="M162"/>
      <c r="N162"/>
      <c r="O162"/>
      <c r="P162"/>
      <c r="Q162"/>
      <c r="R162"/>
      <c r="S162"/>
      <c r="T162"/>
      <c r="U162"/>
      <c r="X162"/>
      <c r="AB162"/>
      <c r="AC162"/>
      <c r="AF162" s="360">
        <v>1</v>
      </c>
      <c r="AG162" s="47"/>
      <c r="AH162" s="47"/>
      <c r="AI162" s="59"/>
      <c r="AJ162" s="43"/>
      <c r="AK162" s="63" t="str">
        <f>S.Staff.Director&amp;":"</f>
        <v>Dick:</v>
      </c>
      <c r="AL162" s="76"/>
    </row>
    <row r="163" spans="1:39" s="23" customFormat="1" ht="14.1" customHeight="1" outlineLevel="2">
      <c r="A163" s="145"/>
      <c r="B163" s="1071" t="s">
        <v>542</v>
      </c>
      <c r="C163" s="189" t="s">
        <v>0</v>
      </c>
      <c r="D163" s="188" t="s">
        <v>0</v>
      </c>
      <c r="E163" s="874"/>
      <c r="F163"/>
      <c r="G163" s="729" t="s">
        <v>0</v>
      </c>
      <c r="H163" s="980">
        <f>AH163</f>
        <v>0</v>
      </c>
      <c r="I163" s="740"/>
      <c r="J163"/>
      <c r="K163"/>
      <c r="L163"/>
      <c r="M163"/>
      <c r="N163"/>
      <c r="O163"/>
      <c r="P163"/>
      <c r="Q163"/>
      <c r="R163"/>
      <c r="S163"/>
      <c r="T163"/>
      <c r="U163"/>
      <c r="X163"/>
      <c r="AB163"/>
      <c r="AC163"/>
      <c r="AF163" s="360">
        <v>1</v>
      </c>
      <c r="AG163" s="47"/>
      <c r="AH163" s="60">
        <f>H161</f>
        <v>0</v>
      </c>
      <c r="AI163" s="59"/>
      <c r="AJ163" s="43"/>
      <c r="AK163" s="47"/>
      <c r="AL163" s="76"/>
    </row>
    <row r="164" spans="1:39" s="23" customFormat="1" ht="14.1" customHeight="1" outlineLevel="2">
      <c r="A164" s="145"/>
      <c r="B164" s="1072" t="str">
        <f t="shared" ref="B164:B169" si="4">AK164</f>
        <v>To: Leadership Team describing addition to DEQ Rulemaking Plan</v>
      </c>
      <c r="C164" s="196"/>
      <c r="D164" s="702"/>
      <c r="E164" s="702"/>
      <c r="F164"/>
      <c r="G164" s="192"/>
      <c r="H164" s="193"/>
      <c r="I164" s="740"/>
      <c r="J164"/>
      <c r="K164"/>
      <c r="L164"/>
      <c r="M164"/>
      <c r="N164"/>
      <c r="O164"/>
      <c r="P164"/>
      <c r="Q164"/>
      <c r="R164"/>
      <c r="S164"/>
      <c r="T164"/>
      <c r="U164"/>
      <c r="X164"/>
      <c r="AB164"/>
      <c r="AC164"/>
      <c r="AF164" s="360">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c r="A165" s="145"/>
      <c r="B165" s="1072" t="str">
        <f t="shared" si="4"/>
        <v xml:space="preserve">To: StephanieC to include in monthly Director's Report </v>
      </c>
      <c r="C165" s="196"/>
      <c r="D165" s="702"/>
      <c r="E165" s="702"/>
      <c r="F165"/>
      <c r="G165" s="192"/>
      <c r="H165" s="193"/>
      <c r="I165" s="740"/>
      <c r="J165"/>
      <c r="K165"/>
      <c r="L165"/>
      <c r="M165"/>
      <c r="N165"/>
      <c r="O165"/>
      <c r="P165"/>
      <c r="Q165"/>
      <c r="R165"/>
      <c r="S165"/>
      <c r="T165"/>
      <c r="U165"/>
      <c r="X165"/>
      <c r="AB165"/>
      <c r="AC165"/>
      <c r="AF165" s="360">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c r="A166" s="145"/>
      <c r="B166" s="1073" t="str">
        <f t="shared" si="4"/>
        <v>(Dick asks EQC how they want to be involved with rulemaking)</v>
      </c>
      <c r="C166" s="189"/>
      <c r="D166" s="701"/>
      <c r="E166" s="701"/>
      <c r="F166"/>
      <c r="G166" s="23" t="s">
        <v>0</v>
      </c>
      <c r="H166"/>
      <c r="I166" s="740"/>
      <c r="J166"/>
      <c r="K166"/>
      <c r="L166"/>
      <c r="M166"/>
      <c r="N166"/>
      <c r="O166"/>
      <c r="P166"/>
      <c r="Q166"/>
      <c r="R166"/>
      <c r="S166"/>
      <c r="T166"/>
      <c r="U166"/>
      <c r="X166"/>
      <c r="AB166"/>
      <c r="AC166"/>
      <c r="AF166" s="360">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c r="A167" s="145" t="s">
        <v>0</v>
      </c>
      <c r="B167" s="1073" t="str">
        <f t="shared" si="4"/>
        <v>(StephanieC informs team about EQC involvement by email)</v>
      </c>
      <c r="C167" s="189"/>
      <c r="D167" s="701"/>
      <c r="E167" s="701"/>
      <c r="F167"/>
      <c r="G167"/>
      <c r="H167"/>
      <c r="I167" s="740"/>
      <c r="J167"/>
      <c r="K167"/>
      <c r="L167"/>
      <c r="M167"/>
      <c r="N167"/>
      <c r="O167"/>
      <c r="P167"/>
      <c r="Q167"/>
      <c r="R167"/>
      <c r="S167"/>
      <c r="T167"/>
      <c r="U167"/>
      <c r="X167"/>
      <c r="AB167"/>
      <c r="AC167"/>
      <c r="AF167" s="360">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c r="A168" s="145"/>
      <c r="B168" s="1072" t="str">
        <f t="shared" si="4"/>
        <v>Cc… Leah, Jerry, AndreaG</v>
      </c>
      <c r="C168" s="196"/>
      <c r="D168" s="702"/>
      <c r="E168" s="702"/>
      <c r="F168"/>
      <c r="G168" s="192"/>
      <c r="H168" s="193"/>
      <c r="I168" s="740"/>
      <c r="J168"/>
      <c r="K168"/>
      <c r="L168"/>
      <c r="M168"/>
      <c r="N168"/>
      <c r="O168"/>
      <c r="P168"/>
      <c r="Q168"/>
      <c r="R168"/>
      <c r="S168"/>
      <c r="T168"/>
      <c r="U168"/>
      <c r="X168"/>
      <c r="AB168"/>
      <c r="AC168"/>
      <c r="AF168" s="360">
        <f>IF(S.Planning.DecisionToAddToPlan="A",1,0)</f>
        <v>1</v>
      </c>
      <c r="AG168" s="58"/>
      <c r="AH168" s="58"/>
      <c r="AI168" s="59"/>
      <c r="AJ168" s="43"/>
      <c r="AK168" s="67" t="str">
        <f>"Cc… "&amp;S.Staff.Program.Mgr.FirstName&amp;", "&amp;S.Staff.Subject.Expert.FirstName&amp;", "&amp;S.Staff.RG.Lead.FirstName</f>
        <v>Cc… Leah, Jerry, AndreaG</v>
      </c>
      <c r="AL168" s="76"/>
    </row>
    <row r="169" spans="1:39" s="23" customFormat="1" ht="14.1" customHeight="1" outlineLevel="2" thickBot="1">
      <c r="A169" s="145"/>
      <c r="B169" s="1065" t="str">
        <f t="shared" si="4"/>
        <v>AndreaG:</v>
      </c>
      <c r="C169" s="195" t="s">
        <v>0</v>
      </c>
      <c r="D169" s="197"/>
      <c r="E169" s="873"/>
      <c r="F169"/>
      <c r="G169" s="350"/>
      <c r="H169" s="350"/>
      <c r="I169" s="740"/>
      <c r="J169"/>
      <c r="K169"/>
      <c r="L169"/>
      <c r="M169"/>
      <c r="N169"/>
      <c r="O169"/>
      <c r="P169"/>
      <c r="Q169"/>
      <c r="R169"/>
      <c r="S169"/>
      <c r="T169"/>
      <c r="U169"/>
      <c r="X169"/>
      <c r="AB169"/>
      <c r="AC169"/>
      <c r="AF169" s="360">
        <v>1</v>
      </c>
      <c r="AG169" s="47"/>
      <c r="AH169" s="47"/>
      <c r="AI169" s="59"/>
      <c r="AJ169" s="43"/>
      <c r="AK169" s="63" t="str">
        <f>S.Staff.RG.Lead.FirstName&amp;":"</f>
        <v>AndreaG:</v>
      </c>
      <c r="AL169" s="76"/>
    </row>
    <row r="170" spans="1:39" s="23" customFormat="1" ht="14.1" customHeight="1" outlineLevel="2" thickBot="1">
      <c r="A170" s="145"/>
      <c r="B170" s="1074" t="s">
        <v>541</v>
      </c>
      <c r="C170" s="536" t="s">
        <v>115</v>
      </c>
      <c r="D170" s="188"/>
      <c r="E170" s="874"/>
      <c r="F170"/>
      <c r="G170" s="193" t="s">
        <v>0</v>
      </c>
      <c r="H170" s="193"/>
      <c r="I170" s="740"/>
      <c r="J170"/>
      <c r="K170"/>
      <c r="L170"/>
      <c r="M170"/>
      <c r="N170"/>
      <c r="O170"/>
      <c r="P170"/>
      <c r="Q170"/>
      <c r="R170"/>
      <c r="S170"/>
      <c r="T170"/>
      <c r="U170"/>
      <c r="X170"/>
      <c r="AB170"/>
      <c r="AC170"/>
      <c r="AF170" s="360">
        <v>1</v>
      </c>
      <c r="AG170" s="58"/>
      <c r="AH170" s="58"/>
      <c r="AI170" s="59"/>
      <c r="AJ170" s="43"/>
      <c r="AK170" s="47" t="s">
        <v>0</v>
      </c>
      <c r="AL170" s="76"/>
    </row>
    <row r="171" spans="1:39" s="23" customFormat="1" ht="14.1" customHeight="1" outlineLevel="2">
      <c r="A171" s="145"/>
      <c r="B171" s="1070" t="str">
        <f>AK171</f>
        <v>* saves email Rule_Development | 1-Planning | APPROVAL.ToMoveForward.pdf</v>
      </c>
      <c r="C171" s="506" t="str">
        <f>HYPERLINK("\\deqhq1\Rule_Development\Currrent Plan","i")</f>
        <v>i</v>
      </c>
      <c r="D171" s="188" t="s">
        <v>0</v>
      </c>
      <c r="E171" s="874"/>
      <c r="F171"/>
      <c r="G171" s="193" t="s">
        <v>0</v>
      </c>
      <c r="H171" s="193"/>
      <c r="I171" s="740"/>
      <c r="J171"/>
      <c r="K171"/>
      <c r="L171"/>
      <c r="M171"/>
      <c r="N171"/>
      <c r="O171"/>
      <c r="P171"/>
      <c r="Q171"/>
      <c r="R171"/>
      <c r="S171"/>
      <c r="T171"/>
      <c r="U171"/>
      <c r="X171"/>
      <c r="AB171"/>
      <c r="AC171"/>
      <c r="AF171" s="360">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 r="A172" s="145"/>
      <c r="B172" s="329"/>
      <c r="C172" s="329"/>
      <c r="D172" s="689"/>
      <c r="E172" s="689"/>
      <c r="F172" s="788"/>
      <c r="G172" s="286"/>
      <c r="H172" s="331"/>
      <c r="I172" s="39"/>
      <c r="AF172" s="360">
        <v>0</v>
      </c>
      <c r="AG172" s="76"/>
      <c r="AH172" s="76"/>
      <c r="AI172" s="108" t="s">
        <v>229</v>
      </c>
      <c r="AJ172" s="343"/>
      <c r="AK172" s="77"/>
      <c r="AL172" s="76"/>
    </row>
    <row r="173" spans="1:39" ht="20.25" customHeight="1" outlineLevel="1" thickBot="1">
      <c r="A173" s="145"/>
      <c r="B173" s="488" t="s">
        <v>722</v>
      </c>
      <c r="C173" s="90"/>
      <c r="D173" s="139"/>
      <c r="E173" s="139"/>
      <c r="F173"/>
      <c r="G173" s="90" t="s">
        <v>0</v>
      </c>
      <c r="H173" s="90"/>
      <c r="I173" s="740"/>
      <c r="AF173" s="360">
        <f>IF(S.Planning.DecisionToAddToPlan="A",1,0)</f>
        <v>1</v>
      </c>
      <c r="AG173" s="58"/>
      <c r="AH173" s="58"/>
      <c r="AI173" s="59"/>
      <c r="AJ173" s="43"/>
      <c r="AK173" s="47" t="s">
        <v>0</v>
      </c>
      <c r="AL173" s="76"/>
      <c r="AM173"/>
    </row>
    <row r="174" spans="1:39" s="23" customFormat="1" ht="14.1" customHeight="1" outlineLevel="1" thickBot="1">
      <c r="A174" s="145" t="s">
        <v>0</v>
      </c>
      <c r="B174" s="1065" t="str">
        <f>AK174</f>
        <v>Leah, Jerry &amp; AndreaG decide whether to expand team  'Y' to expand &gt;</v>
      </c>
      <c r="C174" s="536" t="s">
        <v>205</v>
      </c>
      <c r="D174" s="188" t="s">
        <v>784</v>
      </c>
      <c r="E174" s="874"/>
      <c r="F174"/>
      <c r="G174" s="90" t="s">
        <v>0</v>
      </c>
      <c r="H174" s="190">
        <f>AH174</f>
        <v>0</v>
      </c>
      <c r="I174" s="740"/>
      <c r="J174"/>
      <c r="K174"/>
      <c r="L174"/>
      <c r="M174"/>
      <c r="N174"/>
      <c r="O174"/>
      <c r="P174"/>
      <c r="Q174"/>
      <c r="R174"/>
      <c r="S174"/>
      <c r="T174"/>
      <c r="U174"/>
      <c r="X174"/>
      <c r="AB174"/>
      <c r="AC174"/>
      <c r="AF174" s="360">
        <f>IF(S.Planning.DecisionToAddToPlan="A",1,0)</f>
        <v>1</v>
      </c>
      <c r="AG174" s="58"/>
      <c r="AH174" s="60">
        <f>S.Planning.AddConceptToPlanDate</f>
        <v>0</v>
      </c>
      <c r="AI174" s="59"/>
      <c r="AJ174" s="62"/>
      <c r="AK174" s="78" t="str">
        <f>S.Staff.Program.Mgr.FirstName&amp;", "&amp;S.Staff.Subject.Expert.FirstName&amp;" &amp; "&amp;S.Staff.RG.Lead.FirstName&amp;" decide whether to expand team  'Y' to expand &gt;"</f>
        <v>Leah, Jerry &amp; AndreaG decide whether to expand team  'Y' to expand &gt;</v>
      </c>
      <c r="AL174" s="76"/>
    </row>
    <row r="175" spans="1:39" s="23" customFormat="1" ht="14.1" customHeight="1" outlineLevel="1">
      <c r="A175" s="145"/>
      <c r="B175" s="1065" t="str">
        <f>AK175</f>
        <v>Leah works with MargaretO obtains unique Q-Time number(s)</v>
      </c>
      <c r="C175" s="199"/>
      <c r="D175" s="188"/>
      <c r="E175" s="874"/>
      <c r="F175"/>
      <c r="G175" s="90" t="s">
        <v>0</v>
      </c>
      <c r="H175" s="190">
        <f>AH175</f>
        <v>0</v>
      </c>
      <c r="I175" s="740"/>
      <c r="J175"/>
      <c r="K175"/>
      <c r="L175"/>
      <c r="M175"/>
      <c r="N175"/>
      <c r="O175"/>
      <c r="P175"/>
      <c r="Q175"/>
      <c r="R175"/>
      <c r="S175"/>
      <c r="T175"/>
      <c r="U175"/>
      <c r="X175"/>
      <c r="AB175"/>
      <c r="AC175"/>
      <c r="AF175" s="360">
        <f>IF(S.Planning.DecisionToAddToPlan="A",1,0)</f>
        <v>1</v>
      </c>
      <c r="AG175" s="58"/>
      <c r="AH175" s="60">
        <f>S.Planning.AddConceptToPlanDate</f>
        <v>0</v>
      </c>
      <c r="AI175" s="59"/>
      <c r="AJ175" s="62"/>
      <c r="AK175" s="63" t="str">
        <f>S.Staff.Program.Mgr.FirstName&amp;" works with "&amp;S.Staff.Budget&amp;" obtains unique Q-Time number(s)"</f>
        <v>Leah works with MargaretO obtains unique Q-Time number(s)</v>
      </c>
      <c r="AL175" s="76"/>
    </row>
    <row r="176" spans="1:39" s="23" customFormat="1" ht="14.1" customHeight="1" outlineLevel="1">
      <c r="A176" s="145"/>
      <c r="B176" s="480" t="str">
        <f>AK176</f>
        <v>for this rulemaking fromRobertB</v>
      </c>
      <c r="C176" s="196"/>
      <c r="D176" s="702"/>
      <c r="E176" s="702"/>
      <c r="F176"/>
      <c r="G176" s="192"/>
      <c r="H176" s="193"/>
      <c r="I176" s="740"/>
      <c r="AF176" s="360">
        <f>IF(S.Planning.DecisionToAddToPlan="A",1,0)</f>
        <v>1</v>
      </c>
      <c r="AG176" s="58"/>
      <c r="AH176" s="58"/>
      <c r="AI176" s="59"/>
      <c r="AJ176" s="43"/>
      <c r="AK176" s="670" t="str">
        <f>"for this rulemaking from"&amp;S.Staff.TimeAccounting</f>
        <v>for this rulemaking fromRobertB</v>
      </c>
      <c r="AL176" s="76"/>
    </row>
    <row r="177" spans="1:38" s="23" customFormat="1" ht="14.1" customHeight="1" outlineLevel="1">
      <c r="A177" s="145"/>
      <c r="B177" s="342" t="str">
        <f>AK177</f>
        <v>Leah is responsible for:</v>
      </c>
      <c r="C177" s="196"/>
      <c r="D177" s="702"/>
      <c r="E177" s="702"/>
      <c r="F177"/>
      <c r="G177" s="192"/>
      <c r="H177" s="193"/>
      <c r="I177" s="740"/>
      <c r="J177"/>
      <c r="K177"/>
      <c r="L177"/>
      <c r="M177"/>
      <c r="N177"/>
      <c r="O177"/>
      <c r="P177"/>
      <c r="Q177"/>
      <c r="R177"/>
      <c r="S177"/>
      <c r="T177"/>
      <c r="U177"/>
      <c r="X177"/>
      <c r="AB177"/>
      <c r="AC177"/>
      <c r="AF177" s="360">
        <f>IF(S.Planning.DecisionToAddToPlan="A",1,0)</f>
        <v>1</v>
      </c>
      <c r="AG177" s="58"/>
      <c r="AH177" s="58"/>
      <c r="AI177" s="59"/>
      <c r="AJ177" s="43"/>
      <c r="AK177" s="78" t="str">
        <f>S.Staff.Program.Mgr.FirstName&amp;" is responsible for:"</f>
        <v>Leah is responsible for:</v>
      </c>
      <c r="AL177" s="76"/>
    </row>
    <row r="178" spans="1:38" s="23" customFormat="1" ht="14.1" hidden="1" customHeight="1" outlineLevel="1">
      <c r="A178" s="145"/>
      <c r="B178" s="269" t="s">
        <v>553</v>
      </c>
      <c r="C178" s="199"/>
      <c r="D178"/>
      <c r="F178"/>
      <c r="G178" s="192"/>
      <c r="H178" s="192"/>
      <c r="I178" s="740"/>
      <c r="J178"/>
      <c r="K178"/>
      <c r="L178"/>
      <c r="M178"/>
      <c r="N178"/>
      <c r="O178"/>
      <c r="P178"/>
      <c r="Q178"/>
      <c r="R178"/>
      <c r="S178"/>
      <c r="T178"/>
      <c r="U178"/>
      <c r="X178"/>
      <c r="AB178"/>
      <c r="AC178"/>
      <c r="AF178" s="360">
        <f>IF(S.Planning.ExpandTeam="N",0,IF(S.Planning.DecisionToAddToPlan="A",1,0))</f>
        <v>0</v>
      </c>
      <c r="AG178" s="58"/>
      <c r="AH178" s="58"/>
      <c r="AI178" s="59"/>
      <c r="AJ178" s="62"/>
      <c r="AK178" s="345"/>
      <c r="AL178" s="76"/>
    </row>
    <row r="179" spans="1:38" s="23" customFormat="1" ht="14.1" hidden="1" customHeight="1" outlineLevel="1">
      <c r="A179" s="145"/>
      <c r="B179" s="269" t="s">
        <v>551</v>
      </c>
      <c r="C179" s="199"/>
      <c r="D179"/>
      <c r="F179"/>
      <c r="G179" s="192"/>
      <c r="H179" s="192"/>
      <c r="I179" s="740"/>
      <c r="J179"/>
      <c r="K179"/>
      <c r="L179"/>
      <c r="M179"/>
      <c r="N179"/>
      <c r="O179"/>
      <c r="P179"/>
      <c r="Q179"/>
      <c r="R179"/>
      <c r="S179"/>
      <c r="T179"/>
      <c r="U179"/>
      <c r="X179"/>
      <c r="AB179"/>
      <c r="AC179"/>
      <c r="AF179" s="360">
        <f>IF(S.Planning.ExpandTeam="N",0,IF(S.Planning.DecisionToAddToPlan="A",1,0))</f>
        <v>0</v>
      </c>
      <c r="AG179" s="58"/>
      <c r="AH179" s="58"/>
      <c r="AI179" s="59"/>
      <c r="AJ179" s="62"/>
      <c r="AK179" s="345"/>
      <c r="AL179" s="76"/>
    </row>
    <row r="180" spans="1:38" s="23" customFormat="1" ht="14.1" customHeight="1" outlineLevel="1">
      <c r="A180" s="145" t="s">
        <v>0</v>
      </c>
      <c r="B180" s="302" t="s">
        <v>552</v>
      </c>
      <c r="C180" s="559"/>
      <c r="D180" s="702"/>
      <c r="E180" s="702"/>
      <c r="F180"/>
      <c r="G180" s="90" t="s">
        <v>0</v>
      </c>
      <c r="H180" s="90"/>
      <c r="I180" s="740"/>
      <c r="AF180" s="360">
        <f t="shared" ref="AF180:AF191" si="5">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t="s">
        <v>784</v>
      </c>
      <c r="E181" s="874"/>
      <c r="F181"/>
      <c r="G181" s="90" t="s">
        <v>0</v>
      </c>
      <c r="H181" s="190">
        <f>AH181</f>
        <v>0</v>
      </c>
      <c r="I181" s="740"/>
      <c r="AF181" s="360">
        <f t="shared" si="5"/>
        <v>1</v>
      </c>
      <c r="AG181" s="58"/>
      <c r="AH181" s="60">
        <f>S.Planning.AddConceptToPlanDate</f>
        <v>0</v>
      </c>
      <c r="AI181" s="59"/>
      <c r="AJ181" s="43"/>
      <c r="AK181" s="63" t="str">
        <f>S.Staff.RG.Lead.FirstName&amp;" drafts SCHEDULE:"</f>
        <v>AndreaG drafts SCHEDULE:</v>
      </c>
      <c r="AL181" s="76"/>
    </row>
    <row r="182" spans="1:38" s="23" customFormat="1" ht="14.1" customHeight="1" outlineLevel="1">
      <c r="A182" s="145"/>
      <c r="B182" s="267" t="str">
        <f>AK182</f>
        <v>Jerry &amp; AndreaG refine &amp; agree on draft schedule:</v>
      </c>
      <c r="C182" s="195" t="s">
        <v>0</v>
      </c>
      <c r="D182" s="188" t="s">
        <v>784</v>
      </c>
      <c r="E182" s="874"/>
      <c r="F182"/>
      <c r="G182" s="90" t="s">
        <v>0</v>
      </c>
      <c r="H182" s="190">
        <f>AH182</f>
        <v>0</v>
      </c>
      <c r="I182" s="740"/>
      <c r="AF182" s="360">
        <f t="shared" si="5"/>
        <v>1</v>
      </c>
      <c r="AG182" s="58"/>
      <c r="AH182" s="60">
        <f>S.Planning.AddConceptToPlanDate</f>
        <v>0</v>
      </c>
      <c r="AI182" s="59"/>
      <c r="AJ182" s="43"/>
      <c r="AK182" s="63" t="str">
        <f>S.Staff.Subject.Expert.FirstName&amp;" &amp; "&amp;S.Staff.RG.Lead.FirstName&amp;" refine &amp; agree on draft schedule:"</f>
        <v>Jerry &amp; AndreaG refine &amp; agree on draft schedule:</v>
      </c>
      <c r="AL182" s="76"/>
    </row>
    <row r="183" spans="1:38" s="23" customFormat="1" ht="14.1" customHeight="1" outlineLevel="1">
      <c r="A183" s="145"/>
      <c r="B183" s="267" t="str">
        <f>AK183</f>
        <v>Jerry schedules/holds team meeting(s) for consensus on:</v>
      </c>
      <c r="C183" s="195" t="s">
        <v>0</v>
      </c>
      <c r="D183" s="188" t="s">
        <v>784</v>
      </c>
      <c r="E183" s="874"/>
      <c r="F183"/>
      <c r="G183" s="190">
        <f>AG183</f>
        <v>0</v>
      </c>
      <c r="H183" s="190">
        <f>AH183</f>
        <v>0</v>
      </c>
      <c r="I183" s="740"/>
      <c r="J183"/>
      <c r="K183"/>
      <c r="L183"/>
      <c r="M183"/>
      <c r="N183"/>
      <c r="O183"/>
      <c r="P183"/>
      <c r="Q183"/>
      <c r="R183"/>
      <c r="S183"/>
      <c r="T183"/>
      <c r="U183"/>
      <c r="X183"/>
      <c r="AB183"/>
      <c r="AC183"/>
      <c r="AF183" s="360">
        <f t="shared" si="5"/>
        <v>1</v>
      </c>
      <c r="AG183" s="60">
        <f>S.Planning.AddConceptToPlanDate</f>
        <v>0</v>
      </c>
      <c r="AH183" s="60">
        <f>G183</f>
        <v>0</v>
      </c>
      <c r="AI183" s="59"/>
      <c r="AJ183" s="43"/>
      <c r="AK183" s="63" t="str">
        <f>S.Staff.Subject.Expert.FirstName&amp;" schedules/holds team meeting(s) for consensus on:"</f>
        <v>Jerry schedules/holds team meeting(s) for consensus on:</v>
      </c>
      <c r="AL183" s="76"/>
    </row>
    <row r="184" spans="1:38" s="23" customFormat="1" ht="14.1" customHeight="1" outlineLevel="1">
      <c r="A184" s="145"/>
      <c r="B184" s="302" t="s">
        <v>543</v>
      </c>
      <c r="C184" s="559"/>
      <c r="D184" s="702"/>
      <c r="E184" s="702"/>
      <c r="F184" s="89"/>
      <c r="G184" s="90" t="s">
        <v>0</v>
      </c>
      <c r="H184" s="90"/>
      <c r="I184" s="740"/>
      <c r="J184"/>
      <c r="K184"/>
      <c r="L184"/>
      <c r="M184"/>
      <c r="N184"/>
      <c r="O184"/>
      <c r="P184"/>
      <c r="Q184"/>
      <c r="R184"/>
      <c r="S184"/>
      <c r="T184"/>
      <c r="U184"/>
      <c r="X184"/>
      <c r="AB184"/>
      <c r="AC184"/>
      <c r="AF184" s="360">
        <f t="shared" si="5"/>
        <v>1</v>
      </c>
      <c r="AG184" s="58"/>
      <c r="AH184" s="58"/>
      <c r="AI184" s="59"/>
      <c r="AJ184" s="62"/>
      <c r="AK184" s="72" t="s">
        <v>0</v>
      </c>
      <c r="AL184" s="76"/>
    </row>
    <row r="185" spans="1:38" s="23" customFormat="1" ht="14.1" customHeight="1" outlineLevel="1">
      <c r="A185" s="145"/>
      <c r="B185" s="302" t="s">
        <v>545</v>
      </c>
      <c r="C185" s="559"/>
      <c r="D185" s="702"/>
      <c r="E185" s="702"/>
      <c r="F185" s="89"/>
      <c r="G185" s="90" t="s">
        <v>0</v>
      </c>
      <c r="H185" s="90"/>
      <c r="I185" s="740"/>
      <c r="J185"/>
      <c r="K185"/>
      <c r="L185"/>
      <c r="M185"/>
      <c r="N185"/>
      <c r="O185"/>
      <c r="P185"/>
      <c r="Q185"/>
      <c r="R185"/>
      <c r="S185"/>
      <c r="T185"/>
      <c r="U185"/>
      <c r="X185"/>
      <c r="AB185"/>
      <c r="AC185"/>
      <c r="AF185" s="360">
        <f t="shared" si="5"/>
        <v>1</v>
      </c>
      <c r="AG185" s="58"/>
      <c r="AH185" s="58"/>
      <c r="AI185" s="59"/>
      <c r="AJ185" s="62"/>
      <c r="AK185" s="72" t="s">
        <v>0</v>
      </c>
      <c r="AL185" s="76"/>
    </row>
    <row r="186" spans="1:38" s="23" customFormat="1" ht="14.1" customHeight="1" outlineLevel="1">
      <c r="A186" s="145" t="s">
        <v>0</v>
      </c>
      <c r="B186" s="302" t="s">
        <v>544</v>
      </c>
      <c r="C186" s="559"/>
      <c r="D186" s="702"/>
      <c r="E186" s="702"/>
      <c r="F186" s="89"/>
      <c r="G186" s="90" t="s">
        <v>0</v>
      </c>
      <c r="H186" s="90"/>
      <c r="I186" s="740"/>
      <c r="J186"/>
      <c r="K186"/>
      <c r="L186"/>
      <c r="M186"/>
      <c r="N186"/>
      <c r="O186"/>
      <c r="P186"/>
      <c r="Q186"/>
      <c r="R186"/>
      <c r="S186"/>
      <c r="T186"/>
      <c r="U186"/>
      <c r="X186"/>
      <c r="AB186"/>
      <c r="AC186"/>
      <c r="AF186" s="360">
        <f t="shared" si="5"/>
        <v>1</v>
      </c>
      <c r="AG186" s="58"/>
      <c r="AH186" s="58"/>
      <c r="AI186" s="59"/>
      <c r="AJ186" s="62"/>
      <c r="AK186" s="72" t="s">
        <v>0</v>
      </c>
      <c r="AL186" s="76"/>
    </row>
    <row r="187" spans="1:38" s="23" customFormat="1" ht="14.1" customHeight="1" outlineLevel="1">
      <c r="A187" s="145" t="s">
        <v>0</v>
      </c>
      <c r="B187" s="302" t="s">
        <v>554</v>
      </c>
      <c r="C187" s="559"/>
      <c r="D187" s="702"/>
      <c r="E187" s="702"/>
      <c r="F187" s="89"/>
      <c r="G187" s="90" t="s">
        <v>0</v>
      </c>
      <c r="H187" s="90"/>
      <c r="I187" s="740"/>
      <c r="J187"/>
      <c r="K187"/>
      <c r="L187"/>
      <c r="M187"/>
      <c r="N187"/>
      <c r="O187"/>
      <c r="P187"/>
      <c r="Q187"/>
      <c r="R187"/>
      <c r="S187"/>
      <c r="T187"/>
      <c r="U187"/>
      <c r="X187"/>
      <c r="AB187"/>
      <c r="AC187"/>
      <c r="AF187" s="360">
        <f t="shared" si="5"/>
        <v>1</v>
      </c>
      <c r="AG187" s="58"/>
      <c r="AH187" s="58"/>
      <c r="AI187" s="59"/>
      <c r="AJ187" s="62"/>
      <c r="AK187" s="72" t="s">
        <v>0</v>
      </c>
      <c r="AL187" s="76"/>
    </row>
    <row r="188" spans="1:38" s="23" customFormat="1" ht="6" customHeight="1" outlineLevel="1">
      <c r="A188" s="145"/>
      <c r="B188" s="329"/>
      <c r="C188" s="329"/>
      <c r="D188" s="689"/>
      <c r="E188" s="689"/>
      <c r="F188" s="788"/>
      <c r="G188" s="286"/>
      <c r="H188" s="331"/>
      <c r="I188" s="39"/>
      <c r="AF188" s="360">
        <v>0</v>
      </c>
      <c r="AG188" s="76"/>
      <c r="AH188" s="76"/>
      <c r="AI188" s="108" t="s">
        <v>229</v>
      </c>
      <c r="AJ188" s="343"/>
      <c r="AK188" s="77"/>
      <c r="AL188" s="76"/>
    </row>
    <row r="189" spans="1:38" s="23" customFormat="1" ht="19.5" customHeight="1" outlineLevel="1">
      <c r="A189" s="145"/>
      <c r="B189" s="786" t="s">
        <v>279</v>
      </c>
      <c r="C189" s="90"/>
      <c r="D189" s="139"/>
      <c r="E189" s="139"/>
      <c r="F189" s="89"/>
      <c r="G189" s="90" t="s">
        <v>0</v>
      </c>
      <c r="H189" s="90"/>
      <c r="I189" s="740"/>
      <c r="J189"/>
      <c r="K189"/>
      <c r="L189"/>
      <c r="M189"/>
      <c r="N189"/>
      <c r="O189"/>
      <c r="P189"/>
      <c r="Q189"/>
      <c r="R189"/>
      <c r="S189"/>
      <c r="T189"/>
      <c r="U189"/>
      <c r="X189"/>
      <c r="AB189"/>
      <c r="AC189"/>
      <c r="AF189" s="360">
        <f t="shared" si="5"/>
        <v>1</v>
      </c>
      <c r="AG189" s="58"/>
      <c r="AH189" s="58"/>
      <c r="AI189" s="59"/>
      <c r="AJ189" s="43"/>
      <c r="AK189" s="47" t="s">
        <v>0</v>
      </c>
      <c r="AL189" s="76"/>
    </row>
    <row r="190" spans="1:38" s="23" customFormat="1" ht="15.75" customHeight="1" outlineLevel="2">
      <c r="A190" s="145"/>
      <c r="B190" s="303" t="str">
        <f>AK190</f>
        <v>Jerry schedules/holds meeting with Leah and</v>
      </c>
      <c r="C190" s="523"/>
      <c r="D190" s="524" t="s">
        <v>784</v>
      </c>
      <c r="E190" s="875"/>
      <c r="F190"/>
      <c r="G190" s="190">
        <f>AG190</f>
        <v>0</v>
      </c>
      <c r="H190" s="190">
        <f>AH190</f>
        <v>0</v>
      </c>
      <c r="I190" s="740"/>
      <c r="J190"/>
      <c r="K190"/>
      <c r="L190"/>
      <c r="M190"/>
      <c r="N190"/>
      <c r="O190"/>
      <c r="P190"/>
      <c r="Q190"/>
      <c r="R190"/>
      <c r="S190"/>
      <c r="T190"/>
      <c r="U190"/>
      <c r="X190"/>
      <c r="AB190"/>
      <c r="AC190"/>
      <c r="AF190" s="360">
        <f t="shared" si="5"/>
        <v>1</v>
      </c>
      <c r="AG190" s="60">
        <f>S.Planning.AddConceptToPlanDate</f>
        <v>0</v>
      </c>
      <c r="AH190" s="60">
        <f>G190</f>
        <v>0</v>
      </c>
      <c r="AI190" s="59"/>
      <c r="AJ190" s="62"/>
      <c r="AK190" s="78" t="str">
        <f>IF(S.Planning.ExpandTeam="N",S.Staff.Subject.Expert.FirstName&amp;" schedules/holds meeting with "&amp;S.Staff.Program.Mgr.FirstName&amp;" and",S.Staff.Subject.Expert.FirstName&amp;" schedules/holds meeting with team, especially "&amp;S.Staff.Program.Mgr.FirstName&amp;",")</f>
        <v>Jerry schedules/holds meeting with Leah and</v>
      </c>
      <c r="AL190" s="76"/>
    </row>
    <row r="191" spans="1:38" s="23" customFormat="1" ht="15.75" customHeight="1" outlineLevel="2" thickBot="1">
      <c r="A191" s="145" t="s">
        <v>0</v>
      </c>
      <c r="B191" s="498" t="str">
        <f>AK191</f>
        <v>BrianW and AndreaG to discuss/determine need for:</v>
      </c>
      <c r="C191" s="199"/>
      <c r="D191" s="701"/>
      <c r="E191" s="701"/>
      <c r="F191"/>
      <c r="G191"/>
      <c r="H191"/>
      <c r="I191" s="740"/>
      <c r="J191"/>
      <c r="K191"/>
      <c r="L191"/>
      <c r="M191"/>
      <c r="N191"/>
      <c r="O191"/>
      <c r="P191"/>
      <c r="Q191"/>
      <c r="R191"/>
      <c r="S191"/>
      <c r="T191"/>
      <c r="U191"/>
      <c r="X191"/>
      <c r="AB191"/>
      <c r="AC191"/>
      <c r="AF191" s="360">
        <f t="shared" si="5"/>
        <v>1</v>
      </c>
      <c r="AG191" s="59"/>
      <c r="AH191" s="59"/>
      <c r="AI191" s="59"/>
      <c r="AJ191" s="62"/>
      <c r="AK191" s="564"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5" t="s">
        <v>331</v>
      </c>
      <c r="C192" s="536" t="s">
        <v>205</v>
      </c>
      <c r="D192" s="701"/>
      <c r="E192" s="701"/>
      <c r="F192"/>
      <c r="G192"/>
      <c r="H192"/>
      <c r="I192" s="740"/>
      <c r="J192"/>
      <c r="K192"/>
      <c r="L192"/>
      <c r="M192"/>
      <c r="N192"/>
      <c r="O192"/>
      <c r="P192"/>
      <c r="Q192"/>
      <c r="R192"/>
      <c r="S192"/>
      <c r="T192"/>
      <c r="U192"/>
      <c r="X192"/>
      <c r="AB192"/>
      <c r="AC192"/>
      <c r="AF192" s="360">
        <f>IF(S.Planning.CommunicationsPlan="Y",1,0)</f>
        <v>0</v>
      </c>
      <c r="AG192" s="59"/>
      <c r="AH192" s="59"/>
      <c r="AI192" s="901" t="str">
        <f>IF(AND(S.Planning.CommunicationsPlan="Y",S.Planning.MessageMap="Y",S.Notice.NewsRelease="Y"),"Y","N")</f>
        <v>N</v>
      </c>
      <c r="AJ192" s="62"/>
      <c r="AK192" s="44"/>
      <c r="AL192" s="76"/>
    </row>
    <row r="193" spans="1:39" s="23" customFormat="1" ht="15.75" customHeight="1" outlineLevel="2" thickBot="1">
      <c r="A193" s="145"/>
      <c r="B193" s="725" t="s">
        <v>332</v>
      </c>
      <c r="C193" s="535" t="s">
        <v>16</v>
      </c>
      <c r="D193" s="701"/>
      <c r="E193" s="701"/>
      <c r="F193"/>
      <c r="G193"/>
      <c r="H193"/>
      <c r="I193" s="740"/>
      <c r="J193"/>
      <c r="K193"/>
      <c r="L193"/>
      <c r="M193"/>
      <c r="N193"/>
      <c r="O193"/>
      <c r="P193"/>
      <c r="Q193"/>
      <c r="R193"/>
      <c r="S193"/>
      <c r="T193"/>
      <c r="U193"/>
      <c r="X193"/>
      <c r="AB193"/>
      <c r="AC193"/>
      <c r="AF193" s="360">
        <f>IF(S.Planning.MessageMap="Y",1,0)</f>
        <v>1</v>
      </c>
      <c r="AG193" s="59"/>
      <c r="AH193" s="59"/>
      <c r="AI193" s="59"/>
      <c r="AJ193" s="62"/>
      <c r="AK193" s="44"/>
      <c r="AL193" s="76"/>
    </row>
    <row r="194" spans="1:39" s="23" customFormat="1" ht="15" hidden="1" customHeight="1" outlineLevel="2" thickBot="1">
      <c r="A194" s="145"/>
      <c r="B194" s="725" t="s">
        <v>583</v>
      </c>
      <c r="C194" s="535" t="s">
        <v>16</v>
      </c>
      <c r="D194" s="701"/>
      <c r="E194" s="701"/>
      <c r="F194" s="257" t="s">
        <v>0</v>
      </c>
      <c r="G194" s="258"/>
      <c r="H194" s="258"/>
      <c r="I194" s="740"/>
      <c r="AF194" s="360">
        <f>IF(S.Notice.AD.Involved="Y",1,0)</f>
        <v>1</v>
      </c>
      <c r="AG194" s="58" t="s">
        <v>0</v>
      </c>
      <c r="AH194" s="58"/>
      <c r="AI194" s="58"/>
      <c r="AJ194" s="66"/>
      <c r="AK194" s="44"/>
      <c r="AL194" s="76"/>
    </row>
    <row r="195" spans="1:39" s="23" customFormat="1" ht="15" hidden="1" customHeight="1" outlineLevel="2" thickBot="1">
      <c r="A195" s="145"/>
      <c r="B195" s="725" t="s">
        <v>611</v>
      </c>
      <c r="C195" s="535" t="s">
        <v>205</v>
      </c>
      <c r="D195" s="701"/>
      <c r="E195" s="701"/>
      <c r="F195" s="257" t="s">
        <v>0</v>
      </c>
      <c r="G195" s="258"/>
      <c r="H195" s="258"/>
      <c r="I195" s="740"/>
      <c r="AF195" s="360">
        <f>IF(S.Notice.NewsRelease="Y",1,0)</f>
        <v>0</v>
      </c>
      <c r="AG195" s="58" t="s">
        <v>0</v>
      </c>
      <c r="AH195" s="58"/>
      <c r="AI195" s="58"/>
      <c r="AJ195" s="66"/>
      <c r="AK195" s="44"/>
      <c r="AL195" s="76"/>
    </row>
    <row r="196" spans="1:39" s="23" customFormat="1" ht="15" hidden="1" customHeight="1" outlineLevel="2" thickBot="1">
      <c r="A196" s="145"/>
      <c r="B196" s="725" t="s">
        <v>333</v>
      </c>
      <c r="C196" s="535" t="s">
        <v>205</v>
      </c>
      <c r="D196" s="701"/>
      <c r="E196" s="701"/>
      <c r="F196" s="257" t="s">
        <v>0</v>
      </c>
      <c r="G196" s="258"/>
      <c r="H196" s="258"/>
      <c r="I196" s="740"/>
      <c r="J196"/>
      <c r="K196"/>
      <c r="L196"/>
      <c r="M196"/>
      <c r="N196"/>
      <c r="O196"/>
      <c r="P196"/>
      <c r="Q196"/>
      <c r="R196"/>
      <c r="S196"/>
      <c r="T196"/>
      <c r="U196"/>
      <c r="X196"/>
      <c r="AB196"/>
      <c r="AC196"/>
      <c r="AF196" s="360">
        <f>IF(S.Planning.ProgramWebPage="Y",1,0)</f>
        <v>0</v>
      </c>
      <c r="AG196" s="58" t="s">
        <v>0</v>
      </c>
      <c r="AH196" s="58"/>
      <c r="AI196" s="58"/>
      <c r="AJ196" s="66"/>
      <c r="AK196" s="44"/>
      <c r="AL196" s="76"/>
    </row>
    <row r="197" spans="1:39" s="23" customFormat="1" ht="15.75" hidden="1" customHeight="1" outlineLevel="2" thickBot="1">
      <c r="A197" s="145"/>
      <c r="B197" s="730" t="s">
        <v>334</v>
      </c>
      <c r="C197" s="535" t="s">
        <v>205</v>
      </c>
      <c r="D197" s="701"/>
      <c r="E197" s="701"/>
      <c r="F197" s="262"/>
      <c r="G197" s="258" t="s">
        <v>0</v>
      </c>
      <c r="H197" s="258"/>
      <c r="I197" s="740"/>
      <c r="J197"/>
      <c r="K197"/>
      <c r="L197"/>
      <c r="M197"/>
      <c r="N197"/>
      <c r="O197"/>
      <c r="P197"/>
      <c r="Q197"/>
      <c r="R197"/>
      <c r="S197"/>
      <c r="T197"/>
      <c r="U197"/>
      <c r="X197"/>
      <c r="AB197"/>
      <c r="AC197"/>
      <c r="AF197" s="360">
        <f>IF(S.Notice.InformationMeeting="N",,1)</f>
        <v>0</v>
      </c>
      <c r="AG197" s="58"/>
      <c r="AH197" s="58"/>
      <c r="AI197" s="59"/>
      <c r="AJ197" s="43"/>
      <c r="AK197" s="380"/>
      <c r="AL197" s="76"/>
    </row>
    <row r="198" spans="1:39" s="23" customFormat="1" ht="6" customHeight="1" outlineLevel="2">
      <c r="A198" s="145"/>
      <c r="B198" s="329"/>
      <c r="C198" s="329"/>
      <c r="D198" s="689"/>
      <c r="E198" s="689"/>
      <c r="F198" s="788"/>
      <c r="G198" s="286"/>
      <c r="H198" s="331"/>
      <c r="I198" s="39"/>
      <c r="AF198" s="360">
        <v>0</v>
      </c>
      <c r="AG198" s="76"/>
      <c r="AH198" s="76"/>
      <c r="AI198" s="108" t="s">
        <v>229</v>
      </c>
      <c r="AJ198" s="343"/>
      <c r="AK198" s="77"/>
      <c r="AL198" s="76"/>
    </row>
    <row r="199" spans="1:39" s="23" customFormat="1" ht="20.25" hidden="1" customHeight="1" outlineLevel="3">
      <c r="A199" s="145"/>
      <c r="B199" s="787" t="s">
        <v>640</v>
      </c>
      <c r="C199"/>
      <c r="D199" s="271"/>
      <c r="E199" s="271"/>
      <c r="F199" s="257" t="s">
        <v>0</v>
      </c>
      <c r="G199" s="258"/>
      <c r="H199" s="258"/>
      <c r="I199" s="740"/>
      <c r="J199"/>
      <c r="K199"/>
      <c r="L199"/>
      <c r="M199"/>
      <c r="N199"/>
      <c r="O199"/>
      <c r="P199"/>
      <c r="Q199"/>
      <c r="R199"/>
      <c r="S199"/>
      <c r="T199"/>
      <c r="U199"/>
      <c r="X199"/>
      <c r="AB199"/>
      <c r="AC199"/>
      <c r="AF199" s="360">
        <f>IF(OR(S.Planning.CommunicationsPlan="Y",S.Planning.MessageMap="Y",S.Planning.ProgramWebPage="Y"),1,0)</f>
        <v>1</v>
      </c>
      <c r="AG199" s="58" t="s">
        <v>0</v>
      </c>
      <c r="AH199" s="58"/>
      <c r="AI199" s="58"/>
      <c r="AJ199" s="66"/>
      <c r="AK199" s="44"/>
      <c r="AL199" s="76"/>
    </row>
    <row r="200" spans="1:39" s="23" customFormat="1" ht="15" hidden="1" customHeight="1" outlineLevel="3">
      <c r="A200" s="145"/>
      <c r="B200" s="513" t="str">
        <f>AK200</f>
        <v>Jerry leads communication option review and approval loops for:</v>
      </c>
      <c r="C200" s="195" t="s">
        <v>0</v>
      </c>
      <c r="D200"/>
      <c r="F200"/>
      <c r="G200" s="726"/>
      <c r="H200"/>
      <c r="I200" s="740"/>
      <c r="J200"/>
      <c r="K200"/>
      <c r="L200"/>
      <c r="M200"/>
      <c r="N200"/>
      <c r="O200"/>
      <c r="P200"/>
      <c r="Q200"/>
      <c r="R200"/>
      <c r="S200"/>
      <c r="T200"/>
      <c r="U200"/>
      <c r="X200"/>
      <c r="AB200"/>
      <c r="AC200"/>
      <c r="AF200" s="360">
        <f>IF(OR(S.Planning.CommunicationsPlan="Y",S.Planning.MessageMap="Y",S.Planning.ProgramWebPage="Y"),1,0)</f>
        <v>1</v>
      </c>
      <c r="AG200" s="58"/>
      <c r="AH200" s="58"/>
      <c r="AI200" s="59"/>
      <c r="AJ200" s="43"/>
      <c r="AK200" s="63" t="str">
        <f>S.Staff.Subject.Expert.FirstName&amp;" leads communication option review and approval loops for:"</f>
        <v>Jerry leads communication option review and approval loops for:</v>
      </c>
      <c r="AL200" s="76"/>
    </row>
    <row r="201" spans="1:39" s="23" customFormat="1" ht="15.75" hidden="1" customHeight="1" outlineLevel="3">
      <c r="A201" s="145"/>
      <c r="B201" s="515" t="str">
        <f>AK201</f>
        <v>* drafting COMMUNICATION.PLAN with BrianW using information</v>
      </c>
      <c r="C201" s="506" t="str">
        <f>HYPERLINK("http://deq05/intranet/communication/publicinvolvement/index.htm","i")</f>
        <v>i</v>
      </c>
      <c r="D201" s="188"/>
      <c r="E201" s="874"/>
      <c r="F201"/>
      <c r="G201" s="259">
        <f>AG201</f>
        <v>0</v>
      </c>
      <c r="H201" s="256">
        <f>AH201</f>
        <v>0</v>
      </c>
      <c r="I201" s="740"/>
      <c r="J201"/>
      <c r="K201"/>
      <c r="L201"/>
      <c r="M201"/>
      <c r="N201"/>
      <c r="O201"/>
      <c r="P201"/>
      <c r="Q201"/>
      <c r="R201"/>
      <c r="S201"/>
      <c r="T201"/>
      <c r="U201"/>
      <c r="X201"/>
      <c r="AB201"/>
      <c r="AC201"/>
      <c r="AF201" s="360">
        <f>IF(S.Planning.CommunicationsPlan="Y",1,0)</f>
        <v>0</v>
      </c>
      <c r="AG201" s="60">
        <f>S.Planning.CommunicationMeeting</f>
        <v>0</v>
      </c>
      <c r="AH201" s="60">
        <f>G201</f>
        <v>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16" t="s">
        <v>546</v>
      </c>
      <c r="C202" s="727" t="s">
        <v>0</v>
      </c>
      <c r="D202" s="728"/>
      <c r="E202" s="876"/>
      <c r="F202"/>
      <c r="G202" s="264" t="s">
        <v>0</v>
      </c>
      <c r="I202" s="740"/>
      <c r="AF202" s="360">
        <f>IF(S.Planning.CommunicationsPlan="Y",1,0)</f>
        <v>0</v>
      </c>
      <c r="AG202" s="58" t="s">
        <v>0</v>
      </c>
      <c r="AH202" s="58"/>
      <c r="AI202" s="47"/>
      <c r="AJ202" s="44"/>
      <c r="AK202" s="44"/>
      <c r="AL202" s="76"/>
    </row>
    <row r="203" spans="1:39" ht="15.75" hidden="1" customHeight="1" outlineLevel="3">
      <c r="A203" s="145"/>
      <c r="B203" s="514" t="str">
        <f>AK203</f>
        <v>* drafting MESSAGE.MAP with BrianW</v>
      </c>
      <c r="C203" s="506" t="str">
        <f>HYPERLINK("http://deq05/intranet/communication/index.htm","i")</f>
        <v>i</v>
      </c>
      <c r="D203" s="188"/>
      <c r="E203" s="874"/>
      <c r="F203"/>
      <c r="G203" s="256">
        <f>AG203</f>
        <v>0</v>
      </c>
      <c r="H203" s="256">
        <f>AH203</f>
        <v>0</v>
      </c>
      <c r="I203" s="740"/>
      <c r="AF203" s="361">
        <f>IF(S.Planning.MessageMap="Y",1,0)</f>
        <v>1</v>
      </c>
      <c r="AG203" s="60">
        <f>G201</f>
        <v>0</v>
      </c>
      <c r="AH203" s="60">
        <f>G203</f>
        <v>0</v>
      </c>
      <c r="AI203" s="59"/>
      <c r="AJ203" s="59"/>
      <c r="AK203" s="78" t="str">
        <f>"* drafting MESSAGE.MAP with "&amp;S.Staff.PublicAffairsOfficer</f>
        <v>* drafting MESSAGE.MAP with BrianW</v>
      </c>
      <c r="AL203" s="76"/>
      <c r="AM203"/>
    </row>
    <row r="204" spans="1:39" s="23" customFormat="1" ht="15" hidden="1" customHeight="1" outlineLevel="3">
      <c r="A204" s="145"/>
      <c r="B204" s="514" t="str">
        <f>AK204</f>
        <v>* drafting  PROGRAM.WEB.PAGE content with team and Michele</v>
      </c>
      <c r="C204" s="268"/>
      <c r="D204" s="188"/>
      <c r="E204" s="874"/>
      <c r="F204"/>
      <c r="G204" s="259">
        <f>AG204</f>
        <v>0</v>
      </c>
      <c r="H204" s="256">
        <f>AH204</f>
        <v>0</v>
      </c>
      <c r="I204" s="740"/>
      <c r="J204"/>
      <c r="K204"/>
      <c r="L204"/>
      <c r="M204"/>
      <c r="N204"/>
      <c r="O204"/>
      <c r="P204"/>
      <c r="Q204"/>
      <c r="R204"/>
      <c r="S204"/>
      <c r="T204"/>
      <c r="U204"/>
      <c r="X204"/>
      <c r="AB204"/>
      <c r="AC204"/>
      <c r="AF204" s="361">
        <f>IF(S.Planning.ProgramWebPage="Y",1,0)</f>
        <v>0</v>
      </c>
      <c r="AG204" s="60">
        <f>G203</f>
        <v>0</v>
      </c>
      <c r="AH204" s="60">
        <f>G204</f>
        <v>0</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3" t="str">
        <f>AK205</f>
        <v>Leah:</v>
      </c>
      <c r="C205" s="195" t="s">
        <v>0</v>
      </c>
      <c r="D205" s="197"/>
      <c r="E205" s="873"/>
      <c r="F205"/>
      <c r="G205" s="350"/>
      <c r="H205" s="350"/>
      <c r="I205" s="740"/>
      <c r="J205"/>
      <c r="K205"/>
      <c r="L205"/>
      <c r="M205"/>
      <c r="N205"/>
      <c r="O205"/>
      <c r="P205"/>
      <c r="Q205"/>
      <c r="R205"/>
      <c r="S205"/>
      <c r="T205"/>
      <c r="U205"/>
      <c r="X205"/>
      <c r="AB205"/>
      <c r="AC205"/>
      <c r="AF205" s="360">
        <f>IF(OR(S.Planning.CommunicationsPlan="Y",S.Planning.MessageMap="Y",S.Planning.ProgramWebPage="Y"),1,0)</f>
        <v>1</v>
      </c>
      <c r="AG205" s="47"/>
      <c r="AH205" s="47"/>
      <c r="AI205" s="59"/>
      <c r="AJ205" s="43"/>
      <c r="AK205" s="63" t="str">
        <f>S.Staff.Program.Mgr.FirstName&amp;":"</f>
        <v>Leah:</v>
      </c>
      <c r="AL205" s="76"/>
    </row>
    <row r="206" spans="1:39" s="23" customFormat="1" ht="15" hidden="1" customHeight="1" outlineLevel="3">
      <c r="A206" s="145"/>
      <c r="B206" s="514" t="str">
        <f>AK206</f>
        <v>* shares content with Lydia and approves content:</v>
      </c>
      <c r="C206" s="268"/>
      <c r="D206" s="281"/>
      <c r="E206" s="876"/>
      <c r="F206"/>
      <c r="G206" s="256">
        <f t="shared" ref="G206:H211" si="6">AG206</f>
        <v>0</v>
      </c>
      <c r="H206" s="256">
        <f t="shared" si="6"/>
        <v>0</v>
      </c>
      <c r="I206" s="740"/>
      <c r="J206"/>
      <c r="K206"/>
      <c r="L206"/>
      <c r="M206"/>
      <c r="N206"/>
      <c r="O206"/>
      <c r="P206"/>
      <c r="Q206"/>
      <c r="R206"/>
      <c r="S206"/>
      <c r="T206"/>
      <c r="U206"/>
      <c r="X206"/>
      <c r="AB206"/>
      <c r="AC206"/>
      <c r="AF206" s="360">
        <f>IF(OR(S.Planning.CommunicationsPlan="Y",S.Planning.MessageMap="Y",S.Planning.ProgramWebPage="Y"),1,0)</f>
        <v>1</v>
      </c>
      <c r="AG206" s="60">
        <f>H204</f>
        <v>0</v>
      </c>
      <c r="AH206" s="60">
        <f t="shared" ref="AH206:AH211" si="7">G206</f>
        <v>0</v>
      </c>
      <c r="AI206" s="58"/>
      <c r="AJ206" s="44"/>
      <c r="AK206" s="182" t="str">
        <f>"* shares content with "&amp;S.Staff.Assistant.DA.ShortName&amp;" and approves content:"</f>
        <v>* shares content with Lydia and approves content:</v>
      </c>
      <c r="AL206" s="76"/>
    </row>
    <row r="207" spans="1:39" s="23" customFormat="1" ht="15" hidden="1" customHeight="1" outlineLevel="3" thickBot="1">
      <c r="A207" s="145"/>
      <c r="B207" s="516" t="s">
        <v>261</v>
      </c>
      <c r="C207" s="537" t="s">
        <v>0</v>
      </c>
      <c r="D207" s="281"/>
      <c r="E207" s="876"/>
      <c r="F207"/>
      <c r="G207" s="256">
        <f t="shared" si="6"/>
        <v>0</v>
      </c>
      <c r="H207" s="256">
        <f t="shared" si="6"/>
        <v>0</v>
      </c>
      <c r="I207" s="740"/>
      <c r="J207"/>
      <c r="K207"/>
      <c r="L207"/>
      <c r="M207"/>
      <c r="N207"/>
      <c r="O207"/>
      <c r="P207"/>
      <c r="Q207"/>
      <c r="R207"/>
      <c r="S207"/>
      <c r="T207"/>
      <c r="U207"/>
      <c r="X207"/>
      <c r="AB207"/>
      <c r="AC207"/>
      <c r="AF207" s="360">
        <f>IF(OR(S.Planning.CommunicationsPlan="Y",S.Planning.MessageMap="Y",S.Planning.ProgramWebPage="Y"),1,0)</f>
        <v>1</v>
      </c>
      <c r="AG207" s="60">
        <f>H206</f>
        <v>0</v>
      </c>
      <c r="AH207" s="60">
        <f t="shared" si="7"/>
        <v>0</v>
      </c>
      <c r="AI207" s="47"/>
      <c r="AJ207" s="44"/>
      <c r="AK207" s="72"/>
      <c r="AL207" s="76"/>
    </row>
    <row r="208" spans="1:39" s="23" customFormat="1" ht="15" hidden="1" customHeight="1" outlineLevel="3" thickBot="1">
      <c r="A208" s="145"/>
      <c r="B208" s="447" t="s">
        <v>262</v>
      </c>
      <c r="C208" s="477" t="s">
        <v>205</v>
      </c>
      <c r="D208" s="281"/>
      <c r="E208" s="876"/>
      <c r="F208"/>
      <c r="G208" s="259">
        <f t="shared" si="6"/>
        <v>0</v>
      </c>
      <c r="H208" s="256">
        <f t="shared" si="6"/>
        <v>0</v>
      </c>
      <c r="I208" s="740"/>
      <c r="J208"/>
      <c r="K208"/>
      <c r="L208"/>
      <c r="M208"/>
      <c r="N208"/>
      <c r="O208"/>
      <c r="P208"/>
      <c r="Q208"/>
      <c r="R208"/>
      <c r="S208"/>
      <c r="T208"/>
      <c r="U208"/>
      <c r="X208"/>
      <c r="AB208"/>
      <c r="AC208"/>
      <c r="AF208" s="360">
        <f>IF(S.Planning.ApproveCommunicationsLoop2="N",,IF(OR(S.Planning.CommunicationsPlan="Y",S.Planning.MessageMap="Y",S.Planning.ProgramWebPage="Y"),1,0))</f>
        <v>0</v>
      </c>
      <c r="AG208" s="60">
        <f>IF(AF208=0,,H207)</f>
        <v>0</v>
      </c>
      <c r="AH208" s="60">
        <f t="shared" si="7"/>
        <v>0</v>
      </c>
      <c r="AI208" s="47"/>
      <c r="AJ208" s="44"/>
      <c r="AK208" s="72"/>
      <c r="AL208" s="76"/>
    </row>
    <row r="209" spans="1:38" s="23" customFormat="1" ht="15" hidden="1" customHeight="1" outlineLevel="3" thickBot="1">
      <c r="A209" s="145"/>
      <c r="B209" s="444" t="s">
        <v>263</v>
      </c>
      <c r="C209" s="477" t="s">
        <v>205</v>
      </c>
      <c r="D209" s="281"/>
      <c r="E209" s="876"/>
      <c r="F209"/>
      <c r="G209" s="259">
        <f t="shared" si="6"/>
        <v>0</v>
      </c>
      <c r="H209" s="256">
        <f t="shared" si="6"/>
        <v>0</v>
      </c>
      <c r="I209" s="740"/>
      <c r="J209"/>
      <c r="K209"/>
      <c r="L209"/>
      <c r="M209"/>
      <c r="N209"/>
      <c r="O209"/>
      <c r="P209"/>
      <c r="Q209"/>
      <c r="R209"/>
      <c r="S209"/>
      <c r="T209"/>
      <c r="U209"/>
      <c r="X209"/>
      <c r="AB209"/>
      <c r="AC209"/>
      <c r="AF209" s="360">
        <f>IF(S.Planning.ApproveCommunicationsLoop3="N",,IF(OR(S.Planning.CommunicationsPlan="Y",S.Planning.MessageMap="Y",S.Planning.ProgramWebPage="Y"),1,0))</f>
        <v>0</v>
      </c>
      <c r="AG209" s="60">
        <f>IF(AF209=0,,H208)</f>
        <v>0</v>
      </c>
      <c r="AH209" s="60">
        <f t="shared" si="7"/>
        <v>0</v>
      </c>
      <c r="AI209" s="47"/>
      <c r="AJ209" s="44"/>
      <c r="AK209" s="72"/>
      <c r="AL209" s="76"/>
    </row>
    <row r="210" spans="1:38" s="23" customFormat="1" ht="15" hidden="1" customHeight="1" outlineLevel="3" thickBot="1">
      <c r="A210" s="145"/>
      <c r="B210" s="517" t="s">
        <v>265</v>
      </c>
      <c r="C210" s="477" t="s">
        <v>205</v>
      </c>
      <c r="D210" s="281"/>
      <c r="E210" s="876"/>
      <c r="F210"/>
      <c r="G210" s="259">
        <f t="shared" si="6"/>
        <v>0</v>
      </c>
      <c r="H210" s="256">
        <f t="shared" si="6"/>
        <v>0</v>
      </c>
      <c r="I210" s="740"/>
      <c r="J210"/>
      <c r="K210"/>
      <c r="L210"/>
      <c r="M210"/>
      <c r="N210"/>
      <c r="O210"/>
      <c r="P210"/>
      <c r="Q210"/>
      <c r="R210"/>
      <c r="S210"/>
      <c r="T210"/>
      <c r="U210"/>
      <c r="X210"/>
      <c r="AB210"/>
      <c r="AC210"/>
      <c r="AF210" s="360">
        <f>IF(S.Planning.ApproveCommunicationsLoop4="N",,IF(OR(S.Planning.CommunicationsPlan="Y",S.Planning.MessageMap="Y",S.Planning.ProgramWebPage="Y"),1,0))</f>
        <v>0</v>
      </c>
      <c r="AG210" s="60">
        <f>IF(AF210=0,,H209)</f>
        <v>0</v>
      </c>
      <c r="AH210" s="60">
        <f t="shared" si="7"/>
        <v>0</v>
      </c>
      <c r="AI210" s="47"/>
      <c r="AJ210" s="44"/>
      <c r="AK210" s="72"/>
      <c r="AL210" s="76"/>
    </row>
    <row r="211" spans="1:38" s="23" customFormat="1" ht="15" hidden="1" customHeight="1" outlineLevel="3">
      <c r="A211" s="145"/>
      <c r="B211" s="513" t="str">
        <f>AK211</f>
        <v>Jerry leads program Web page development:</v>
      </c>
      <c r="C211" s="195" t="s">
        <v>0</v>
      </c>
      <c r="D211" s="281"/>
      <c r="E211" s="876"/>
      <c r="F211"/>
      <c r="G211" s="259">
        <f t="shared" si="6"/>
        <v>41761</v>
      </c>
      <c r="H211" s="256">
        <f t="shared" si="6"/>
        <v>41761</v>
      </c>
      <c r="I211" s="740"/>
      <c r="J211"/>
      <c r="K211"/>
      <c r="L211"/>
      <c r="M211"/>
      <c r="N211"/>
      <c r="O211"/>
      <c r="P211"/>
      <c r="Q211"/>
      <c r="R211"/>
      <c r="S211"/>
      <c r="T211"/>
      <c r="U211"/>
      <c r="X211"/>
      <c r="AB211"/>
      <c r="AC211"/>
      <c r="AF211" s="360">
        <f>IF(S.Planning.ProgramWebPage="Y",1,0)</f>
        <v>0</v>
      </c>
      <c r="AG211" s="60">
        <f>S.AC.BANNER.Begin</f>
        <v>41761</v>
      </c>
      <c r="AH211" s="60">
        <f t="shared" si="7"/>
        <v>41761</v>
      </c>
      <c r="AI211" s="59"/>
      <c r="AJ211" s="43"/>
      <c r="AK211" s="63" t="str">
        <f>S.Staff.Subject.Expert.FirstName&amp;" leads program Web page development:"</f>
        <v>Jerry leads program Web page development:</v>
      </c>
      <c r="AL211" s="76"/>
    </row>
    <row r="212" spans="1:38" s="23" customFormat="1" ht="15" hidden="1" customHeight="1" outlineLevel="3">
      <c r="A212" s="145"/>
      <c r="B212" s="514" t="s">
        <v>548</v>
      </c>
      <c r="C212" s="282" t="s">
        <v>0</v>
      </c>
      <c r="D212" s="281"/>
      <c r="E212" s="876"/>
      <c r="F212"/>
      <c r="G212"/>
      <c r="H212"/>
      <c r="I212" s="740"/>
      <c r="J212"/>
      <c r="K212"/>
      <c r="L212"/>
      <c r="M212"/>
      <c r="N212"/>
      <c r="O212"/>
      <c r="P212"/>
      <c r="Q212"/>
      <c r="R212"/>
      <c r="S212"/>
      <c r="T212"/>
      <c r="U212"/>
      <c r="X212"/>
      <c r="AB212"/>
      <c r="AC212"/>
      <c r="AF212" s="360">
        <f>IF(S.Planning.ProgramWebPage="Y",1,0)</f>
        <v>0</v>
      </c>
      <c r="AG212" s="59"/>
      <c r="AH212" s="59"/>
      <c r="AI212" s="47"/>
      <c r="AJ212" s="44"/>
      <c r="AK212" s="72"/>
      <c r="AL212" s="76"/>
    </row>
    <row r="213" spans="1:38" s="23" customFormat="1" ht="15" hidden="1" customHeight="1" outlineLevel="3">
      <c r="A213" s="145" t="s">
        <v>229</v>
      </c>
      <c r="B213" s="514" t="s">
        <v>264</v>
      </c>
      <c r="C213" s="282" t="s">
        <v>0</v>
      </c>
      <c r="D213" s="281"/>
      <c r="E213" s="876"/>
      <c r="F213"/>
      <c r="G213"/>
      <c r="H213"/>
      <c r="I213" s="740"/>
      <c r="J213"/>
      <c r="K213"/>
      <c r="L213"/>
      <c r="M213"/>
      <c r="N213"/>
      <c r="O213"/>
      <c r="P213"/>
      <c r="Q213"/>
      <c r="R213"/>
      <c r="S213"/>
      <c r="T213"/>
      <c r="U213"/>
      <c r="X213"/>
      <c r="AB213"/>
      <c r="AC213"/>
      <c r="AF213" s="360">
        <f>IF(S.Planning.ProgramWebPage="Y",1,0)</f>
        <v>0</v>
      </c>
      <c r="AG213" s="59"/>
      <c r="AH213" s="59"/>
      <c r="AI213" s="47"/>
      <c r="AJ213" s="44"/>
      <c r="AK213" s="72"/>
      <c r="AL213" s="76"/>
    </row>
    <row r="214" spans="1:38" s="23" customFormat="1" ht="15" hidden="1" customHeight="1" outlineLevel="3">
      <c r="A214" s="145"/>
      <c r="B214" s="515" t="str">
        <f>AK214</f>
        <v>* works with Michele to make adjustments</v>
      </c>
      <c r="C214" s="282" t="s">
        <v>0</v>
      </c>
      <c r="D214" s="281"/>
      <c r="E214" s="876"/>
      <c r="F214"/>
      <c r="G214"/>
      <c r="H214"/>
      <c r="I214" s="740"/>
      <c r="J214"/>
      <c r="K214"/>
      <c r="L214"/>
      <c r="M214"/>
      <c r="N214"/>
      <c r="O214"/>
      <c r="P214"/>
      <c r="Q214"/>
      <c r="R214"/>
      <c r="S214"/>
      <c r="T214"/>
      <c r="U214"/>
      <c r="X214"/>
      <c r="AB214"/>
      <c r="AC214"/>
      <c r="AF214" s="360">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89"/>
      <c r="E215" s="689"/>
      <c r="F215" s="788"/>
      <c r="G215" s="286"/>
      <c r="H215" s="331"/>
      <c r="I215" s="39"/>
      <c r="AF215" s="360">
        <v>0</v>
      </c>
      <c r="AG215" s="76"/>
      <c r="AH215" s="76"/>
      <c r="AI215" s="108" t="s">
        <v>229</v>
      </c>
      <c r="AJ215" s="343"/>
      <c r="AK215" s="77"/>
      <c r="AL215" s="76"/>
    </row>
    <row r="216" spans="1:38" s="23" customFormat="1" ht="20.25" hidden="1" customHeight="1" outlineLevel="1">
      <c r="A216" s="145"/>
      <c r="B216" s="518" t="s">
        <v>568</v>
      </c>
      <c r="C216" s="82"/>
      <c r="D216" s="688"/>
      <c r="E216" s="688"/>
      <c r="F216" s="83"/>
      <c r="G216" s="82"/>
      <c r="H216" s="82"/>
      <c r="I216" s="740"/>
      <c r="AF216" s="360">
        <f>IF(S.Hearing.1stInvolve="Y",1,0)</f>
        <v>1</v>
      </c>
      <c r="AG216" s="47"/>
      <c r="AH216" s="47"/>
      <c r="AI216" s="69"/>
      <c r="AJ216" s="69"/>
      <c r="AK216" s="35"/>
      <c r="AL216" s="76"/>
    </row>
    <row r="217" spans="1:38" s="23" customFormat="1" ht="15" hidden="1" customHeight="1" outlineLevel="1" thickBot="1">
      <c r="A217" s="145"/>
      <c r="B217" s="267" t="str">
        <f>AK217</f>
        <v>Team identifies hearing locations, dates and times</v>
      </c>
      <c r="C217" s="545"/>
      <c r="D217" s="1006" t="s">
        <v>581</v>
      </c>
      <c r="E217" s="1006"/>
      <c r="F217" s="1006"/>
      <c r="G217" s="1006"/>
      <c r="H217" s="1006"/>
      <c r="I217" s="740"/>
      <c r="AF217" s="360">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c r="A218" s="739"/>
      <c r="B218" s="266" t="s">
        <v>0</v>
      </c>
      <c r="C218" s="757"/>
      <c r="D218" s="991" t="s">
        <v>580</v>
      </c>
      <c r="E218" s="992"/>
      <c r="F218" s="992"/>
      <c r="G218" s="744" t="s">
        <v>564</v>
      </c>
      <c r="H218" s="758" t="s">
        <v>565</v>
      </c>
      <c r="I218" s="740"/>
      <c r="AF218" s="360">
        <f>IF(S.Hearing.1stInvolve="Y",1,0)</f>
        <v>1</v>
      </c>
      <c r="AG218" s="741"/>
      <c r="AH218" s="741"/>
      <c r="AI218" s="741"/>
      <c r="AJ218" s="741"/>
      <c r="AK218" s="742" t="str">
        <f>IF(S.Hearing.1stInvolve="Y",S.Staff.Support&amp;" enters hearings locations, dates and times:","No hearings planned")</f>
        <v>Jerry enters hearings locations, dates and times:</v>
      </c>
      <c r="AL218" s="561"/>
    </row>
    <row r="219" spans="1:38" s="23" customFormat="1" ht="15" hidden="1" customHeight="1" outlineLevel="1" thickTop="1">
      <c r="A219" s="145"/>
      <c r="B219" s="753" t="s">
        <v>527</v>
      </c>
      <c r="C219" s="956" t="s">
        <v>16</v>
      </c>
      <c r="D219" s="993">
        <v>1</v>
      </c>
      <c r="E219" s="994"/>
      <c r="F219" s="994"/>
      <c r="G219" s="253">
        <f t="shared" ref="G219:G227" si="8">AG219</f>
        <v>0</v>
      </c>
      <c r="H219" s="755" t="s">
        <v>303</v>
      </c>
      <c r="I219" s="740"/>
      <c r="J219"/>
      <c r="K219"/>
      <c r="L219"/>
      <c r="M219"/>
      <c r="N219"/>
      <c r="O219"/>
      <c r="P219"/>
      <c r="Q219"/>
      <c r="R219"/>
      <c r="S219"/>
      <c r="T219"/>
      <c r="U219"/>
      <c r="X219"/>
      <c r="AB219"/>
      <c r="AC219"/>
      <c r="AF219" s="360">
        <f>IF(S.Hearing.1stInvolve="Y",1,0)</f>
        <v>1</v>
      </c>
      <c r="AG219" s="60">
        <f>S.Hearing.1stDate</f>
        <v>0</v>
      </c>
      <c r="AH219" s="386" t="s">
        <v>66</v>
      </c>
      <c r="AI219" s="34"/>
      <c r="AJ219" s="43"/>
      <c r="AK219" s="43"/>
      <c r="AL219" s="76"/>
    </row>
    <row r="220" spans="1:38" s="23" customFormat="1" ht="15" hidden="1" customHeight="1" outlineLevel="1">
      <c r="A220" s="145"/>
      <c r="B220" s="753" t="str">
        <f t="shared" ref="B220:B226" si="9">"Enter city name"</f>
        <v>Enter city name</v>
      </c>
      <c r="C220" s="957" t="s">
        <v>205</v>
      </c>
      <c r="D220" s="993">
        <v>2</v>
      </c>
      <c r="E220" s="994"/>
      <c r="F220" s="994"/>
      <c r="G220" s="253">
        <f t="shared" si="8"/>
        <v>0</v>
      </c>
      <c r="H220" s="755" t="str">
        <f t="shared" ref="H220:H226" si="10">AH220</f>
        <v>6 p.m.</v>
      </c>
      <c r="I220" s="740"/>
      <c r="J220"/>
      <c r="K220"/>
      <c r="L220"/>
      <c r="M220"/>
      <c r="N220"/>
      <c r="O220"/>
      <c r="P220"/>
      <c r="Q220"/>
      <c r="R220"/>
      <c r="S220"/>
      <c r="T220"/>
      <c r="U220"/>
      <c r="X220"/>
      <c r="AB220"/>
      <c r="AC220"/>
      <c r="AF220" s="360">
        <f>IF(AND(S.Hearing.2ndInvolve="Y",S.Hearing.1stInvolve="Y"),1,)</f>
        <v>0</v>
      </c>
      <c r="AG220" s="60">
        <f>IF(S.Hearing.2ndInvolve="N",,S.Hearing.1stDate)</f>
        <v>0</v>
      </c>
      <c r="AH220" s="60" t="str">
        <f>H219</f>
        <v>6 p.m.</v>
      </c>
      <c r="AI220" s="59"/>
      <c r="AJ220" s="59"/>
      <c r="AK220" s="66"/>
      <c r="AL220" s="76"/>
    </row>
    <row r="221" spans="1:38" s="23" customFormat="1" ht="15" hidden="1" customHeight="1" outlineLevel="1">
      <c r="A221" s="145"/>
      <c r="B221" s="753" t="str">
        <f t="shared" si="9"/>
        <v>Enter city name</v>
      </c>
      <c r="C221" s="957" t="s">
        <v>205</v>
      </c>
      <c r="D221" s="993">
        <v>3</v>
      </c>
      <c r="E221" s="994"/>
      <c r="F221" s="994" t="s">
        <v>0</v>
      </c>
      <c r="G221" s="253">
        <f t="shared" si="8"/>
        <v>0</v>
      </c>
      <c r="H221" s="755" t="str">
        <f t="shared" si="10"/>
        <v>6 p.m.</v>
      </c>
      <c r="I221" s="740"/>
      <c r="J221"/>
      <c r="K221"/>
      <c r="L221"/>
      <c r="M221"/>
      <c r="N221"/>
      <c r="O221"/>
      <c r="P221"/>
      <c r="Q221"/>
      <c r="R221"/>
      <c r="S221"/>
      <c r="T221"/>
      <c r="U221"/>
      <c r="X221"/>
      <c r="AB221"/>
      <c r="AC221"/>
      <c r="AF221" s="360">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3" t="str">
        <f t="shared" si="9"/>
        <v>Enter city name</v>
      </c>
      <c r="C222" s="958" t="s">
        <v>205</v>
      </c>
      <c r="D222" s="993">
        <v>4</v>
      </c>
      <c r="E222" s="994"/>
      <c r="F222" s="994" t="s">
        <v>0</v>
      </c>
      <c r="G222" s="253">
        <f t="shared" si="8"/>
        <v>0</v>
      </c>
      <c r="H222" s="755" t="str">
        <f t="shared" si="10"/>
        <v>6 p.m.</v>
      </c>
      <c r="I222" s="740"/>
      <c r="J222"/>
      <c r="K222"/>
      <c r="L222"/>
      <c r="M222"/>
      <c r="N222"/>
      <c r="O222"/>
      <c r="P222"/>
      <c r="Q222"/>
      <c r="R222"/>
      <c r="S222"/>
      <c r="T222"/>
      <c r="U222"/>
      <c r="X222"/>
      <c r="AB222"/>
      <c r="AC222"/>
      <c r="AF222" s="360">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3" t="str">
        <f t="shared" si="9"/>
        <v>Enter city name</v>
      </c>
      <c r="C223" s="957" t="s">
        <v>205</v>
      </c>
      <c r="D223" s="993">
        <v>5</v>
      </c>
      <c r="E223" s="994"/>
      <c r="F223" s="994" t="s">
        <v>0</v>
      </c>
      <c r="G223" s="253">
        <f t="shared" si="8"/>
        <v>0</v>
      </c>
      <c r="H223" s="755" t="str">
        <f t="shared" si="10"/>
        <v>6 p.m.</v>
      </c>
      <c r="I223" s="740"/>
      <c r="J223"/>
      <c r="K223"/>
      <c r="L223"/>
      <c r="M223"/>
      <c r="N223"/>
      <c r="O223"/>
      <c r="P223"/>
      <c r="Q223"/>
      <c r="R223"/>
      <c r="S223"/>
      <c r="T223"/>
      <c r="U223"/>
      <c r="X223"/>
      <c r="AB223"/>
      <c r="AC223"/>
      <c r="AF223" s="360">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3" t="str">
        <f t="shared" si="9"/>
        <v>Enter city name</v>
      </c>
      <c r="C224" s="957" t="s">
        <v>205</v>
      </c>
      <c r="D224" s="993">
        <v>6</v>
      </c>
      <c r="E224" s="994"/>
      <c r="F224" s="994" t="s">
        <v>0</v>
      </c>
      <c r="G224" s="253">
        <f t="shared" si="8"/>
        <v>0</v>
      </c>
      <c r="H224" s="755" t="str">
        <f t="shared" si="10"/>
        <v>6 p.m.</v>
      </c>
      <c r="I224" s="740"/>
      <c r="J224"/>
      <c r="K224"/>
      <c r="L224"/>
      <c r="M224"/>
      <c r="N224"/>
      <c r="O224"/>
      <c r="P224"/>
      <c r="Q224"/>
      <c r="R224"/>
      <c r="S224"/>
      <c r="T224"/>
      <c r="U224"/>
      <c r="X224"/>
      <c r="AB224"/>
      <c r="AC224"/>
      <c r="AF224" s="360">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3" t="str">
        <f t="shared" si="9"/>
        <v>Enter city name</v>
      </c>
      <c r="C225" s="957" t="s">
        <v>205</v>
      </c>
      <c r="D225" s="993">
        <v>7</v>
      </c>
      <c r="E225" s="994"/>
      <c r="F225" s="994" t="s">
        <v>0</v>
      </c>
      <c r="G225" s="253">
        <f t="shared" si="8"/>
        <v>0</v>
      </c>
      <c r="H225" s="755" t="str">
        <f t="shared" si="10"/>
        <v>6 p.m.</v>
      </c>
      <c r="I225" s="740"/>
      <c r="J225"/>
      <c r="K225"/>
      <c r="L225"/>
      <c r="M225"/>
      <c r="N225"/>
      <c r="O225"/>
      <c r="P225"/>
      <c r="Q225"/>
      <c r="R225"/>
      <c r="S225"/>
      <c r="T225"/>
      <c r="U225"/>
      <c r="X225"/>
      <c r="AB225"/>
      <c r="AC225"/>
      <c r="AF225" s="360">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3" t="str">
        <f t="shared" si="9"/>
        <v>Enter city name</v>
      </c>
      <c r="C226" s="959" t="s">
        <v>205</v>
      </c>
      <c r="D226" s="993" t="s">
        <v>0</v>
      </c>
      <c r="E226" s="994"/>
      <c r="F226" s="994" t="s">
        <v>0</v>
      </c>
      <c r="G226" s="253">
        <f t="shared" si="8"/>
        <v>0</v>
      </c>
      <c r="H226" s="755" t="str">
        <f t="shared" si="10"/>
        <v>6 p.m.</v>
      </c>
      <c r="I226" s="740"/>
      <c r="J226"/>
      <c r="K226"/>
      <c r="L226"/>
      <c r="M226"/>
      <c r="N226"/>
      <c r="O226"/>
      <c r="P226"/>
      <c r="Q226"/>
      <c r="R226"/>
      <c r="S226"/>
      <c r="T226"/>
      <c r="U226"/>
      <c r="X226"/>
      <c r="AB226"/>
      <c r="AC226"/>
      <c r="AF226" s="360">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c r="A227" s="145"/>
      <c r="B227" s="732" t="s">
        <v>566</v>
      </c>
      <c r="C227" s="754"/>
      <c r="D227" s="760"/>
      <c r="E227" s="877"/>
      <c r="F227" s="815" t="s">
        <v>0</v>
      </c>
      <c r="G227" s="759">
        <f t="shared" si="8"/>
        <v>0</v>
      </c>
      <c r="H227" s="756"/>
      <c r="I227" s="740"/>
      <c r="J227"/>
      <c r="K227"/>
      <c r="L227"/>
      <c r="M227"/>
      <c r="N227"/>
      <c r="O227"/>
      <c r="P227"/>
      <c r="Q227"/>
      <c r="R227"/>
      <c r="S227"/>
      <c r="T227"/>
      <c r="U227"/>
      <c r="X227"/>
      <c r="AB227"/>
      <c r="AC227"/>
      <c r="AF227" s="360">
        <f>IF(S.Hearing.1stInvolve="Y",1,0)</f>
        <v>1</v>
      </c>
      <c r="AG227" s="60">
        <f>IF(AF227=0,,MAX(G219:G226))</f>
        <v>0</v>
      </c>
      <c r="AH227" s="58"/>
      <c r="AI227" s="58"/>
      <c r="AJ227" s="44"/>
      <c r="AK227" s="62"/>
      <c r="AL227" s="76"/>
    </row>
    <row r="228" spans="1:39" s="23" customFormat="1" ht="6" hidden="1" customHeight="1" outlineLevel="1" thickTop="1">
      <c r="A228" s="145"/>
      <c r="B228" s="732"/>
      <c r="C228" s="268"/>
      <c r="D228" s="268"/>
      <c r="E228" s="268"/>
      <c r="F228"/>
      <c r="G228" s="743"/>
      <c r="H228" s="733"/>
      <c r="I228" s="740"/>
      <c r="AF228" s="360"/>
      <c r="AG228" s="60"/>
      <c r="AH228" s="58"/>
      <c r="AI228" s="58"/>
      <c r="AJ228" s="44"/>
      <c r="AK228" s="62"/>
      <c r="AL228" s="76"/>
    </row>
    <row r="229" spans="1:39" s="23" customFormat="1" ht="15" hidden="1" customHeight="1" outlineLevel="1">
      <c r="A229" s="145"/>
      <c r="B229" s="221" t="str">
        <f>AK229</f>
        <v>Jerry reserves venues/equipment for hearings</v>
      </c>
      <c r="C229" s="541" t="s">
        <v>0</v>
      </c>
      <c r="D229" s="283"/>
      <c r="E229" s="745"/>
      <c r="F229"/>
      <c r="G229" s="256">
        <f>AG229</f>
        <v>0</v>
      </c>
      <c r="H229" s="256">
        <f>AH229</f>
        <v>0</v>
      </c>
      <c r="I229" s="740"/>
      <c r="J229"/>
      <c r="K229"/>
      <c r="L229"/>
      <c r="M229"/>
      <c r="N229"/>
      <c r="O229"/>
      <c r="P229"/>
      <c r="Q229"/>
      <c r="R229"/>
      <c r="S229"/>
      <c r="T229"/>
      <c r="U229"/>
      <c r="X229"/>
      <c r="AB229"/>
      <c r="AC229"/>
      <c r="AF229" s="360">
        <f>IF(S.Hearing.1stInvolve="Y",1,0)</f>
        <v>1</v>
      </c>
      <c r="AG229" s="60">
        <f>IF(AF229=0,,S.Notice.BANNER.Begin)</f>
        <v>0</v>
      </c>
      <c r="AH229" s="60">
        <f>IF(AF229=0,,S.Notice.LastHearingDate)</f>
        <v>0</v>
      </c>
      <c r="AI229" s="47"/>
      <c r="AJ229" s="44"/>
      <c r="AK229" s="182" t="str">
        <f>S.Staff.Support&amp;" reserves venues/equipment for hearings"</f>
        <v>Jerry reserves venues/equipment for hearings</v>
      </c>
      <c r="AL229" s="76"/>
    </row>
    <row r="230" spans="1:39" ht="15" hidden="1" customHeight="1" outlineLevel="1">
      <c r="A230" s="145"/>
      <c r="B230" s="221" t="str">
        <f>AK230</f>
        <v>Jerry identifies hearings officer(s) on HearingAndAdDates TAB</v>
      </c>
      <c r="C230" s="747" t="s">
        <v>48</v>
      </c>
      <c r="D230" s="283"/>
      <c r="E230" s="745"/>
      <c r="F230"/>
      <c r="G230"/>
      <c r="H230"/>
      <c r="I230" s="740"/>
      <c r="AF230" s="360">
        <f>IF(S.Hearing.1stInvolve="Y",1,0)</f>
        <v>1</v>
      </c>
      <c r="AG230" s="59"/>
      <c r="AH230" s="59"/>
      <c r="AI230" s="59"/>
      <c r="AJ230" s="59"/>
      <c r="AK230" s="182" t="str">
        <f>S.Staff.Subject.Expert.FirstName&amp;" identifies hearings officer(s) on HearingAndAdDates TAB"</f>
        <v>Jerry identifies hearings officer(s) on HearingAndAdDates TAB</v>
      </c>
      <c r="AL230" s="76"/>
      <c r="AM230"/>
    </row>
    <row r="231" spans="1:39" s="23" customFormat="1" ht="6" hidden="1" customHeight="1" outlineLevel="1">
      <c r="A231" s="145"/>
      <c r="B231" s="732"/>
      <c r="C231" s="268"/>
      <c r="D231" s="268"/>
      <c r="E231" s="268"/>
      <c r="F231"/>
      <c r="G231"/>
      <c r="H231"/>
      <c r="I231" s="740"/>
      <c r="AF231" s="360"/>
      <c r="AG231" s="59"/>
      <c r="AH231" s="58"/>
      <c r="AI231" s="58"/>
      <c r="AJ231" s="44"/>
      <c r="AK231" s="62"/>
      <c r="AL231" s="76"/>
    </row>
    <row r="232" spans="1:39" s="23" customFormat="1" ht="20.25" hidden="1" customHeight="1" outlineLevel="1">
      <c r="A232" s="145"/>
      <c r="B232" s="518" t="s">
        <v>579</v>
      </c>
      <c r="C232" s="541"/>
      <c r="D232" s="701"/>
      <c r="E232" s="701"/>
      <c r="I232" s="740"/>
      <c r="AF232" s="360">
        <f>IF(AND(S.Notice.Involved="Y",S.Notice.AD.Involved="Y"),1,0)</f>
        <v>0</v>
      </c>
      <c r="AG232" s="59"/>
      <c r="AH232" s="59"/>
      <c r="AI232" s="59"/>
      <c r="AJ232" s="59"/>
      <c r="AK232" s="44"/>
      <c r="AL232" s="76"/>
    </row>
    <row r="233" spans="1:39" ht="15" hidden="1" customHeight="1" outlineLevel="1">
      <c r="A233" s="145"/>
      <c r="B233" s="748" t="str">
        <f>AK233</f>
        <v>Jerry works with Jerry:</v>
      </c>
      <c r="C233" s="544"/>
      <c r="D233" s="283"/>
      <c r="E233" s="745"/>
      <c r="F233"/>
      <c r="G233" s="256">
        <f>AG233</f>
        <v>0</v>
      </c>
      <c r="H233" s="256">
        <f t="shared" ref="H233:H251" si="11">AH233</f>
        <v>0</v>
      </c>
      <c r="I233" s="740"/>
      <c r="AF233" s="360">
        <f>IF(AND(S.Notice.Involved="Y",S.Notice.AD.Involved="Y"),1,0)</f>
        <v>0</v>
      </c>
      <c r="AG233" s="60">
        <f>IF(AF233=0,,IF(S.Notice.AD.Involved="N",,S.Notice.BANNER.Begin))</f>
        <v>0</v>
      </c>
      <c r="AH233" s="60">
        <f>IF(AF233=0,,IF(S.Notice.AD.Involved="N",,WORKDAY(S.Notice.OpenComment,-18,S.DDL_DEQClosed)))</f>
        <v>0</v>
      </c>
      <c r="AI233" s="59"/>
      <c r="AJ233" s="59"/>
      <c r="AK233" s="182" t="str">
        <f>S.Staff.Subject.Expert.FirstName&amp;" works with "&amp;S.Staff.Support&amp;":"</f>
        <v>Jerry works with Jerry:</v>
      </c>
      <c r="AL233" s="76"/>
      <c r="AM233"/>
    </row>
    <row r="234" spans="1:39" s="23" customFormat="1" ht="15" hidden="1" customHeight="1" outlineLevel="1">
      <c r="A234" s="145"/>
      <c r="B234" s="220" t="s">
        <v>592</v>
      </c>
      <c r="C234" s="544"/>
      <c r="D234" s="325"/>
      <c r="E234" s="325"/>
      <c r="F234" s="257"/>
      <c r="G234" s="960"/>
      <c r="H234" s="960"/>
      <c r="I234" s="740"/>
      <c r="AF234" s="360">
        <f>IF(AND(S.Notice.Involved="Y",S.Notice.AD.Involved="Y"),1,0)</f>
        <v>0</v>
      </c>
      <c r="AG234" s="59"/>
      <c r="AH234" s="59"/>
      <c r="AI234" s="59"/>
      <c r="AJ234" s="59"/>
      <c r="AK234" s="44"/>
      <c r="AL234" s="76"/>
    </row>
    <row r="235" spans="1:39" s="23" customFormat="1" ht="15" hidden="1" customHeight="1" outlineLevel="1" thickBot="1">
      <c r="A235" s="145"/>
      <c r="C235" s="984" t="s">
        <v>593</v>
      </c>
      <c r="D235" s="984"/>
      <c r="E235" s="984"/>
      <c r="F235" s="984"/>
      <c r="G235" s="984"/>
      <c r="H235" s="984"/>
      <c r="I235" s="740"/>
      <c r="AF235" s="360">
        <f>IF(AND(S.Notice.Involved="Y",S.Notice.AD.Involved="Y"),1,0)</f>
        <v>0</v>
      </c>
      <c r="AG235" s="59"/>
      <c r="AH235" s="59"/>
      <c r="AI235" s="59"/>
      <c r="AJ235" s="59"/>
      <c r="AK235" s="44"/>
      <c r="AL235" s="76"/>
    </row>
    <row r="236" spans="1:39" s="23" customFormat="1" ht="15" hidden="1" customHeight="1" outlineLevel="1" thickTop="1">
      <c r="A236" s="145"/>
      <c r="C236" s="763" t="s">
        <v>580</v>
      </c>
      <c r="D236" s="764" t="s">
        <v>401</v>
      </c>
      <c r="E236" s="764"/>
      <c r="F236" s="764"/>
      <c r="G236" s="764"/>
      <c r="H236" s="765" t="s">
        <v>604</v>
      </c>
      <c r="I236" s="740"/>
      <c r="AF236" s="360">
        <f>IF(AND(S.Notice.Involved="Y",S.Notice.AD.Involved="Y"),1,0)</f>
        <v>0</v>
      </c>
      <c r="AG236" s="59"/>
      <c r="AH236" s="59"/>
      <c r="AI236" s="59"/>
      <c r="AJ236" s="59"/>
      <c r="AK236" s="44"/>
      <c r="AL236" s="76"/>
    </row>
    <row r="237" spans="1:39" s="23" customFormat="1" ht="15" hidden="1" customHeight="1" outlineLevel="1">
      <c r="A237" s="145"/>
      <c r="B237" s="749" t="str">
        <f>AK237</f>
        <v>NOTICE.AD1Oregonian</v>
      </c>
      <c r="C237" s="961">
        <v>1</v>
      </c>
      <c r="D237" s="985" t="s">
        <v>596</v>
      </c>
      <c r="E237" s="986"/>
      <c r="F237" s="986"/>
      <c r="G237" s="987"/>
      <c r="H237" s="761">
        <f t="shared" si="11"/>
        <v>0</v>
      </c>
      <c r="I237" s="740"/>
      <c r="J237"/>
      <c r="K237"/>
      <c r="L237"/>
      <c r="M237"/>
      <c r="N237"/>
      <c r="O237"/>
      <c r="P237"/>
      <c r="Q237"/>
      <c r="R237"/>
      <c r="S237"/>
      <c r="T237"/>
      <c r="U237"/>
      <c r="X237"/>
      <c r="AB237"/>
      <c r="AC237"/>
      <c r="AF237" s="360">
        <f t="shared" ref="AF237:AF244" si="12">IF(AND(S.Notice.Involved="Y",S.Notice.AD.Involved="Y",C237&gt;0),1,0)</f>
        <v>0</v>
      </c>
      <c r="AG237" s="59"/>
      <c r="AH237" s="60">
        <f t="shared" ref="AH237:AH244" si="13">IF(AF237=0,,IF(S.Notice.AD.Involved="N",,S.Notice.OpenComment))</f>
        <v>0</v>
      </c>
      <c r="AI237" s="59" t="s">
        <v>0</v>
      </c>
      <c r="AJ237" s="59"/>
      <c r="AK237" s="182" t="str">
        <f>"NOTICE.AD"&amp;C237&amp;D237</f>
        <v>NOTICE.AD1Oregonian</v>
      </c>
      <c r="AL237" s="76"/>
    </row>
    <row r="238" spans="1:39" s="23" customFormat="1" ht="15" hidden="1" customHeight="1" outlineLevel="1">
      <c r="A238" s="145"/>
      <c r="B238" s="749" t="str">
        <f t="shared" ref="B238:B244" si="14">AK238</f>
        <v>NOTICE.AD2None</v>
      </c>
      <c r="C238" s="961">
        <v>2</v>
      </c>
      <c r="D238" s="985" t="s">
        <v>603</v>
      </c>
      <c r="E238" s="986"/>
      <c r="F238" s="986"/>
      <c r="G238" s="987"/>
      <c r="H238" s="761">
        <f t="shared" si="11"/>
        <v>0</v>
      </c>
      <c r="I238" s="740"/>
      <c r="J238"/>
      <c r="K238"/>
      <c r="L238"/>
      <c r="M238"/>
      <c r="N238"/>
      <c r="O238"/>
      <c r="P238"/>
      <c r="Q238"/>
      <c r="R238"/>
      <c r="S238"/>
      <c r="T238"/>
      <c r="U238"/>
      <c r="X238"/>
      <c r="AB238"/>
      <c r="AC238"/>
      <c r="AF238" s="360">
        <f t="shared" si="12"/>
        <v>0</v>
      </c>
      <c r="AG238" s="59"/>
      <c r="AH238" s="60">
        <f t="shared" si="13"/>
        <v>0</v>
      </c>
      <c r="AI238" s="59"/>
      <c r="AJ238" s="59"/>
      <c r="AK238" s="182" t="str">
        <f t="shared" ref="AK238:AK244" si="15">"NOTICE.AD"&amp;C238&amp;D238</f>
        <v>NOTICE.AD2None</v>
      </c>
      <c r="AL238" s="76"/>
    </row>
    <row r="239" spans="1:39" s="23" customFormat="1" ht="15" hidden="1" customHeight="1" outlineLevel="1">
      <c r="A239" s="145"/>
      <c r="B239" s="749" t="str">
        <f t="shared" si="14"/>
        <v>NOTICE.AD3None</v>
      </c>
      <c r="C239" s="961">
        <v>3</v>
      </c>
      <c r="D239" s="985" t="s">
        <v>603</v>
      </c>
      <c r="E239" s="986"/>
      <c r="F239" s="986"/>
      <c r="G239" s="987"/>
      <c r="H239" s="761">
        <f t="shared" si="11"/>
        <v>0</v>
      </c>
      <c r="I239" s="740"/>
      <c r="J239"/>
      <c r="K239"/>
      <c r="L239"/>
      <c r="M239"/>
      <c r="N239"/>
      <c r="O239"/>
      <c r="P239"/>
      <c r="Q239"/>
      <c r="R239"/>
      <c r="S239"/>
      <c r="T239"/>
      <c r="U239"/>
      <c r="X239"/>
      <c r="AB239"/>
      <c r="AC239"/>
      <c r="AF239" s="360">
        <f t="shared" si="12"/>
        <v>0</v>
      </c>
      <c r="AG239" s="59"/>
      <c r="AH239" s="60">
        <f t="shared" si="13"/>
        <v>0</v>
      </c>
      <c r="AI239" s="59"/>
      <c r="AJ239" s="59"/>
      <c r="AK239" s="182" t="str">
        <f t="shared" si="15"/>
        <v>NOTICE.AD3None</v>
      </c>
      <c r="AL239" s="76"/>
    </row>
    <row r="240" spans="1:39" s="23" customFormat="1" ht="15" hidden="1" customHeight="1" outlineLevel="1">
      <c r="A240" s="145"/>
      <c r="B240" s="749" t="str">
        <f t="shared" si="14"/>
        <v>NOTICE.AD4None</v>
      </c>
      <c r="C240" s="961">
        <v>4</v>
      </c>
      <c r="D240" s="985" t="s">
        <v>603</v>
      </c>
      <c r="E240" s="986"/>
      <c r="F240" s="986"/>
      <c r="G240" s="987"/>
      <c r="H240" s="761">
        <f t="shared" si="11"/>
        <v>0</v>
      </c>
      <c r="I240" s="740"/>
      <c r="J240"/>
      <c r="K240"/>
      <c r="L240"/>
      <c r="M240"/>
      <c r="N240"/>
      <c r="O240"/>
      <c r="P240"/>
      <c r="Q240"/>
      <c r="R240"/>
      <c r="S240"/>
      <c r="T240"/>
      <c r="U240"/>
      <c r="X240"/>
      <c r="AB240"/>
      <c r="AC240"/>
      <c r="AF240" s="360">
        <f t="shared" si="12"/>
        <v>0</v>
      </c>
      <c r="AG240" s="59"/>
      <c r="AH240" s="60">
        <f t="shared" si="13"/>
        <v>0</v>
      </c>
      <c r="AI240" s="59"/>
      <c r="AJ240" s="59"/>
      <c r="AK240" s="182" t="str">
        <f t="shared" si="15"/>
        <v>NOTICE.AD4None</v>
      </c>
      <c r="AL240" s="76"/>
    </row>
    <row r="241" spans="1:38" s="23" customFormat="1" ht="15" hidden="1" customHeight="1" outlineLevel="1">
      <c r="A241" s="145"/>
      <c r="B241" s="749" t="str">
        <f t="shared" si="14"/>
        <v>NOTICE.AD5None</v>
      </c>
      <c r="C241" s="961">
        <v>5</v>
      </c>
      <c r="D241" s="985" t="s">
        <v>603</v>
      </c>
      <c r="E241" s="986"/>
      <c r="F241" s="986"/>
      <c r="G241" s="987"/>
      <c r="H241" s="761">
        <f t="shared" si="11"/>
        <v>0</v>
      </c>
      <c r="I241" s="740"/>
      <c r="J241"/>
      <c r="K241"/>
      <c r="L241"/>
      <c r="M241"/>
      <c r="N241"/>
      <c r="O241"/>
      <c r="P241"/>
      <c r="Q241"/>
      <c r="R241"/>
      <c r="S241"/>
      <c r="T241"/>
      <c r="U241"/>
      <c r="X241"/>
      <c r="AB241"/>
      <c r="AC241"/>
      <c r="AF241" s="360">
        <f t="shared" si="12"/>
        <v>0</v>
      </c>
      <c r="AG241" s="59"/>
      <c r="AH241" s="60">
        <f t="shared" si="13"/>
        <v>0</v>
      </c>
      <c r="AI241" s="59"/>
      <c r="AJ241" s="59"/>
      <c r="AK241" s="182" t="str">
        <f t="shared" si="15"/>
        <v>NOTICE.AD5None</v>
      </c>
      <c r="AL241" s="76"/>
    </row>
    <row r="242" spans="1:38" s="23" customFormat="1" ht="15" hidden="1" customHeight="1" outlineLevel="1">
      <c r="A242" s="145"/>
      <c r="B242" s="749" t="str">
        <f t="shared" si="14"/>
        <v>NOTICE.AD6None</v>
      </c>
      <c r="C242" s="961">
        <v>6</v>
      </c>
      <c r="D242" s="985" t="s">
        <v>603</v>
      </c>
      <c r="E242" s="986"/>
      <c r="F242" s="986"/>
      <c r="G242" s="987"/>
      <c r="H242" s="761">
        <f t="shared" si="11"/>
        <v>0</v>
      </c>
      <c r="I242" s="740"/>
      <c r="J242"/>
      <c r="K242"/>
      <c r="L242"/>
      <c r="M242"/>
      <c r="N242"/>
      <c r="O242"/>
      <c r="P242"/>
      <c r="Q242"/>
      <c r="R242"/>
      <c r="S242"/>
      <c r="T242"/>
      <c r="U242"/>
      <c r="X242"/>
      <c r="AB242"/>
      <c r="AC242"/>
      <c r="AF242" s="360">
        <f t="shared" si="12"/>
        <v>0</v>
      </c>
      <c r="AG242" s="59"/>
      <c r="AH242" s="60">
        <f t="shared" si="13"/>
        <v>0</v>
      </c>
      <c r="AI242" s="59"/>
      <c r="AJ242" s="59"/>
      <c r="AK242" s="182" t="str">
        <f t="shared" si="15"/>
        <v>NOTICE.AD6None</v>
      </c>
      <c r="AL242" s="76"/>
    </row>
    <row r="243" spans="1:38" s="23" customFormat="1" ht="15" hidden="1" customHeight="1" outlineLevel="1">
      <c r="A243" s="145"/>
      <c r="B243" s="749" t="str">
        <f t="shared" si="14"/>
        <v>NOTICE.AD7None</v>
      </c>
      <c r="C243" s="961">
        <v>7</v>
      </c>
      <c r="D243" s="985" t="s">
        <v>603</v>
      </c>
      <c r="E243" s="986"/>
      <c r="F243" s="986"/>
      <c r="G243" s="987"/>
      <c r="H243" s="761">
        <f t="shared" si="11"/>
        <v>0</v>
      </c>
      <c r="I243" s="740"/>
      <c r="J243"/>
      <c r="K243"/>
      <c r="L243"/>
      <c r="M243"/>
      <c r="N243"/>
      <c r="O243"/>
      <c r="P243"/>
      <c r="Q243"/>
      <c r="R243"/>
      <c r="S243"/>
      <c r="T243"/>
      <c r="U243"/>
      <c r="X243"/>
      <c r="AB243"/>
      <c r="AC243"/>
      <c r="AF243" s="360">
        <f t="shared" si="12"/>
        <v>0</v>
      </c>
      <c r="AG243" s="59"/>
      <c r="AH243" s="60">
        <f t="shared" si="13"/>
        <v>0</v>
      </c>
      <c r="AI243" s="59"/>
      <c r="AJ243" s="59"/>
      <c r="AK243" s="182" t="str">
        <f t="shared" si="15"/>
        <v>NOTICE.AD7None</v>
      </c>
      <c r="AL243" s="76"/>
    </row>
    <row r="244" spans="1:38" s="23" customFormat="1" ht="15" hidden="1" customHeight="1" outlineLevel="1" thickBot="1">
      <c r="A244" s="145"/>
      <c r="B244" s="749" t="str">
        <f t="shared" si="14"/>
        <v>NOTICE.AD8None</v>
      </c>
      <c r="C244" s="962">
        <v>8</v>
      </c>
      <c r="D244" s="1007" t="s">
        <v>603</v>
      </c>
      <c r="E244" s="1007"/>
      <c r="F244" s="1007"/>
      <c r="G244" s="1008"/>
      <c r="H244" s="762">
        <f t="shared" si="11"/>
        <v>0</v>
      </c>
      <c r="I244" s="740"/>
      <c r="J244"/>
      <c r="K244"/>
      <c r="L244"/>
      <c r="M244"/>
      <c r="N244"/>
      <c r="O244"/>
      <c r="P244"/>
      <c r="Q244"/>
      <c r="R244"/>
      <c r="S244"/>
      <c r="T244"/>
      <c r="U244"/>
      <c r="X244"/>
      <c r="AB244"/>
      <c r="AC244"/>
      <c r="AF244" s="360">
        <f t="shared" si="12"/>
        <v>0</v>
      </c>
      <c r="AG244" s="59"/>
      <c r="AH244" s="60">
        <f t="shared" si="13"/>
        <v>0</v>
      </c>
      <c r="AI244" s="59"/>
      <c r="AJ244" s="59"/>
      <c r="AK244" s="182" t="str">
        <f t="shared" si="15"/>
        <v>NOTICE.AD8None</v>
      </c>
      <c r="AL244" s="76"/>
    </row>
    <row r="245" spans="1:38" s="23" customFormat="1" ht="9.75" hidden="1" customHeight="1" outlineLevel="1" thickTop="1">
      <c r="A245" s="145"/>
      <c r="B245" s="207"/>
      <c r="C245" s="752"/>
      <c r="D245" s="963"/>
      <c r="E245" s="963"/>
      <c r="F245" s="963"/>
      <c r="G245" s="963"/>
      <c r="H245" s="960"/>
      <c r="I245" s="740"/>
      <c r="AF245" s="360"/>
      <c r="AG245" s="59"/>
      <c r="AH245" s="60"/>
      <c r="AI245" s="59"/>
      <c r="AJ245" s="59"/>
      <c r="AK245" s="44"/>
      <c r="AL245" s="76"/>
    </row>
    <row r="246" spans="1:38" s="23" customFormat="1" ht="15" hidden="1" customHeight="1" outlineLevel="1">
      <c r="A246" s="145" t="s">
        <v>0</v>
      </c>
      <c r="B246" s="221" t="s">
        <v>584</v>
      </c>
      <c r="C246" s="506" t="str">
        <f>HYPERLINK("\\deqhq1\Rule_Resources\i\AD.STANDARD.docx","i")</f>
        <v>i</v>
      </c>
      <c r="D246" s="283"/>
      <c r="E246" s="745"/>
      <c r="F246"/>
      <c r="G246"/>
      <c r="H246"/>
      <c r="I246" s="740"/>
      <c r="J246"/>
      <c r="K246"/>
      <c r="L246"/>
      <c r="M246"/>
      <c r="N246"/>
      <c r="O246"/>
      <c r="P246"/>
      <c r="Q246"/>
      <c r="R246"/>
      <c r="S246"/>
      <c r="T246"/>
      <c r="U246"/>
      <c r="X246"/>
      <c r="AB246"/>
      <c r="AC246"/>
      <c r="AF246" s="360">
        <f t="shared" ref="AF246:AF251" si="16">IF(AND(S.Notice.Involved="Y",S.Notice.AD.Involved="Y"),1,0)</f>
        <v>0</v>
      </c>
      <c r="AG246" s="59"/>
      <c r="AH246" s="59"/>
      <c r="AI246" s="59"/>
      <c r="AJ246" s="59"/>
      <c r="AK246" s="44" t="s">
        <v>0</v>
      </c>
      <c r="AL246" s="76"/>
    </row>
    <row r="247" spans="1:38" s="23" customFormat="1" ht="15" hidden="1" customHeight="1" outlineLevel="1">
      <c r="A247" s="145" t="s">
        <v>0</v>
      </c>
      <c r="B247" s="221" t="s">
        <v>585</v>
      </c>
      <c r="C247" s="506" t="str">
        <f>HYPERLINK("\\deqhq1\Rule_Resources\i\AD.LEGAL.docx","i")</f>
        <v>i</v>
      </c>
      <c r="D247" s="283"/>
      <c r="E247" s="745"/>
      <c r="F247"/>
      <c r="G247" s="40"/>
      <c r="H247"/>
      <c r="I247" s="740"/>
      <c r="J247"/>
      <c r="K247"/>
      <c r="L247"/>
      <c r="M247"/>
      <c r="N247"/>
      <c r="O247"/>
      <c r="P247"/>
      <c r="Q247"/>
      <c r="R247"/>
      <c r="S247"/>
      <c r="T247"/>
      <c r="U247"/>
      <c r="X247"/>
      <c r="AB247"/>
      <c r="AC247"/>
      <c r="AF247" s="360">
        <f t="shared" si="16"/>
        <v>0</v>
      </c>
      <c r="AG247" s="59"/>
      <c r="AH247" s="59"/>
      <c r="AI247" s="59"/>
      <c r="AJ247" s="59"/>
      <c r="AK247" s="44"/>
      <c r="AL247" s="76"/>
    </row>
    <row r="248" spans="1:38" s="23" customFormat="1" ht="15" hidden="1" customHeight="1" outlineLevel="1">
      <c r="A248" s="145" t="s">
        <v>0</v>
      </c>
      <c r="B248" s="221" t="s">
        <v>586</v>
      </c>
      <c r="C248" s="538"/>
      <c r="D248" s="283"/>
      <c r="E248" s="745"/>
      <c r="F248"/>
      <c r="G248" s="40"/>
      <c r="H248"/>
      <c r="I248" s="740"/>
      <c r="J248"/>
      <c r="K248"/>
      <c r="L248"/>
      <c r="M248"/>
      <c r="N248"/>
      <c r="O248"/>
      <c r="P248"/>
      <c r="Q248"/>
      <c r="R248"/>
      <c r="S248"/>
      <c r="T248"/>
      <c r="U248"/>
      <c r="X248"/>
      <c r="AB248"/>
      <c r="AC248"/>
      <c r="AF248" s="360">
        <f t="shared" si="16"/>
        <v>0</v>
      </c>
      <c r="AG248" s="59"/>
      <c r="AH248" s="59"/>
      <c r="AI248" s="59"/>
      <c r="AJ248" s="59"/>
      <c r="AK248" s="44"/>
      <c r="AL248" s="76"/>
    </row>
    <row r="249" spans="1:38" s="23" customFormat="1" ht="15" hidden="1" customHeight="1" outlineLevel="1">
      <c r="A249" s="145"/>
      <c r="B249" s="221" t="s">
        <v>587</v>
      </c>
      <c r="C249" s="1021" t="s">
        <v>612</v>
      </c>
      <c r="D249" s="1021"/>
      <c r="E249" s="1021"/>
      <c r="F249" s="1021"/>
      <c r="G249" s="1022"/>
      <c r="H249" s="256">
        <f t="shared" si="11"/>
        <v>0</v>
      </c>
      <c r="I249" s="740"/>
      <c r="J249"/>
      <c r="K249"/>
      <c r="L249"/>
      <c r="M249"/>
      <c r="N249"/>
      <c r="O249"/>
      <c r="P249"/>
      <c r="Q249"/>
      <c r="R249"/>
      <c r="S249"/>
      <c r="T249"/>
      <c r="U249"/>
      <c r="X249"/>
      <c r="AB249"/>
      <c r="AC249"/>
      <c r="AF249" s="360">
        <f t="shared" si="16"/>
        <v>0</v>
      </c>
      <c r="AG249" s="48"/>
      <c r="AH249" s="60">
        <f>IF(AF249=0,,IF(S.Notice.AD.Involved="N",,WORKDAY(S.Notice.OpenComment,-10,S.DDL_DEQClosed)))</f>
        <v>0</v>
      </c>
      <c r="AI249" s="59"/>
      <c r="AJ249" s="59"/>
      <c r="AK249" s="74"/>
      <c r="AL249" s="76"/>
    </row>
    <row r="250" spans="1:38" s="23" customFormat="1" ht="15" hidden="1" customHeight="1" outlineLevel="1">
      <c r="A250" s="145" t="s">
        <v>0</v>
      </c>
      <c r="B250" s="748" t="str">
        <f>AK250</f>
        <v>* shares contents of HearingAndAdDates TAB with Leah</v>
      </c>
      <c r="C250" s="509" t="s">
        <v>48</v>
      </c>
      <c r="D250" s="356"/>
      <c r="E250" s="745"/>
      <c r="F250"/>
      <c r="G250" s="256">
        <f>AG250</f>
        <v>0</v>
      </c>
      <c r="H250" s="256">
        <f t="shared" si="11"/>
        <v>0</v>
      </c>
      <c r="I250" s="740"/>
      <c r="J250"/>
      <c r="K250"/>
      <c r="L250"/>
      <c r="M250"/>
      <c r="N250"/>
      <c r="O250"/>
      <c r="P250"/>
      <c r="Q250"/>
      <c r="R250"/>
      <c r="S250"/>
      <c r="T250"/>
      <c r="U250"/>
      <c r="X250"/>
      <c r="AB250"/>
      <c r="AC250"/>
      <c r="AF250" s="360">
        <f t="shared" si="16"/>
        <v>0</v>
      </c>
      <c r="AG250" s="60">
        <f>IF(AF250=0,,IF(S.Notice.AD.Involved="N",,S.Notice.BANNER.Begin))</f>
        <v>0</v>
      </c>
      <c r="AH250" s="60">
        <f>IF(AF250=0,,IF(S.Notice.AD.Involved="N",,WORKDAY(MIN(S.Notice.OpenComment,S.Notice.SubmitToSOS),-13,S.DDL_DEQClosed)))</f>
        <v>0</v>
      </c>
      <c r="AI250" s="59"/>
      <c r="AJ250" s="59"/>
      <c r="AK250" s="182" t="str">
        <f>"* shares contents of HearingAndAdDates TAB with "&amp;S.Staff.Program.Mgr.FirstName</f>
        <v>* shares contents of HearingAndAdDates TAB with Leah</v>
      </c>
      <c r="AL250" s="76"/>
    </row>
    <row r="251" spans="1:38" s="23" customFormat="1" ht="15" hidden="1" customHeight="1" outlineLevel="1">
      <c r="A251" s="145" t="s">
        <v>0</v>
      </c>
      <c r="B251" s="748" t="str">
        <f>AK251</f>
        <v>* obtains Leah's email approval</v>
      </c>
      <c r="C251" s="282"/>
      <c r="D251" s="283"/>
      <c r="E251" s="745"/>
      <c r="F251"/>
      <c r="G251" s="256">
        <f>AG251</f>
        <v>0</v>
      </c>
      <c r="H251" s="256">
        <f t="shared" si="11"/>
        <v>0</v>
      </c>
      <c r="I251" s="740"/>
      <c r="J251"/>
      <c r="K251"/>
      <c r="L251"/>
      <c r="M251"/>
      <c r="N251"/>
      <c r="O251"/>
      <c r="P251"/>
      <c r="Q251"/>
      <c r="R251"/>
      <c r="S251"/>
      <c r="T251"/>
      <c r="U251"/>
      <c r="X251"/>
      <c r="AB251"/>
      <c r="AC251"/>
      <c r="AF251" s="360">
        <f t="shared" si="16"/>
        <v>0</v>
      </c>
      <c r="AG251" s="60">
        <f>IF(AF251=0,,IF(S.Notice.AD.Involved="N",,S.Notice.BANNER.Begin))</f>
        <v>0</v>
      </c>
      <c r="AH251" s="60">
        <f>IF(AF251=0,,IF(S.Notice.AD.Involved="N",,WORKDAY(MIN(S.Notice.OpenComment,S.Notice.SubmitToSOS),-13,S.DDL_DEQClosed)))</f>
        <v>0</v>
      </c>
      <c r="AI251" s="59"/>
      <c r="AJ251" s="59"/>
      <c r="AK251" s="182" t="str">
        <f>"* obtains "&amp;S.Staff.Program.Mgr.FirstName&amp;"'s email approval"</f>
        <v>* obtains Leah's email approval</v>
      </c>
      <c r="AL251" s="76"/>
    </row>
    <row r="252" spans="1:38" s="23" customFormat="1" ht="6" hidden="1" customHeight="1" outlineLevel="1">
      <c r="A252" s="145"/>
      <c r="B252" s="329"/>
      <c r="C252" s="329"/>
      <c r="D252" s="689"/>
      <c r="E252" s="689"/>
      <c r="F252" s="788"/>
      <c r="G252" s="286"/>
      <c r="H252" s="331"/>
      <c r="I252" s="39"/>
      <c r="AF252" s="360">
        <v>0</v>
      </c>
      <c r="AG252" s="76"/>
      <c r="AH252" s="76"/>
      <c r="AI252" s="108" t="s">
        <v>229</v>
      </c>
      <c r="AJ252" s="343"/>
      <c r="AK252" s="77"/>
      <c r="AL252" s="76"/>
    </row>
    <row r="253" spans="1:38" s="23" customFormat="1" ht="19.5" hidden="1" customHeight="1" outlineLevel="1">
      <c r="A253" s="145"/>
      <c r="B253" s="518" t="s">
        <v>582</v>
      </c>
      <c r="D253" s="701"/>
      <c r="E253" s="701"/>
      <c r="F253"/>
      <c r="I253" s="740"/>
      <c r="AF253" s="360">
        <f>IF(AND(S.Hearing.1stInvolve="Y",S.EQC.FacHearing="Y"),1,0)</f>
        <v>0</v>
      </c>
      <c r="AG253" s="59"/>
      <c r="AH253" s="59"/>
      <c r="AI253" s="59"/>
      <c r="AJ253" s="62"/>
      <c r="AK253" s="345"/>
      <c r="AL253" s="76"/>
    </row>
    <row r="254" spans="1:38" s="23" customFormat="1" ht="15" hidden="1" customHeight="1" outlineLevel="1">
      <c r="A254" s="145"/>
      <c r="B254" s="221" t="str">
        <f>AK254</f>
        <v>Jerry:</v>
      </c>
      <c r="C254" s="541" t="s">
        <v>0</v>
      </c>
      <c r="D254" s="283"/>
      <c r="E254" s="745"/>
      <c r="F254"/>
      <c r="G254" s="192"/>
      <c r="H254" s="193"/>
      <c r="I254" s="740"/>
      <c r="AF254" s="360">
        <f>IF(AND(S.Hearing.1stInvolve="Y",S.EQC.FacHearing="Y"),1,0)</f>
        <v>0</v>
      </c>
      <c r="AG254" s="58"/>
      <c r="AH254" s="58"/>
      <c r="AI254" s="47"/>
      <c r="AJ254" s="44"/>
      <c r="AK254" s="182" t="str">
        <f>S.Staff.Subject.Expert.FirstName&amp;":"</f>
        <v>Jerry:</v>
      </c>
      <c r="AL254" s="76"/>
    </row>
    <row r="255" spans="1:38" s="23" customFormat="1" ht="15.75" hidden="1" customHeight="1" outlineLevel="1">
      <c r="A255" s="145"/>
      <c r="B255" s="319" t="s">
        <v>567</v>
      </c>
      <c r="C255" s="506" t="str">
        <f>HYPERLINK("http://www.oregonlaws.org/ors/192.630","i")</f>
        <v>i</v>
      </c>
      <c r="D255" s="283"/>
      <c r="E255" s="745"/>
      <c r="F255" s="191"/>
      <c r="G255" s="192"/>
      <c r="H255" s="193"/>
      <c r="I255" s="740"/>
      <c r="J255"/>
      <c r="K255"/>
      <c r="L255"/>
      <c r="M255"/>
      <c r="N255"/>
      <c r="O255"/>
      <c r="P255"/>
      <c r="Q255"/>
      <c r="R255"/>
      <c r="S255"/>
      <c r="T255"/>
      <c r="U255"/>
      <c r="X255"/>
      <c r="AB255"/>
      <c r="AC255"/>
      <c r="AF255" s="360">
        <f>IF(AND(S.Hearing.1stInvolve="Y",S.EQC.FacHearing="Y"),1,0)</f>
        <v>0</v>
      </c>
      <c r="AG255" s="58"/>
      <c r="AH255" s="58"/>
      <c r="AI255" s="59"/>
      <c r="AJ255" s="43"/>
      <c r="AK255" s="44"/>
      <c r="AL255" s="76"/>
    </row>
    <row r="256" spans="1:38" s="23" customFormat="1" ht="15.75" hidden="1" customHeight="1" outlineLevel="1" thickBot="1">
      <c r="A256" s="145"/>
      <c r="B256" s="318" t="s">
        <v>574</v>
      </c>
      <c r="C256" s="196"/>
      <c r="D256" s="702"/>
      <c r="E256" s="702"/>
      <c r="F256" s="191"/>
      <c r="G256" s="192"/>
      <c r="H256" s="193"/>
      <c r="I256" s="740"/>
      <c r="J256"/>
      <c r="K256"/>
      <c r="L256"/>
      <c r="M256"/>
      <c r="N256"/>
      <c r="O256"/>
      <c r="P256"/>
      <c r="Q256"/>
      <c r="R256"/>
      <c r="S256"/>
      <c r="T256"/>
      <c r="U256"/>
      <c r="X256"/>
      <c r="AB256"/>
      <c r="AC256"/>
      <c r="AF256" s="360">
        <f>IF(AND(S.Hearing.1stInvolve="Y",S.EQC.FacHearing="Y"),1,0)</f>
        <v>0</v>
      </c>
      <c r="AG256" s="58"/>
      <c r="AH256" s="58"/>
      <c r="AI256" s="59"/>
      <c r="AJ256" s="43"/>
      <c r="AK256" s="44"/>
      <c r="AL256" s="76"/>
    </row>
    <row r="257" spans="1:38" s="23" customFormat="1" ht="15.75" hidden="1" customHeight="1" outlineLevel="1" thickBot="1">
      <c r="A257" s="145"/>
      <c r="B257" s="734" t="s">
        <v>348</v>
      </c>
      <c r="C257" s="477" t="s">
        <v>205</v>
      </c>
      <c r="D257" s="283"/>
      <c r="E257" s="878"/>
      <c r="F257" s="988" t="str">
        <f>AK259</f>
        <v/>
      </c>
      <c r="G257" s="989"/>
      <c r="H257" s="256">
        <v>41927</v>
      </c>
      <c r="I257" s="740"/>
      <c r="J257"/>
      <c r="K257"/>
      <c r="L257"/>
      <c r="M257"/>
      <c r="N257"/>
      <c r="O257"/>
      <c r="P257"/>
      <c r="Q257"/>
      <c r="R257"/>
      <c r="S257"/>
      <c r="T257"/>
      <c r="U257"/>
      <c r="X257"/>
      <c r="AB257"/>
      <c r="AC257"/>
      <c r="AF257" s="360">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4" t="s">
        <v>295</v>
      </c>
      <c r="C258" s="477" t="s">
        <v>205</v>
      </c>
      <c r="D258" s="283"/>
      <c r="E258" s="745"/>
      <c r="F258" s="988"/>
      <c r="G258" s="989"/>
      <c r="H258" s="256">
        <v>41927</v>
      </c>
      <c r="I258" s="740"/>
      <c r="J258"/>
      <c r="K258"/>
      <c r="L258"/>
      <c r="M258"/>
      <c r="N258"/>
      <c r="O258"/>
      <c r="P258"/>
      <c r="Q258"/>
      <c r="R258"/>
      <c r="S258"/>
      <c r="T258"/>
      <c r="U258"/>
      <c r="X258"/>
      <c r="AB258"/>
      <c r="AC258"/>
      <c r="AF258" s="360">
        <f>IF(AND(S.Hearing.1stInvolve="Y",S.EQC.FacHearing="Y",C258="Y"),1,0)</f>
        <v>0</v>
      </c>
      <c r="AG258" s="58"/>
      <c r="AH258" s="47"/>
      <c r="AI258" s="47"/>
      <c r="AJ258" s="44"/>
      <c r="AK258" s="44"/>
      <c r="AL258" s="76"/>
    </row>
    <row r="259" spans="1:38" s="23" customFormat="1" ht="15.75" hidden="1" customHeight="1" outlineLevel="1" thickBot="1">
      <c r="A259" s="145"/>
      <c r="B259" s="734" t="s">
        <v>296</v>
      </c>
      <c r="C259" s="477" t="s">
        <v>205</v>
      </c>
      <c r="D259" s="283"/>
      <c r="E259" s="745"/>
      <c r="F259" s="988"/>
      <c r="G259" s="989"/>
      <c r="H259" s="256">
        <v>41934</v>
      </c>
      <c r="I259" s="740"/>
      <c r="J259"/>
      <c r="K259"/>
      <c r="L259"/>
      <c r="M259"/>
      <c r="N259"/>
      <c r="O259"/>
      <c r="P259"/>
      <c r="Q259"/>
      <c r="R259"/>
      <c r="S259"/>
      <c r="T259"/>
      <c r="U259"/>
      <c r="X259"/>
      <c r="AB259"/>
      <c r="AC259"/>
      <c r="AF259" s="360">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4" t="s">
        <v>297</v>
      </c>
      <c r="C260" s="477" t="s">
        <v>205</v>
      </c>
      <c r="D260" s="283"/>
      <c r="E260" s="745"/>
      <c r="F260" s="988"/>
      <c r="G260" s="989"/>
      <c r="H260" s="256">
        <v>41934</v>
      </c>
      <c r="I260" s="740"/>
      <c r="J260"/>
      <c r="K260"/>
      <c r="L260"/>
      <c r="M260"/>
      <c r="N260"/>
      <c r="O260"/>
      <c r="P260"/>
      <c r="Q260"/>
      <c r="R260"/>
      <c r="S260"/>
      <c r="T260"/>
      <c r="U260"/>
      <c r="X260"/>
      <c r="AB260"/>
      <c r="AC260"/>
      <c r="AF260" s="360">
        <f>IF(AND(S.Hearing.1stInvolve="Y",S.EQC.FacHearing="Y",C260="Y"),1,0)</f>
        <v>0</v>
      </c>
      <c r="AG260" s="58"/>
      <c r="AH260" s="47"/>
      <c r="AI260" s="47"/>
      <c r="AJ260" s="44"/>
      <c r="AK260" s="44"/>
      <c r="AL260" s="76"/>
    </row>
    <row r="261" spans="1:38" s="23" customFormat="1" ht="15.75" hidden="1" customHeight="1" outlineLevel="1" thickBot="1">
      <c r="A261" s="145"/>
      <c r="B261" s="735" t="s">
        <v>298</v>
      </c>
      <c r="C261" s="477" t="s">
        <v>205</v>
      </c>
      <c r="D261" s="283"/>
      <c r="E261" s="745"/>
      <c r="F261" s="988"/>
      <c r="G261" s="989"/>
      <c r="H261" s="256">
        <v>41934</v>
      </c>
      <c r="I261" s="740"/>
      <c r="AF261" s="360">
        <f>IF(AND(S.Hearing.1stInvolve="Y",S.EQC.FacHearing="Y",C261="Y"),1,0)</f>
        <v>0</v>
      </c>
      <c r="AG261" s="58"/>
      <c r="AH261" s="47"/>
      <c r="AI261" s="59"/>
      <c r="AJ261" s="44"/>
      <c r="AK261" s="44"/>
      <c r="AL261" s="76"/>
    </row>
    <row r="262" spans="1:38" s="23" customFormat="1" ht="6" customHeight="1" outlineLevel="1">
      <c r="A262" s="145"/>
      <c r="B262" s="329"/>
      <c r="C262" s="329"/>
      <c r="D262" s="689"/>
      <c r="E262" s="689"/>
      <c r="F262" s="788"/>
      <c r="G262" s="286"/>
      <c r="H262" s="331"/>
      <c r="I262" s="39"/>
      <c r="AF262" s="360">
        <v>0</v>
      </c>
      <c r="AG262" s="76"/>
      <c r="AH262" s="76"/>
      <c r="AI262" s="108" t="s">
        <v>229</v>
      </c>
      <c r="AJ262" s="343"/>
      <c r="AK262" s="77"/>
      <c r="AL262" s="76"/>
    </row>
    <row r="263" spans="1:38" s="23" customFormat="1" ht="19.5" customHeight="1" outlineLevel="1">
      <c r="A263" s="145"/>
      <c r="B263" s="518" t="s">
        <v>547</v>
      </c>
      <c r="C263"/>
      <c r="D263" s="701"/>
      <c r="E263" s="701"/>
      <c r="F263"/>
      <c r="G263"/>
      <c r="H263"/>
      <c r="I263" s="740"/>
      <c r="J263"/>
      <c r="K263"/>
      <c r="L263"/>
      <c r="M263"/>
      <c r="N263"/>
      <c r="O263"/>
      <c r="P263"/>
      <c r="Q263"/>
      <c r="R263"/>
      <c r="S263"/>
      <c r="T263"/>
      <c r="U263"/>
      <c r="X263"/>
      <c r="AB263"/>
      <c r="AC263"/>
      <c r="AF263" s="360">
        <f t="shared" ref="AF263:AF282" si="17">IF(S.Planning.DecisionToAddToPlan="A",1,0)</f>
        <v>1</v>
      </c>
      <c r="AG263" s="59"/>
      <c r="AH263" s="59"/>
      <c r="AI263" s="59"/>
      <c r="AJ263" s="62"/>
      <c r="AK263" s="44"/>
      <c r="AL263" s="76"/>
    </row>
    <row r="264" spans="1:38" s="23" customFormat="1" ht="15.75" customHeight="1" outlineLevel="1">
      <c r="A264" s="145"/>
      <c r="B264" s="342" t="str">
        <f>AK264</f>
        <v>Jerry coordinates with Team to:</v>
      </c>
      <c r="C264" s="196"/>
      <c r="D264" s="188" t="s">
        <v>784</v>
      </c>
      <c r="E264" s="874"/>
      <c r="F264"/>
      <c r="G264" s="190">
        <f>AG264</f>
        <v>0</v>
      </c>
      <c r="H264" s="256">
        <f>AH264</f>
        <v>0</v>
      </c>
      <c r="I264" s="740"/>
      <c r="J264"/>
      <c r="K264"/>
      <c r="L264"/>
      <c r="M264"/>
      <c r="N264"/>
      <c r="O264"/>
      <c r="P264"/>
      <c r="Q264"/>
      <c r="R264"/>
      <c r="S264"/>
      <c r="T264"/>
      <c r="U264"/>
      <c r="X264"/>
      <c r="AB264"/>
      <c r="AC264"/>
      <c r="AF264" s="360">
        <f t="shared" si="17"/>
        <v>1</v>
      </c>
      <c r="AG264" s="60">
        <f>S.Planning.AddConceptToPlanDate</f>
        <v>0</v>
      </c>
      <c r="AH264" s="60">
        <f>G264</f>
        <v>0</v>
      </c>
      <c r="AI264" s="59"/>
      <c r="AJ264" s="43"/>
      <c r="AK264" s="78" t="str">
        <f>S.Staff.Subject.Expert.FirstName&amp;" coordinates with Team to:"</f>
        <v>Jerry coordinates with Team to:</v>
      </c>
      <c r="AL264" s="76"/>
    </row>
    <row r="265" spans="1:38" s="23" customFormat="1" ht="15.75" customHeight="1" outlineLevel="1">
      <c r="A265" s="145"/>
      <c r="B265" s="269" t="s">
        <v>556</v>
      </c>
      <c r="C265" s="196"/>
      <c r="D265" s="188" t="s">
        <v>784</v>
      </c>
      <c r="E265" s="874"/>
      <c r="I265" s="740"/>
      <c r="AF265" s="360">
        <f t="shared" si="17"/>
        <v>1</v>
      </c>
      <c r="AG265" s="59"/>
      <c r="AH265" s="59"/>
      <c r="AI265" s="59"/>
      <c r="AJ265" s="43"/>
      <c r="AK265" s="58" t="s">
        <v>0</v>
      </c>
      <c r="AL265" s="76"/>
    </row>
    <row r="266" spans="1:38" s="23" customFormat="1" ht="15.75" customHeight="1" outlineLevel="1">
      <c r="A266" s="145"/>
      <c r="B266" s="269" t="s">
        <v>550</v>
      </c>
      <c r="C266" s="196"/>
      <c r="D266" s="188" t="s">
        <v>784</v>
      </c>
      <c r="E266" s="874"/>
      <c r="I266" s="740"/>
      <c r="AF266" s="360">
        <f t="shared" si="17"/>
        <v>1</v>
      </c>
      <c r="AG266" s="59"/>
      <c r="AH266" s="59"/>
      <c r="AI266" s="59"/>
      <c r="AJ266" s="43"/>
      <c r="AK266" s="58" t="s">
        <v>0</v>
      </c>
      <c r="AL266" s="76"/>
    </row>
    <row r="267" spans="1:38" s="23" customFormat="1" ht="15.75" customHeight="1" outlineLevel="1">
      <c r="A267" s="145"/>
      <c r="B267" s="269" t="s">
        <v>555</v>
      </c>
      <c r="C267" s="196"/>
      <c r="D267" s="188" t="s">
        <v>784</v>
      </c>
      <c r="E267" s="874"/>
      <c r="I267" s="740"/>
      <c r="AF267" s="360">
        <f t="shared" si="17"/>
        <v>1</v>
      </c>
      <c r="AG267" s="59"/>
      <c r="AH267" s="59"/>
      <c r="AI267" s="59"/>
      <c r="AJ267" s="43"/>
      <c r="AK267" s="58" t="s">
        <v>0</v>
      </c>
      <c r="AL267" s="76"/>
    </row>
    <row r="268" spans="1:38" s="23" customFormat="1" ht="15.75" customHeight="1" outlineLevel="1">
      <c r="A268" s="145"/>
      <c r="B268" s="269" t="s">
        <v>260</v>
      </c>
      <c r="C268" s="506" t="str">
        <f>HYPERLINK("http://arcweb.sos.state.or.us/pages/rules/oars_300/oar_340/340_018.html","i")</f>
        <v>i</v>
      </c>
      <c r="D268" s="354" t="s">
        <v>784</v>
      </c>
      <c r="E268" s="879"/>
      <c r="I268" s="740"/>
      <c r="AF268" s="360">
        <f t="shared" si="17"/>
        <v>1</v>
      </c>
      <c r="AG268" s="59"/>
      <c r="AH268" s="59"/>
      <c r="AI268" s="59"/>
      <c r="AJ268" s="43"/>
      <c r="AK268" s="58" t="s">
        <v>0</v>
      </c>
      <c r="AL268" s="76"/>
    </row>
    <row r="269" spans="1:38" s="23" customFormat="1" ht="15.75" customHeight="1" outlineLevel="1">
      <c r="A269" s="145"/>
      <c r="B269" s="269" t="s">
        <v>549</v>
      </c>
      <c r="C269" s="506" t="str">
        <f>HYPERLINK("http://arcweb.sos.state.or.us/pages/rules/oars_300/oar_340/340_018.html","i")</f>
        <v>i</v>
      </c>
      <c r="D269" s="354" t="s">
        <v>784</v>
      </c>
      <c r="E269" s="879"/>
      <c r="I269" s="740"/>
      <c r="AF269" s="360">
        <f t="shared" si="17"/>
        <v>1</v>
      </c>
      <c r="AG269" s="59"/>
      <c r="AH269" s="59"/>
      <c r="AI269" s="59"/>
      <c r="AJ269" s="43"/>
      <c r="AK269" s="58" t="s">
        <v>0</v>
      </c>
      <c r="AL269" s="76"/>
    </row>
    <row r="270" spans="1:38" s="23" customFormat="1" ht="15.75" customHeight="1" outlineLevel="1">
      <c r="A270" s="145"/>
      <c r="B270" s="342" t="str">
        <f>AK270</f>
        <v>Jerry:</v>
      </c>
      <c r="D270" s="702"/>
      <c r="E270" s="874"/>
      <c r="F270" s="191"/>
      <c r="I270" s="740"/>
      <c r="AF270" s="360">
        <f t="shared" si="17"/>
        <v>1</v>
      </c>
      <c r="AG270" s="59"/>
      <c r="AH270" s="59"/>
      <c r="AI270" s="59"/>
      <c r="AJ270" s="43"/>
      <c r="AK270" s="78" t="str">
        <f>S.Staff.Subject.Expert.FirstName&amp;":"</f>
        <v>Jerry:</v>
      </c>
      <c r="AL270" s="76"/>
    </row>
    <row r="271" spans="1:38" s="23" customFormat="1" ht="15.75" customHeight="1" outlineLevel="1">
      <c r="A271" s="145"/>
      <c r="B271" s="1066" t="s">
        <v>184</v>
      </c>
      <c r="C271" s="506" t="str">
        <f>HYPERLINK("http://arcweb.sos.state.or.us/pages/rules/oars_300/oar_340/340_tofc.html","i")</f>
        <v>i</v>
      </c>
      <c r="D271" s="188"/>
      <c r="E271" s="874"/>
      <c r="F271" s="191"/>
      <c r="H271" s="190">
        <f>AH271</f>
        <v>0</v>
      </c>
      <c r="I271" s="740"/>
      <c r="AF271" s="360">
        <f t="shared" si="17"/>
        <v>1</v>
      </c>
      <c r="AG271" s="59"/>
      <c r="AH271" s="60">
        <f>S.Planning.AddConceptToPlanDate</f>
        <v>0</v>
      </c>
      <c r="AI271" s="59"/>
      <c r="AJ271" s="43"/>
      <c r="AK271" s="345"/>
      <c r="AL271" s="76"/>
    </row>
    <row r="272" spans="1:38" s="23" customFormat="1" ht="15.75" customHeight="1" outlineLevel="1">
      <c r="A272" s="145"/>
      <c r="B272" s="318" t="s">
        <v>652</v>
      </c>
      <c r="C272" s="196"/>
      <c r="D272" s="702"/>
      <c r="E272" s="702"/>
      <c r="F272" s="191"/>
      <c r="H272" s="193"/>
      <c r="I272" s="740"/>
      <c r="J272"/>
      <c r="K272"/>
      <c r="L272"/>
      <c r="M272"/>
      <c r="N272"/>
      <c r="O272"/>
      <c r="P272"/>
      <c r="Q272"/>
      <c r="R272"/>
      <c r="S272"/>
      <c r="T272"/>
      <c r="U272"/>
      <c r="X272"/>
      <c r="AB272"/>
      <c r="AC272"/>
      <c r="AF272" s="360">
        <f t="shared" si="17"/>
        <v>1</v>
      </c>
      <c r="AG272" s="59"/>
      <c r="AH272" s="58"/>
      <c r="AI272" s="59"/>
      <c r="AJ272" s="43"/>
      <c r="AK272" s="345"/>
      <c r="AL272" s="76"/>
    </row>
    <row r="273" spans="1:39" ht="15.75" customHeight="1" outlineLevel="1">
      <c r="A273" s="145"/>
      <c r="B273" s="358" t="s">
        <v>558</v>
      </c>
      <c r="C273" s="184" t="s">
        <v>0</v>
      </c>
      <c r="D273" s="702"/>
      <c r="E273" s="702"/>
      <c r="F273"/>
      <c r="G273"/>
      <c r="H273"/>
      <c r="I273" s="740"/>
      <c r="AF273" s="360">
        <f t="shared" si="17"/>
        <v>1</v>
      </c>
      <c r="AG273" s="58"/>
      <c r="AH273" s="58"/>
      <c r="AI273" s="59"/>
      <c r="AJ273" s="49"/>
      <c r="AK273" s="345"/>
      <c r="AL273" s="76"/>
      <c r="AM273"/>
    </row>
    <row r="274" spans="1:39" s="23" customFormat="1" ht="15.75" customHeight="1" outlineLevel="1">
      <c r="A274" s="145"/>
      <c r="B274" s="731" t="str">
        <f>AK274</f>
        <v xml:space="preserve">only Jerry works on rules at this location to ensure the </v>
      </c>
      <c r="C274" s="196"/>
      <c r="D274" s="702"/>
      <c r="E274" s="702"/>
      <c r="F274" s="191"/>
      <c r="G274" s="192"/>
      <c r="H274" s="193"/>
      <c r="I274" s="740"/>
      <c r="J274"/>
      <c r="K274"/>
      <c r="L274"/>
      <c r="M274"/>
      <c r="N274"/>
      <c r="O274"/>
      <c r="P274"/>
      <c r="Q274"/>
      <c r="R274"/>
      <c r="S274"/>
      <c r="T274"/>
      <c r="U274"/>
      <c r="X274"/>
      <c r="AB274"/>
      <c r="AC274"/>
      <c r="AF274" s="360">
        <f t="shared" si="17"/>
        <v>1</v>
      </c>
      <c r="AG274" s="58"/>
      <c r="AH274" s="58"/>
      <c r="AI274" s="59"/>
      <c r="AJ274" s="43"/>
      <c r="AK274" s="78" t="str">
        <f>"only "&amp;S.Staff.Subject.Expert.FirstName&amp;" works on rules at this location to ensure the "</f>
        <v xml:space="preserve">only Jerry works on rules at this location to ensure the </v>
      </c>
      <c r="AL274" s="76"/>
    </row>
    <row r="275" spans="1:39" s="23" customFormat="1" ht="15.75" customHeight="1" outlineLevel="1">
      <c r="A275" s="145"/>
      <c r="B275" s="318" t="s">
        <v>557</v>
      </c>
      <c r="C275" s="196"/>
      <c r="D275" s="702"/>
      <c r="E275" s="702"/>
      <c r="F275" s="191"/>
      <c r="G275" s="192"/>
      <c r="H275" s="193"/>
      <c r="I275" s="740"/>
      <c r="J275"/>
      <c r="K275"/>
      <c r="L275"/>
      <c r="M275"/>
      <c r="N275"/>
      <c r="O275"/>
      <c r="P275"/>
      <c r="Q275"/>
      <c r="R275"/>
      <c r="S275"/>
      <c r="T275"/>
      <c r="U275"/>
      <c r="X275"/>
      <c r="AB275"/>
      <c r="AC275"/>
      <c r="AF275" s="360">
        <f t="shared" si="17"/>
        <v>1</v>
      </c>
      <c r="AG275" s="58"/>
      <c r="AH275" s="58"/>
      <c r="AI275" s="59"/>
      <c r="AJ275" s="43"/>
      <c r="AK275" s="345"/>
      <c r="AL275" s="76"/>
    </row>
    <row r="276" spans="1:39" s="23" customFormat="1" ht="15.75" customHeight="1" outlineLevel="1">
      <c r="A276" s="145"/>
      <c r="B276" s="471" t="s">
        <v>764</v>
      </c>
      <c r="C276" s="196"/>
      <c r="D276" s="702"/>
      <c r="E276" s="702"/>
      <c r="F276" s="191"/>
      <c r="G276" s="192"/>
      <c r="H276" s="193"/>
      <c r="I276" s="740"/>
      <c r="J276"/>
      <c r="K276"/>
      <c r="L276"/>
      <c r="M276"/>
      <c r="N276"/>
      <c r="O276"/>
      <c r="P276"/>
      <c r="Q276"/>
      <c r="R276"/>
      <c r="S276"/>
      <c r="T276"/>
      <c r="U276"/>
      <c r="X276"/>
      <c r="AB276"/>
      <c r="AC276"/>
      <c r="AF276" s="360">
        <f t="shared" si="17"/>
        <v>1</v>
      </c>
      <c r="AG276" s="58"/>
      <c r="AH276" s="58"/>
      <c r="AI276" s="59"/>
      <c r="AJ276" s="43"/>
      <c r="AK276" s="345"/>
      <c r="AL276" s="76"/>
    </row>
    <row r="277" spans="1:39" s="23" customFormat="1" ht="15.75" customHeight="1" outlineLevel="1">
      <c r="A277" s="145"/>
      <c r="B277" s="269" t="s">
        <v>559</v>
      </c>
      <c r="C277" s="184" t="s">
        <v>0</v>
      </c>
      <c r="D277" s="187"/>
      <c r="E277" s="879"/>
      <c r="F277" s="191"/>
      <c r="G277" s="192"/>
      <c r="H277" s="193"/>
      <c r="I277" s="740"/>
      <c r="J277"/>
      <c r="K277"/>
      <c r="L277"/>
      <c r="M277"/>
      <c r="N277"/>
      <c r="O277"/>
      <c r="P277"/>
      <c r="Q277"/>
      <c r="R277"/>
      <c r="S277"/>
      <c r="T277"/>
      <c r="U277"/>
      <c r="X277"/>
      <c r="AB277"/>
      <c r="AC277"/>
      <c r="AF277" s="360">
        <f t="shared" si="17"/>
        <v>1</v>
      </c>
      <c r="AG277" s="58"/>
      <c r="AH277" s="58"/>
      <c r="AI277" s="59"/>
      <c r="AJ277" s="49"/>
      <c r="AK277" s="345"/>
      <c r="AL277" s="76"/>
    </row>
    <row r="278" spans="1:39" s="23" customFormat="1" ht="15.75" customHeight="1" outlineLevel="1">
      <c r="A278" s="145"/>
      <c r="B278" s="342" t="s">
        <v>560</v>
      </c>
      <c r="C278" s="196"/>
      <c r="D278" s="702"/>
      <c r="E278" s="702"/>
      <c r="F278" s="191"/>
      <c r="G278" s="192"/>
      <c r="H278" s="193"/>
      <c r="I278" s="740"/>
      <c r="J278"/>
      <c r="K278"/>
      <c r="L278"/>
      <c r="M278"/>
      <c r="N278"/>
      <c r="O278"/>
      <c r="P278"/>
      <c r="Q278"/>
      <c r="R278"/>
      <c r="S278"/>
      <c r="T278"/>
      <c r="U278"/>
      <c r="X278"/>
      <c r="AB278"/>
      <c r="AC278"/>
      <c r="AF278" s="360">
        <f t="shared" si="17"/>
        <v>1</v>
      </c>
      <c r="AG278" s="58"/>
      <c r="AH278" s="58"/>
      <c r="AI278" s="59"/>
      <c r="AJ278" s="43"/>
      <c r="AK278" s="345"/>
      <c r="AL278" s="76"/>
    </row>
    <row r="279" spans="1:39" s="23" customFormat="1" ht="15.75" customHeight="1" outlineLevel="1">
      <c r="A279" s="145"/>
      <c r="B279" s="269" t="str">
        <f>AK279</f>
        <v>* requests Maggie provide numbers for new rules/divisions</v>
      </c>
      <c r="C279" s="184" t="s">
        <v>0</v>
      </c>
      <c r="D279" s="187" t="s">
        <v>784</v>
      </c>
      <c r="E279" s="879"/>
      <c r="F279" s="191"/>
      <c r="G279"/>
      <c r="H279" s="190">
        <f>AH279</f>
        <v>0</v>
      </c>
      <c r="I279" s="740"/>
      <c r="J279"/>
      <c r="K279"/>
      <c r="L279"/>
      <c r="M279"/>
      <c r="N279"/>
      <c r="O279"/>
      <c r="P279"/>
      <c r="Q279"/>
      <c r="R279"/>
      <c r="S279"/>
      <c r="T279"/>
      <c r="U279"/>
      <c r="X279"/>
      <c r="AB279"/>
      <c r="AC279"/>
      <c r="AF279" s="360">
        <f t="shared" si="17"/>
        <v>1</v>
      </c>
      <c r="AG279" s="58"/>
      <c r="AH279" s="60">
        <f>S.Planning.AddConceptToPlanDate</f>
        <v>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2"/>
      <c r="E280" s="879"/>
      <c r="F280" s="191"/>
      <c r="I280" s="740"/>
      <c r="AF280" s="360">
        <f t="shared" si="17"/>
        <v>1</v>
      </c>
      <c r="AG280" s="58"/>
      <c r="AH280" s="58"/>
      <c r="AI280" s="59"/>
      <c r="AJ280" s="49"/>
      <c r="AK280" s="78" t="str">
        <f>S.Staff.AgencyRulesCoordinator&amp;":"</f>
        <v>Maggie:</v>
      </c>
      <c r="AL280" s="76"/>
    </row>
    <row r="281" spans="1:39" s="23" customFormat="1" ht="15.75" customHeight="1" outlineLevel="1">
      <c r="A281" s="145"/>
      <c r="B281" s="269" t="s">
        <v>562</v>
      </c>
      <c r="C281" s="184" t="s">
        <v>0</v>
      </c>
      <c r="D281" s="187" t="s">
        <v>784</v>
      </c>
      <c r="E281" s="879"/>
      <c r="F281" s="191"/>
      <c r="G281"/>
      <c r="H281" s="190">
        <f>AH281</f>
        <v>0</v>
      </c>
      <c r="I281" s="740"/>
      <c r="J281"/>
      <c r="K281"/>
      <c r="L281"/>
      <c r="M281"/>
      <c r="N281"/>
      <c r="O281"/>
      <c r="P281"/>
      <c r="Q281"/>
      <c r="R281"/>
      <c r="S281"/>
      <c r="T281"/>
      <c r="U281"/>
      <c r="X281"/>
      <c r="AB281"/>
      <c r="AC281"/>
      <c r="AF281" s="360">
        <f t="shared" si="17"/>
        <v>1</v>
      </c>
      <c r="AG281" s="58"/>
      <c r="AH281" s="60">
        <f>S.Planning.AddConceptToPlanDate</f>
        <v>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561</v>
      </c>
      <c r="C282" s="184" t="s">
        <v>0</v>
      </c>
      <c r="D282" s="187"/>
      <c r="E282" s="879"/>
      <c r="F282"/>
      <c r="H282" s="190">
        <f>AH282</f>
        <v>0</v>
      </c>
      <c r="I282" s="740"/>
      <c r="J282"/>
      <c r="K282"/>
      <c r="L282"/>
      <c r="M282"/>
      <c r="N282"/>
      <c r="O282"/>
      <c r="P282"/>
      <c r="Q282"/>
      <c r="R282"/>
      <c r="S282"/>
      <c r="T282"/>
      <c r="U282"/>
      <c r="X282"/>
      <c r="AB282"/>
      <c r="AC282"/>
      <c r="AF282" s="360">
        <f t="shared" si="17"/>
        <v>1</v>
      </c>
      <c r="AG282" s="58"/>
      <c r="AH282" s="60">
        <f>S.Planning.AddConceptToPlanDate</f>
        <v>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c r="A283" s="145"/>
      <c r="B283" s="269" t="str">
        <f>AK283</f>
        <v>* coordinates with AndreaG to identify SIP rules</v>
      </c>
      <c r="C283" s="185"/>
      <c r="D283" s="187"/>
      <c r="E283" s="879"/>
      <c r="F283"/>
      <c r="H283" s="190">
        <f>AH283</f>
        <v>0</v>
      </c>
      <c r="I283" s="740"/>
      <c r="J283"/>
      <c r="K283"/>
      <c r="L283"/>
      <c r="M283"/>
      <c r="N283"/>
      <c r="O283"/>
      <c r="P283"/>
      <c r="Q283"/>
      <c r="R283"/>
      <c r="S283"/>
      <c r="T283"/>
      <c r="U283"/>
      <c r="X283"/>
      <c r="AB283"/>
      <c r="AC283"/>
      <c r="AF283" s="360">
        <f>IF(AND(S.Planning.DecisionToAddToPlan="A",S.SIP.Involved="Y"),1,0)</f>
        <v>0</v>
      </c>
      <c r="AG283" s="60">
        <f>IF(S.SIP.Involved="Y",S.DIRECTOR.Approves.ForDEQRulemakingPlan,)</f>
        <v>0</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563</v>
      </c>
      <c r="C284" s="505" t="str">
        <f>HYPERLINK("\\deqhq1\Rule_Development\Currrent Plan","i")</f>
        <v>i</v>
      </c>
      <c r="D284" s="187"/>
      <c r="E284" s="879"/>
      <c r="F284"/>
      <c r="H284" s="190">
        <f>AH284</f>
        <v>0</v>
      </c>
      <c r="I284" s="740"/>
      <c r="J284"/>
      <c r="K284"/>
      <c r="L284"/>
      <c r="M284"/>
      <c r="N284"/>
      <c r="O284"/>
      <c r="P284"/>
      <c r="Q284"/>
      <c r="R284"/>
      <c r="S284"/>
      <c r="T284"/>
      <c r="U284"/>
      <c r="X284"/>
      <c r="AB284"/>
      <c r="AC284"/>
      <c r="AF284" s="360">
        <f>IF(S.Planning.DecisionToAddToPlan="A",1,0)</f>
        <v>1</v>
      </c>
      <c r="AG284" s="58"/>
      <c r="AH284" s="60">
        <f>S.Planning.AddConceptToPlanDate</f>
        <v>0</v>
      </c>
      <c r="AI284" s="59"/>
      <c r="AJ284" s="59"/>
      <c r="AK284" s="78" t="str">
        <f>S.Staff.Subject.Expert.FirstName&amp;" gathers all planning emails for the Rule Record and saves as:"</f>
        <v>Jerry gathers all planning emails for the Rule Record and saves as:</v>
      </c>
      <c r="AL284" s="76"/>
    </row>
    <row r="285" spans="1:39" s="23" customFormat="1" ht="15.75" customHeight="1" outlineLevel="1">
      <c r="A285" s="145"/>
      <c r="B285" s="341" t="s">
        <v>134</v>
      </c>
      <c r="C285" s="97"/>
      <c r="D285" s="218"/>
      <c r="E285" s="218"/>
      <c r="F285"/>
      <c r="G285" s="138"/>
      <c r="H285" s="138"/>
      <c r="I285" s="740"/>
      <c r="J285"/>
      <c r="K285"/>
      <c r="L285"/>
      <c r="M285"/>
      <c r="N285"/>
      <c r="O285"/>
      <c r="P285"/>
      <c r="Q285"/>
      <c r="R285"/>
      <c r="S285"/>
      <c r="T285"/>
      <c r="U285"/>
      <c r="X285"/>
      <c r="AB285"/>
      <c r="AC285"/>
      <c r="AF285" s="360">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0"/>
      <c r="AF286" s="360" t="s">
        <v>0</v>
      </c>
      <c r="AG286" s="58"/>
      <c r="AH286" s="58"/>
      <c r="AI286" s="59"/>
      <c r="AJ286" s="43"/>
      <c r="AK286" s="345"/>
      <c r="AL286" s="76"/>
      <c r="AM286"/>
    </row>
    <row r="287" spans="1:39" s="23" customFormat="1" ht="20.25" hidden="1" customHeight="1">
      <c r="A287" s="145"/>
      <c r="B287" s="1015" t="str">
        <f>AK12</f>
        <v>Advisory Committee - not involved</v>
      </c>
      <c r="C287" s="1015"/>
      <c r="D287" s="1015"/>
      <c r="E287" s="1015"/>
      <c r="F287" s="1015"/>
      <c r="G287" s="1015"/>
      <c r="H287" s="1015"/>
      <c r="I287" s="740"/>
      <c r="J287"/>
      <c r="K287"/>
      <c r="L287"/>
      <c r="M287"/>
      <c r="N287"/>
      <c r="O287"/>
      <c r="P287"/>
      <c r="Q287"/>
      <c r="R287"/>
      <c r="S287"/>
      <c r="T287"/>
      <c r="U287"/>
      <c r="X287"/>
      <c r="AB287"/>
      <c r="AC287"/>
      <c r="AF287" s="360" t="s">
        <v>0</v>
      </c>
      <c r="AG287" s="76"/>
      <c r="AH287" s="76"/>
      <c r="AI287" s="59"/>
      <c r="AJ287" s="68"/>
      <c r="AK287" s="345"/>
      <c r="AL287" s="76"/>
    </row>
    <row r="288" spans="1:39" s="375" customFormat="1" ht="14.1" hidden="1" customHeight="1" outlineLevel="1">
      <c r="A288" s="372"/>
      <c r="B288" s="453" t="str">
        <f>S.General.CodeName</f>
        <v>GHGTemp</v>
      </c>
      <c r="C288" s="373" t="s">
        <v>0</v>
      </c>
      <c r="D288" s="373"/>
      <c r="E288" s="373"/>
      <c r="F288" s="381" t="s">
        <v>0</v>
      </c>
      <c r="G288" s="374" t="s">
        <v>56</v>
      </c>
      <c r="H288" s="374" t="s">
        <v>171</v>
      </c>
      <c r="I288" s="740"/>
      <c r="J288"/>
      <c r="K288"/>
      <c r="L288"/>
      <c r="M288"/>
      <c r="N288"/>
      <c r="O288"/>
      <c r="P288"/>
      <c r="Q288"/>
      <c r="R288"/>
      <c r="S288"/>
      <c r="T288"/>
      <c r="U288"/>
      <c r="V288" s="23"/>
      <c r="W288" s="23"/>
      <c r="X288"/>
      <c r="Y288" s="23"/>
      <c r="Z288" s="23"/>
      <c r="AA288" s="23"/>
      <c r="AB288"/>
      <c r="AC288"/>
      <c r="AD288" s="23"/>
      <c r="AE288" s="23"/>
      <c r="AF288" s="377" t="s">
        <v>58</v>
      </c>
      <c r="AG288" s="376"/>
      <c r="AH288" s="376"/>
      <c r="AI288" s="378"/>
      <c r="AJ288" s="379"/>
      <c r="AK288" s="380"/>
      <c r="AL288" s="376"/>
    </row>
    <row r="289" spans="1:39" ht="14.1" hidden="1" customHeight="1" outlineLevel="1">
      <c r="A289" s="145"/>
      <c r="B289" s="383" t="s">
        <v>0</v>
      </c>
      <c r="C289" s="116" t="s">
        <v>0</v>
      </c>
      <c r="D289" s="703"/>
      <c r="E289" s="703"/>
      <c r="F289" s="116"/>
      <c r="G289" s="198">
        <f>AG289</f>
        <v>41761</v>
      </c>
      <c r="H289" s="198">
        <f>S.AC.BANNER.End</f>
        <v>0</v>
      </c>
      <c r="I289" s="740"/>
      <c r="AF289" s="360" t="s">
        <v>58</v>
      </c>
      <c r="AG289" s="60">
        <f>S.AC.BANNER.Begin</f>
        <v>41761</v>
      </c>
      <c r="AH289" s="60">
        <f>S.AC.BANNER.End</f>
        <v>0</v>
      </c>
      <c r="AI289" s="47"/>
      <c r="AJ289" s="61"/>
      <c r="AK289" s="345"/>
      <c r="AL289" s="76"/>
      <c r="AM289"/>
    </row>
    <row r="290" spans="1:39" ht="6" hidden="1" customHeight="1" outlineLevel="1">
      <c r="A290" s="145"/>
      <c r="B290" s="106"/>
      <c r="C290" s="98"/>
      <c r="D290" s="687"/>
      <c r="E290" s="687"/>
      <c r="F290" s="99"/>
      <c r="G290" s="98"/>
      <c r="H290" s="98"/>
      <c r="I290" s="740"/>
      <c r="AF290" s="361" t="s">
        <v>16</v>
      </c>
      <c r="AG290" s="47"/>
      <c r="AH290" s="47"/>
      <c r="AI290" s="47"/>
      <c r="AJ290" s="43"/>
      <c r="AK290" s="345"/>
      <c r="AL290" s="76"/>
      <c r="AM290"/>
    </row>
    <row r="291" spans="1:39" s="23" customFormat="1" ht="14.1" hidden="1" customHeight="1" outlineLevel="1">
      <c r="A291" s="145"/>
      <c r="B291" s="534" t="s">
        <v>335</v>
      </c>
      <c r="C291" s="505" t="str">
        <f>HYPERLINK("\\deqhq1\Rule_Resources\i\0-VersionHistory.pdf","i")</f>
        <v>i</v>
      </c>
      <c r="D291" s="283"/>
      <c r="E291" s="745"/>
      <c r="F291"/>
      <c r="G291" s="82"/>
      <c r="H291" s="82"/>
      <c r="I291" s="740"/>
      <c r="J291"/>
      <c r="K291"/>
      <c r="L291"/>
      <c r="M291"/>
      <c r="N291"/>
      <c r="O291"/>
      <c r="P291"/>
      <c r="Q291"/>
      <c r="R291"/>
      <c r="S291"/>
      <c r="T291"/>
      <c r="U291"/>
      <c r="X291"/>
      <c r="AB291"/>
      <c r="AC291"/>
      <c r="AF291" s="361" t="s">
        <v>20</v>
      </c>
      <c r="AG291" s="47"/>
      <c r="AH291" s="47"/>
      <c r="AI291" s="69"/>
      <c r="AJ291" s="69"/>
      <c r="AK291" s="35"/>
      <c r="AL291" s="76"/>
    </row>
    <row r="292" spans="1:39" s="23" customFormat="1" ht="14.1" hidden="1" customHeight="1" outlineLevel="1">
      <c r="A292" s="145"/>
      <c r="B292" s="316" t="str">
        <f>AK292</f>
        <v xml:space="preserve">Jerry holds/leads team meeting to: </v>
      </c>
      <c r="C292" s="324" t="s">
        <v>0</v>
      </c>
      <c r="D292" s="283"/>
      <c r="E292" s="283"/>
      <c r="F292"/>
      <c r="G292" s="521">
        <f>AG292</f>
        <v>41761</v>
      </c>
      <c r="H292" s="521">
        <f>AH292</f>
        <v>41761</v>
      </c>
      <c r="I292" s="740"/>
      <c r="J292"/>
      <c r="K292"/>
      <c r="L292"/>
      <c r="M292"/>
      <c r="N292"/>
      <c r="O292"/>
      <c r="P292"/>
      <c r="Q292"/>
      <c r="R292"/>
      <c r="S292"/>
      <c r="T292"/>
      <c r="U292"/>
      <c r="X292"/>
      <c r="AB292"/>
      <c r="AC292"/>
      <c r="AF292" s="361">
        <f t="shared" ref="AF292:AF317" si="18">IF(S.AC.CommitteeInvolved="Y",1,0)</f>
        <v>0</v>
      </c>
      <c r="AG292" s="60">
        <f>S.AC.BANNER.Begin</f>
        <v>41761</v>
      </c>
      <c r="AH292" s="60">
        <f>G292</f>
        <v>41761</v>
      </c>
      <c r="AI292" s="59"/>
      <c r="AJ292" s="59"/>
      <c r="AK292" s="78" t="str">
        <f>S.Staff.Subject.Expert.FirstName&amp;" holds/leads team meeting to: "</f>
        <v xml:space="preserve">Jerry holds/leads team meeting to: </v>
      </c>
      <c r="AL292" s="76"/>
    </row>
    <row r="293" spans="1:39" s="23" customFormat="1" ht="14.1" hidden="1" customHeight="1" outlineLevel="1">
      <c r="A293" s="145"/>
      <c r="B293" s="431" t="s">
        <v>699</v>
      </c>
      <c r="C293" s="539"/>
      <c r="D293" s="283"/>
      <c r="E293" s="745"/>
      <c r="F293"/>
      <c r="G293" s="280"/>
      <c r="H293" s="280"/>
      <c r="I293" s="740"/>
      <c r="AF293" s="361">
        <f t="shared" si="18"/>
        <v>0</v>
      </c>
      <c r="AG293" s="34"/>
      <c r="AH293" s="34" t="s">
        <v>0</v>
      </c>
      <c r="AI293" s="47"/>
      <c r="AJ293" s="43"/>
      <c r="AK293" s="345"/>
      <c r="AL293" s="76"/>
    </row>
    <row r="294" spans="1:39" s="23" customFormat="1" ht="14.1" hidden="1" customHeight="1" outlineLevel="1">
      <c r="A294" s="145"/>
      <c r="B294" s="865" t="s">
        <v>700</v>
      </c>
      <c r="C294" s="505" t="str">
        <f>HYPERLINK("\\deqhq1\Rule_Resources\i\2-AdvisoryCommittee.pdf","i")</f>
        <v>i</v>
      </c>
      <c r="D294" s="283"/>
      <c r="E294" s="745"/>
      <c r="F294"/>
      <c r="G294" s="280"/>
      <c r="H294" s="280"/>
      <c r="I294" s="740"/>
      <c r="J294"/>
      <c r="K294"/>
      <c r="L294"/>
      <c r="M294"/>
      <c r="N294"/>
      <c r="O294"/>
      <c r="P294"/>
      <c r="Q294"/>
      <c r="R294"/>
      <c r="S294"/>
      <c r="T294"/>
      <c r="U294"/>
      <c r="X294"/>
      <c r="AB294"/>
      <c r="AC294"/>
      <c r="AF294" s="361">
        <f t="shared" si="18"/>
        <v>0</v>
      </c>
      <c r="AG294" s="34"/>
      <c r="AH294" s="34" t="s">
        <v>0</v>
      </c>
      <c r="AI294" s="59"/>
      <c r="AJ294" s="59"/>
      <c r="AK294" s="345"/>
      <c r="AL294" s="76"/>
    </row>
    <row r="295" spans="1:39" ht="14.1" hidden="1" customHeight="1" outlineLevel="1">
      <c r="A295" s="145"/>
      <c r="B295" s="731" t="str">
        <f>AK295</f>
        <v>- Public Involvement Resources, discuss when to engage BrianW</v>
      </c>
      <c r="C295" s="505" t="str">
        <f>HYPERLINK("http://deq05/intranet/communication/publicinvolvement/index.htm","i")</f>
        <v>i</v>
      </c>
      <c r="D295" s="283"/>
      <c r="E295" s="745"/>
      <c r="F295"/>
      <c r="G295" s="280"/>
      <c r="H295" s="280"/>
      <c r="I295" s="740"/>
      <c r="AF295" s="361">
        <f t="shared" si="18"/>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65" t="s">
        <v>702</v>
      </c>
      <c r="C296" s="540"/>
      <c r="D296" s="283"/>
      <c r="E296" s="745"/>
      <c r="F296"/>
      <c r="G296" s="280"/>
      <c r="H296" s="280"/>
      <c r="I296" s="740"/>
      <c r="AF296" s="361">
        <f t="shared" si="18"/>
        <v>0</v>
      </c>
      <c r="AG296" s="34"/>
      <c r="AH296" s="34" t="s">
        <v>0</v>
      </c>
      <c r="AI296" s="47"/>
      <c r="AJ296" s="43"/>
      <c r="AK296" s="345"/>
      <c r="AL296" s="76"/>
    </row>
    <row r="297" spans="1:39" s="23" customFormat="1" ht="14.1" hidden="1" customHeight="1" outlineLevel="1">
      <c r="A297" s="145"/>
      <c r="B297" s="866" t="s">
        <v>701</v>
      </c>
      <c r="C297" s="268" t="s">
        <v>0</v>
      </c>
      <c r="D297" s="283"/>
      <c r="E297" s="745"/>
      <c r="F297"/>
      <c r="G297" s="280"/>
      <c r="H297" s="280"/>
      <c r="I297" s="740"/>
      <c r="J297"/>
      <c r="K297"/>
      <c r="L297"/>
      <c r="M297"/>
      <c r="N297"/>
      <c r="O297"/>
      <c r="P297"/>
      <c r="Q297"/>
      <c r="R297"/>
      <c r="S297"/>
      <c r="T297"/>
      <c r="U297"/>
      <c r="X297"/>
      <c r="AB297"/>
      <c r="AC297"/>
      <c r="AF297" s="361">
        <f t="shared" si="18"/>
        <v>0</v>
      </c>
      <c r="AG297" s="34"/>
      <c r="AH297" s="34" t="s">
        <v>0</v>
      </c>
      <c r="AI297" s="59"/>
      <c r="AJ297" s="59"/>
      <c r="AK297" s="345"/>
      <c r="AL297" s="76"/>
    </row>
    <row r="298" spans="1:39" s="23" customFormat="1" ht="14.1" hidden="1" customHeight="1" outlineLevel="1">
      <c r="A298" s="145"/>
      <c r="B298" s="431" t="s">
        <v>693</v>
      </c>
      <c r="C298" s="539"/>
      <c r="D298" s="283"/>
      <c r="E298" s="745"/>
      <c r="F298"/>
      <c r="G298" s="280"/>
      <c r="H298" s="280"/>
      <c r="I298" s="740"/>
      <c r="J298"/>
      <c r="K298"/>
      <c r="L298"/>
      <c r="M298"/>
      <c r="N298"/>
      <c r="O298"/>
      <c r="P298"/>
      <c r="Q298"/>
      <c r="R298"/>
      <c r="S298"/>
      <c r="T298"/>
      <c r="U298"/>
      <c r="X298"/>
      <c r="AB298"/>
      <c r="AC298"/>
      <c r="AF298" s="361">
        <f t="shared" si="18"/>
        <v>0</v>
      </c>
      <c r="AG298" s="34"/>
      <c r="AH298" s="34" t="s">
        <v>0</v>
      </c>
      <c r="AI298" s="47"/>
      <c r="AJ298" s="43"/>
      <c r="AK298" s="345"/>
      <c r="AL298" s="76"/>
    </row>
    <row r="299" spans="1:39" ht="14.1" hidden="1" customHeight="1" outlineLevel="1" thickBot="1">
      <c r="A299" s="145"/>
      <c r="B299" s="865" t="s">
        <v>691</v>
      </c>
      <c r="C299" s="505" t="str">
        <f>HYPERLINK("http://www.doj.state.or.us/pdf/public_records_and_meetings_manual.pdf","i")</f>
        <v>i</v>
      </c>
      <c r="D299" s="283"/>
      <c r="E299" s="745"/>
      <c r="F299"/>
      <c r="G299" s="280"/>
      <c r="H299" s="280"/>
      <c r="I299" s="740"/>
      <c r="AF299" s="361">
        <f t="shared" si="18"/>
        <v>0</v>
      </c>
      <c r="AG299" s="34"/>
      <c r="AH299" s="34" t="s">
        <v>0</v>
      </c>
      <c r="AI299" s="47"/>
      <c r="AJ299" s="43"/>
      <c r="AK299" s="34" t="s">
        <v>213</v>
      </c>
      <c r="AL299" s="76"/>
      <c r="AM299"/>
    </row>
    <row r="300" spans="1:39" ht="14.1" hidden="1" customHeight="1" outlineLevel="1" thickBot="1">
      <c r="A300" s="145"/>
      <c r="B300" s="865" t="s">
        <v>692</v>
      </c>
      <c r="C300" s="505" t="str">
        <f>HYPERLINK("http://www.oregonlaws.org/ors/192.630","i")</f>
        <v>i</v>
      </c>
      <c r="D300" s="283"/>
      <c r="E300" s="745"/>
      <c r="F300"/>
      <c r="G300" s="280"/>
      <c r="H300" s="280"/>
      <c r="I300" s="740"/>
      <c r="AF300" s="361">
        <f t="shared" si="18"/>
        <v>0</v>
      </c>
      <c r="AG300" s="34"/>
      <c r="AH300" s="34" t="s">
        <v>0</v>
      </c>
      <c r="AI300" s="47"/>
      <c r="AJ300" s="43"/>
      <c r="AK300" s="441" t="s">
        <v>207</v>
      </c>
      <c r="AL300" s="355" t="s">
        <v>48</v>
      </c>
      <c r="AM300"/>
    </row>
    <row r="301" spans="1:39" s="23" customFormat="1" ht="14.1" hidden="1" customHeight="1" outlineLevel="1">
      <c r="A301" s="145"/>
      <c r="B301" s="865" t="s">
        <v>694</v>
      </c>
      <c r="C301" s="540"/>
      <c r="D301" s="283"/>
      <c r="E301" s="745"/>
      <c r="F301"/>
      <c r="G301" s="280"/>
      <c r="H301" s="280"/>
      <c r="I301" s="740"/>
      <c r="J301"/>
      <c r="K301"/>
      <c r="L301"/>
      <c r="M301"/>
      <c r="N301"/>
      <c r="O301"/>
      <c r="P301"/>
      <c r="Q301"/>
      <c r="R301"/>
      <c r="S301"/>
      <c r="T301"/>
      <c r="U301"/>
      <c r="X301"/>
      <c r="AB301"/>
      <c r="AC301"/>
      <c r="AF301" s="361">
        <f t="shared" si="18"/>
        <v>0</v>
      </c>
      <c r="AG301" s="34"/>
      <c r="AH301" s="34" t="s">
        <v>0</v>
      </c>
      <c r="AI301" s="47"/>
      <c r="AJ301" s="43"/>
      <c r="AK301" s="345"/>
      <c r="AL301" s="76"/>
    </row>
    <row r="302" spans="1:39" s="23" customFormat="1" ht="14.1" hidden="1" customHeight="1" outlineLevel="1">
      <c r="A302" s="145"/>
      <c r="B302" s="865" t="s">
        <v>695</v>
      </c>
      <c r="C302" s="540"/>
      <c r="D302" s="283"/>
      <c r="E302" s="745"/>
      <c r="F302"/>
      <c r="G302" s="280"/>
      <c r="H302" s="280"/>
      <c r="I302" s="740"/>
      <c r="J302"/>
      <c r="K302"/>
      <c r="L302"/>
      <c r="M302"/>
      <c r="N302"/>
      <c r="O302"/>
      <c r="P302"/>
      <c r="Q302"/>
      <c r="R302"/>
      <c r="S302"/>
      <c r="T302"/>
      <c r="U302"/>
      <c r="X302"/>
      <c r="AB302"/>
      <c r="AC302"/>
      <c r="AF302" s="361">
        <f t="shared" si="18"/>
        <v>0</v>
      </c>
      <c r="AG302" s="34"/>
      <c r="AH302" s="34" t="s">
        <v>0</v>
      </c>
      <c r="AI302" s="47"/>
      <c r="AJ302" s="43"/>
      <c r="AK302" s="345"/>
      <c r="AL302" s="76"/>
    </row>
    <row r="303" spans="1:39" s="23" customFormat="1" ht="14.1" hidden="1" customHeight="1" outlineLevel="1">
      <c r="A303" s="145"/>
      <c r="B303" s="431" t="s">
        <v>696</v>
      </c>
      <c r="C303" s="539"/>
      <c r="D303" s="283"/>
      <c r="E303" s="745"/>
      <c r="F303"/>
      <c r="G303" s="280"/>
      <c r="H303" s="280"/>
      <c r="I303" s="740"/>
      <c r="AF303" s="361">
        <f t="shared" si="18"/>
        <v>0</v>
      </c>
      <c r="AG303" s="34"/>
      <c r="AH303" s="34" t="s">
        <v>0</v>
      </c>
      <c r="AI303" s="47"/>
      <c r="AJ303" s="43"/>
      <c r="AK303" s="345"/>
      <c r="AL303" s="76"/>
    </row>
    <row r="304" spans="1:39" s="23" customFormat="1" ht="14.1" hidden="1" customHeight="1" outlineLevel="1">
      <c r="A304" s="145"/>
      <c r="B304" s="865" t="s">
        <v>703</v>
      </c>
      <c r="C304" s="505" t="str">
        <f>HYPERLINK("\\deqhq1\Rule_Resources\i\2-AdvisoryCommittee.pdf","i")</f>
        <v>i</v>
      </c>
      <c r="D304" s="283"/>
      <c r="E304" s="745"/>
      <c r="F304"/>
      <c r="G304" s="280"/>
      <c r="H304" s="280"/>
      <c r="I304" s="740"/>
      <c r="J304"/>
      <c r="K304"/>
      <c r="L304"/>
      <c r="M304"/>
      <c r="N304"/>
      <c r="O304"/>
      <c r="P304"/>
      <c r="Q304"/>
      <c r="R304"/>
      <c r="S304"/>
      <c r="T304"/>
      <c r="U304"/>
      <c r="X304"/>
      <c r="AB304"/>
      <c r="AC304"/>
      <c r="AF304" s="361">
        <f>IF(S.AC.CommitteeInvolved="Y",1,0)</f>
        <v>0</v>
      </c>
      <c r="AG304" s="34"/>
      <c r="AH304" s="34" t="s">
        <v>0</v>
      </c>
      <c r="AI304" s="47"/>
      <c r="AJ304" s="43"/>
      <c r="AK304" s="345"/>
      <c r="AL304" s="76"/>
    </row>
    <row r="305" spans="1:39" s="23" customFormat="1" ht="14.1" hidden="1" customHeight="1" outlineLevel="1">
      <c r="A305" s="145"/>
      <c r="B305" s="865" t="s">
        <v>704</v>
      </c>
      <c r="C305" s="540"/>
      <c r="D305" s="283"/>
      <c r="E305" s="745"/>
      <c r="F305"/>
      <c r="G305" s="280"/>
      <c r="H305" s="280"/>
      <c r="I305" s="740"/>
      <c r="J305"/>
      <c r="K305"/>
      <c r="L305"/>
      <c r="M305"/>
      <c r="N305"/>
      <c r="O305"/>
      <c r="P305"/>
      <c r="Q305"/>
      <c r="R305"/>
      <c r="S305"/>
      <c r="T305"/>
      <c r="U305"/>
      <c r="X305"/>
      <c r="AB305"/>
      <c r="AC305"/>
      <c r="AF305" s="361">
        <f>IF(S.AC.CommitteeInvolved="Y",1,0)</f>
        <v>0</v>
      </c>
      <c r="AG305" s="34"/>
      <c r="AH305" s="34" t="s">
        <v>0</v>
      </c>
      <c r="AI305" s="47"/>
      <c r="AJ305" s="43"/>
      <c r="AK305" s="345"/>
      <c r="AL305" s="76"/>
    </row>
    <row r="306" spans="1:39" s="23" customFormat="1" ht="14.1" hidden="1" customHeight="1" outlineLevel="1">
      <c r="A306" s="145"/>
      <c r="B306" s="865" t="s">
        <v>697</v>
      </c>
      <c r="C306" s="540"/>
      <c r="D306" s="283"/>
      <c r="E306" s="745"/>
      <c r="F306"/>
      <c r="G306" s="280"/>
      <c r="H306" s="280"/>
      <c r="I306" s="740"/>
      <c r="J306"/>
      <c r="K306"/>
      <c r="L306"/>
      <c r="M306"/>
      <c r="N306"/>
      <c r="O306"/>
      <c r="P306"/>
      <c r="Q306"/>
      <c r="R306"/>
      <c r="S306"/>
      <c r="T306"/>
      <c r="U306"/>
      <c r="X306"/>
      <c r="AB306"/>
      <c r="AC306"/>
      <c r="AF306" s="361">
        <f t="shared" si="18"/>
        <v>0</v>
      </c>
      <c r="AG306" s="34"/>
      <c r="AH306" s="34" t="s">
        <v>0</v>
      </c>
      <c r="AI306" s="47"/>
      <c r="AJ306" s="43"/>
      <c r="AK306" s="345"/>
      <c r="AL306" s="76"/>
    </row>
    <row r="307" spans="1:39" s="23" customFormat="1" ht="14.1" hidden="1" customHeight="1" outlineLevel="1">
      <c r="A307" s="145"/>
      <c r="B307" s="866" t="s">
        <v>698</v>
      </c>
      <c r="C307" s="268" t="s">
        <v>0</v>
      </c>
      <c r="D307" s="283"/>
      <c r="E307" s="745"/>
      <c r="F307"/>
      <c r="G307" s="280"/>
      <c r="H307" s="280"/>
      <c r="I307" s="740"/>
      <c r="J307"/>
      <c r="K307"/>
      <c r="L307"/>
      <c r="M307"/>
      <c r="N307"/>
      <c r="O307"/>
      <c r="P307"/>
      <c r="Q307"/>
      <c r="R307"/>
      <c r="S307"/>
      <c r="T307"/>
      <c r="U307"/>
      <c r="X307"/>
      <c r="AB307"/>
      <c r="AC307"/>
      <c r="AF307" s="361">
        <f t="shared" si="18"/>
        <v>0</v>
      </c>
      <c r="AG307" s="34"/>
      <c r="AH307" s="34" t="s">
        <v>0</v>
      </c>
      <c r="AI307" s="59"/>
      <c r="AJ307" s="59"/>
      <c r="AK307" s="345"/>
      <c r="AL307" s="76"/>
    </row>
    <row r="308" spans="1:39" s="23" customFormat="1" ht="14.1" hidden="1" customHeight="1" outlineLevel="1">
      <c r="A308" s="145"/>
      <c r="B308" s="317" t="str">
        <f>AK308</f>
        <v>Jerry coordinates with team to:</v>
      </c>
      <c r="C308" s="268" t="s">
        <v>0</v>
      </c>
      <c r="D308" s="283"/>
      <c r="E308" s="283"/>
      <c r="F308"/>
      <c r="G308" s="568">
        <f>AG308</f>
        <v>41761</v>
      </c>
      <c r="H308" s="568">
        <f>AH308</f>
        <v>41761</v>
      </c>
      <c r="I308" s="740"/>
      <c r="J308"/>
      <c r="K308"/>
      <c r="L308"/>
      <c r="M308"/>
      <c r="N308"/>
      <c r="O308"/>
      <c r="P308"/>
      <c r="Q308"/>
      <c r="R308"/>
      <c r="S308"/>
      <c r="T308"/>
      <c r="U308"/>
      <c r="X308"/>
      <c r="AB308"/>
      <c r="AC308"/>
      <c r="AF308" s="361">
        <f t="shared" si="18"/>
        <v>0</v>
      </c>
      <c r="AG308" s="60">
        <f>S.AC.BANNER.Begin</f>
        <v>41761</v>
      </c>
      <c r="AH308" s="60">
        <f>G308</f>
        <v>41761</v>
      </c>
      <c r="AI308" s="59"/>
      <c r="AJ308" s="59"/>
      <c r="AK308" s="78" t="str">
        <f>S.Staff.Subject.Expert.FirstName&amp;" coordinates with team to:"</f>
        <v>Jerry coordinates with team to:</v>
      </c>
      <c r="AL308" s="76"/>
    </row>
    <row r="309" spans="1:39" ht="14.1" hidden="1" customHeight="1" outlineLevel="1">
      <c r="A309" s="145"/>
      <c r="B309" s="432" t="s">
        <v>209</v>
      </c>
      <c r="C309" s="268" t="s">
        <v>0</v>
      </c>
      <c r="D309" s="283"/>
      <c r="E309" s="745"/>
      <c r="F309"/>
      <c r="I309" s="740"/>
      <c r="AF309" s="361">
        <f t="shared" si="18"/>
        <v>0</v>
      </c>
      <c r="AG309" s="34"/>
      <c r="AH309" s="34" t="s">
        <v>0</v>
      </c>
      <c r="AI309" s="59"/>
      <c r="AJ309" s="59"/>
      <c r="AK309" s="345"/>
      <c r="AL309" s="76"/>
      <c r="AM309"/>
    </row>
    <row r="310" spans="1:39" s="23" customFormat="1" ht="14.1" hidden="1" customHeight="1" outlineLevel="1">
      <c r="A310" s="145"/>
      <c r="B310" s="432" t="s">
        <v>299</v>
      </c>
      <c r="C310" s="268" t="s">
        <v>0</v>
      </c>
      <c r="D310" s="283"/>
      <c r="E310" s="745"/>
      <c r="F310"/>
      <c r="G310" s="279"/>
      <c r="H310" s="279"/>
      <c r="I310" s="740"/>
      <c r="J310"/>
      <c r="K310"/>
      <c r="L310"/>
      <c r="M310"/>
      <c r="N310"/>
      <c r="O310"/>
      <c r="P310"/>
      <c r="Q310"/>
      <c r="R310"/>
      <c r="S310"/>
      <c r="T310"/>
      <c r="U310"/>
      <c r="X310"/>
      <c r="AB310"/>
      <c r="AC310"/>
      <c r="AF310" s="361">
        <f t="shared" si="18"/>
        <v>0</v>
      </c>
      <c r="AG310" s="34"/>
      <c r="AH310" s="34" t="s">
        <v>0</v>
      </c>
      <c r="AI310" s="59"/>
      <c r="AJ310" s="59"/>
      <c r="AK310" s="345"/>
      <c r="AL310" s="76"/>
    </row>
    <row r="311" spans="1:39" s="23" customFormat="1" ht="14.1" hidden="1" customHeight="1" outlineLevel="1">
      <c r="A311" s="145"/>
      <c r="B311" s="565" t="s">
        <v>348</v>
      </c>
      <c r="C311" s="541"/>
      <c r="D311" s="701"/>
      <c r="E311" s="701"/>
      <c r="F311"/>
      <c r="I311" s="740"/>
      <c r="J311"/>
      <c r="K311"/>
      <c r="L311"/>
      <c r="M311"/>
      <c r="N311"/>
      <c r="O311"/>
      <c r="P311"/>
      <c r="Q311"/>
      <c r="R311"/>
      <c r="S311"/>
      <c r="T311"/>
      <c r="U311"/>
      <c r="X311"/>
      <c r="AB311"/>
      <c r="AC311"/>
      <c r="AF311" s="361">
        <f t="shared" si="18"/>
        <v>0</v>
      </c>
      <c r="AG311" s="80"/>
      <c r="AH311" s="80"/>
      <c r="AI311" s="59"/>
      <c r="AJ311" s="44"/>
      <c r="AK311" s="44"/>
      <c r="AL311" s="76"/>
    </row>
    <row r="312" spans="1:39" s="23" customFormat="1" ht="14.1" hidden="1" customHeight="1" outlineLevel="1">
      <c r="A312" s="145"/>
      <c r="B312" s="565" t="s">
        <v>295</v>
      </c>
      <c r="C312" s="541"/>
      <c r="D312" s="701"/>
      <c r="E312" s="701"/>
      <c r="F312"/>
      <c r="I312" s="740"/>
      <c r="J312"/>
      <c r="K312"/>
      <c r="L312"/>
      <c r="M312"/>
      <c r="N312"/>
      <c r="O312"/>
      <c r="P312"/>
      <c r="Q312"/>
      <c r="R312"/>
      <c r="S312"/>
      <c r="T312"/>
      <c r="U312"/>
      <c r="X312"/>
      <c r="AB312"/>
      <c r="AC312"/>
      <c r="AF312" s="361">
        <f t="shared" si="18"/>
        <v>0</v>
      </c>
      <c r="AG312" s="80"/>
      <c r="AH312" s="80"/>
      <c r="AI312" s="59"/>
      <c r="AJ312" s="44"/>
      <c r="AK312" s="44"/>
      <c r="AL312" s="76"/>
    </row>
    <row r="313" spans="1:39" s="23" customFormat="1" ht="14.1" hidden="1" customHeight="1" outlineLevel="1">
      <c r="A313" s="145"/>
      <c r="B313" s="565" t="s">
        <v>296</v>
      </c>
      <c r="C313" s="541"/>
      <c r="D313" s="701"/>
      <c r="E313" s="701"/>
      <c r="F313"/>
      <c r="I313" s="740"/>
      <c r="J313"/>
      <c r="K313"/>
      <c r="L313"/>
      <c r="M313"/>
      <c r="N313"/>
      <c r="O313"/>
      <c r="P313"/>
      <c r="Q313"/>
      <c r="R313"/>
      <c r="S313"/>
      <c r="T313"/>
      <c r="U313"/>
      <c r="X313"/>
      <c r="AB313"/>
      <c r="AC313"/>
      <c r="AF313" s="361">
        <f t="shared" si="18"/>
        <v>0</v>
      </c>
      <c r="AG313" s="80"/>
      <c r="AH313" s="80"/>
      <c r="AI313" s="59"/>
      <c r="AJ313" s="44"/>
      <c r="AK313" s="44"/>
      <c r="AL313" s="76"/>
    </row>
    <row r="314" spans="1:39" s="23" customFormat="1" ht="14.1" hidden="1" customHeight="1" outlineLevel="1">
      <c r="A314" s="145"/>
      <c r="B314" s="565" t="s">
        <v>297</v>
      </c>
      <c r="C314" s="541"/>
      <c r="D314" s="701"/>
      <c r="E314" s="701"/>
      <c r="F314"/>
      <c r="I314" s="740"/>
      <c r="J314"/>
      <c r="K314"/>
      <c r="L314"/>
      <c r="M314"/>
      <c r="N314"/>
      <c r="O314"/>
      <c r="P314"/>
      <c r="Q314"/>
      <c r="R314"/>
      <c r="S314"/>
      <c r="T314"/>
      <c r="U314"/>
      <c r="X314"/>
      <c r="AB314"/>
      <c r="AC314"/>
      <c r="AF314" s="361">
        <f t="shared" si="18"/>
        <v>0</v>
      </c>
      <c r="AG314" s="80"/>
      <c r="AH314" s="80"/>
      <c r="AI314" s="59"/>
      <c r="AJ314" s="44"/>
      <c r="AK314" s="44"/>
      <c r="AL314" s="76"/>
    </row>
    <row r="315" spans="1:39" s="23" customFormat="1" ht="14.1" hidden="1" customHeight="1" outlineLevel="1">
      <c r="A315" s="145"/>
      <c r="B315" s="565" t="s">
        <v>298</v>
      </c>
      <c r="C315" s="541"/>
      <c r="D315" s="701"/>
      <c r="E315" s="701"/>
      <c r="F315"/>
      <c r="I315" s="740"/>
      <c r="J315"/>
      <c r="K315"/>
      <c r="L315"/>
      <c r="M315"/>
      <c r="N315"/>
      <c r="O315"/>
      <c r="P315"/>
      <c r="Q315"/>
      <c r="R315"/>
      <c r="S315"/>
      <c r="T315"/>
      <c r="U315"/>
      <c r="X315"/>
      <c r="AB315"/>
      <c r="AC315"/>
      <c r="AF315" s="361">
        <f t="shared" si="18"/>
        <v>0</v>
      </c>
      <c r="AG315" s="80"/>
      <c r="AH315" s="80"/>
      <c r="AI315" s="59"/>
      <c r="AJ315" s="44"/>
      <c r="AK315" s="44"/>
      <c r="AL315" s="76"/>
    </row>
    <row r="316" spans="1:39" ht="14.1" hidden="1" customHeight="1" outlineLevel="1">
      <c r="A316" s="145"/>
      <c r="B316" s="433" t="s">
        <v>210</v>
      </c>
      <c r="C316" s="268" t="s">
        <v>0</v>
      </c>
      <c r="D316" s="283"/>
      <c r="E316" s="745"/>
      <c r="F316"/>
      <c r="G316" s="23"/>
      <c r="H316" s="23"/>
      <c r="I316" s="740"/>
      <c r="AF316" s="361">
        <f t="shared" si="18"/>
        <v>0</v>
      </c>
      <c r="AG316" s="80"/>
      <c r="AH316" s="80"/>
      <c r="AI316" s="59"/>
      <c r="AJ316" s="59"/>
      <c r="AK316" s="345"/>
      <c r="AL316" s="76"/>
      <c r="AM316"/>
    </row>
    <row r="317" spans="1:39" ht="14.1" hidden="1" customHeight="1" outlineLevel="1" thickBot="1">
      <c r="A317" s="145"/>
      <c r="B317" s="433" t="s">
        <v>211</v>
      </c>
      <c r="C317" s="268" t="s">
        <v>0</v>
      </c>
      <c r="D317" s="283"/>
      <c r="E317" s="283"/>
      <c r="F317"/>
      <c r="G317" s="323">
        <f t="shared" ref="G317:H319" si="19">AG317</f>
        <v>41761</v>
      </c>
      <c r="H317" s="256">
        <f t="shared" si="19"/>
        <v>41761</v>
      </c>
      <c r="I317" s="740"/>
      <c r="AF317" s="361">
        <f t="shared" si="18"/>
        <v>0</v>
      </c>
      <c r="AG317" s="60">
        <f>H308</f>
        <v>41761</v>
      </c>
      <c r="AH317" s="60">
        <f>G317</f>
        <v>41761</v>
      </c>
      <c r="AI317" s="59"/>
      <c r="AJ317" s="59"/>
      <c r="AK317" s="345"/>
      <c r="AL317" s="76"/>
      <c r="AM317"/>
    </row>
    <row r="318" spans="1:39" ht="14.1" hidden="1" customHeight="1" outlineLevel="1" thickBot="1">
      <c r="A318" s="145"/>
      <c r="B318" s="440" t="s">
        <v>249</v>
      </c>
      <c r="C318" s="535" t="s">
        <v>16</v>
      </c>
      <c r="D318" s="283"/>
      <c r="E318" s="283"/>
      <c r="F318"/>
      <c r="G318" s="322">
        <f t="shared" si="19"/>
        <v>41761</v>
      </c>
      <c r="H318" s="259">
        <f t="shared" si="19"/>
        <v>41761</v>
      </c>
      <c r="I318" s="740"/>
      <c r="AF318" s="361">
        <f>IF(AND(S.AC.WebPage="Y",S.AC.CommitteeInvolved="Y"),1,0)</f>
        <v>0</v>
      </c>
      <c r="AG318" s="60">
        <f>G317</f>
        <v>41761</v>
      </c>
      <c r="AH318" s="60">
        <f>G318</f>
        <v>41761</v>
      </c>
      <c r="AI318" s="59"/>
      <c r="AJ318" s="59"/>
      <c r="AK318" s="345"/>
      <c r="AL318" s="76"/>
      <c r="AM318"/>
    </row>
    <row r="319" spans="1:39" ht="14.1" hidden="1" customHeight="1" outlineLevel="1" thickBot="1">
      <c r="A319" s="145"/>
      <c r="B319" s="511" t="s">
        <v>212</v>
      </c>
      <c r="C319" s="535" t="s">
        <v>16</v>
      </c>
      <c r="D319" s="283"/>
      <c r="E319" s="283"/>
      <c r="F319"/>
      <c r="G319" s="322">
        <f t="shared" si="19"/>
        <v>41761</v>
      </c>
      <c r="H319" s="259">
        <f t="shared" si="19"/>
        <v>41761</v>
      </c>
      <c r="I319" s="740"/>
      <c r="AF319" s="361">
        <f>IF(AND(S.AC.Charter="Y",S.AC.CommitteeInvolved="Y"),1,0)</f>
        <v>0</v>
      </c>
      <c r="AG319" s="60">
        <f>G318</f>
        <v>41761</v>
      </c>
      <c r="AH319" s="60">
        <f>G319</f>
        <v>41761</v>
      </c>
      <c r="AI319" s="59"/>
      <c r="AJ319" s="59"/>
      <c r="AK319" s="345"/>
      <c r="AL319" s="76"/>
      <c r="AM319"/>
    </row>
    <row r="320" spans="1:39" s="23" customFormat="1" ht="14.1" hidden="1" customHeight="1" outlineLevel="1">
      <c r="A320" s="145"/>
      <c r="B320" s="440" t="s">
        <v>347</v>
      </c>
      <c r="C320" s="508" t="str">
        <f>HYPERLINK("http://deq05/intranet/communication/WebRequests.htm","i")</f>
        <v>i</v>
      </c>
      <c r="D320" s="283"/>
      <c r="E320" s="745"/>
      <c r="F320"/>
      <c r="I320" s="740"/>
      <c r="J320"/>
      <c r="K320"/>
      <c r="L320"/>
      <c r="M320"/>
      <c r="N320"/>
      <c r="O320"/>
      <c r="P320"/>
      <c r="Q320"/>
      <c r="R320"/>
      <c r="S320"/>
      <c r="T320"/>
      <c r="U320"/>
      <c r="X320"/>
      <c r="AB320"/>
      <c r="AC320"/>
      <c r="AF320" s="361">
        <f>IF(AND(S.AC.WebPage="Y",S.AC.CommitteeInvolved="Y"),1,0)</f>
        <v>0</v>
      </c>
      <c r="AG320" s="58"/>
      <c r="AH320" s="58"/>
      <c r="AI320" s="47"/>
      <c r="AJ320" s="43"/>
      <c r="AK320" s="34" t="s">
        <v>0</v>
      </c>
      <c r="AL320" s="76"/>
    </row>
    <row r="321" spans="1:39" s="23" customFormat="1" ht="14.1" hidden="1" customHeight="1" outlineLevel="1">
      <c r="A321" s="145"/>
      <c r="B321" s="342" t="str">
        <f>AK321</f>
        <v>Leah shares draft roster and invitation with Lydia</v>
      </c>
      <c r="C321" s="268" t="s">
        <v>0</v>
      </c>
      <c r="D321" s="283"/>
      <c r="E321" s="283"/>
      <c r="F321"/>
      <c r="G321" s="256">
        <f t="shared" ref="G321:H323" si="20">AG321</f>
        <v>41761</v>
      </c>
      <c r="H321" s="256">
        <f t="shared" si="20"/>
        <v>41761</v>
      </c>
      <c r="I321" s="740"/>
      <c r="J321"/>
      <c r="K321"/>
      <c r="L321"/>
      <c r="M321"/>
      <c r="N321"/>
      <c r="O321"/>
      <c r="P321"/>
      <c r="Q321"/>
      <c r="R321"/>
      <c r="S321"/>
      <c r="T321"/>
      <c r="U321"/>
      <c r="X321"/>
      <c r="AB321"/>
      <c r="AC321"/>
      <c r="AF321" s="361">
        <f t="shared" ref="AF321:AF327" si="21">IF(S.AC.CommitteeInvolved="Y",1,0)</f>
        <v>0</v>
      </c>
      <c r="AG321" s="60">
        <f>S.AC.BANNER.Begin</f>
        <v>41761</v>
      </c>
      <c r="AH321" s="60">
        <f>G321</f>
        <v>41761</v>
      </c>
      <c r="AI321" s="47"/>
      <c r="AJ321" s="43"/>
      <c r="AK321" s="78" t="str">
        <f>S.Staff.Program.Mgr.FirstName&amp;" shares draft roster and invitation with "&amp;S.Staff.Assistant.DA.ShortName</f>
        <v>Leah shares draft roster and invitation with Lydia</v>
      </c>
      <c r="AL321" s="76"/>
    </row>
    <row r="322" spans="1:39" s="23" customFormat="1" ht="14.1" hidden="1" customHeight="1" outlineLevel="1">
      <c r="A322" s="145"/>
      <c r="B322" s="342" t="s">
        <v>181</v>
      </c>
      <c r="C322" s="268" t="s">
        <v>0</v>
      </c>
      <c r="D322" s="283"/>
      <c r="E322" s="283"/>
      <c r="F322"/>
      <c r="G322" s="323">
        <f t="shared" si="20"/>
        <v>41761</v>
      </c>
      <c r="H322" s="256">
        <f t="shared" si="20"/>
        <v>41761</v>
      </c>
      <c r="I322" s="740"/>
      <c r="J322"/>
      <c r="K322"/>
      <c r="L322"/>
      <c r="M322"/>
      <c r="N322"/>
      <c r="O322"/>
      <c r="P322"/>
      <c r="Q322"/>
      <c r="R322"/>
      <c r="S322"/>
      <c r="T322"/>
      <c r="U322"/>
      <c r="X322"/>
      <c r="AB322"/>
      <c r="AC322"/>
      <c r="AF322" s="361">
        <f t="shared" si="21"/>
        <v>0</v>
      </c>
      <c r="AG322" s="60">
        <f>H321</f>
        <v>41761</v>
      </c>
      <c r="AH322" s="60">
        <f>G322</f>
        <v>41761</v>
      </c>
      <c r="AI322" s="47"/>
      <c r="AJ322" s="43"/>
      <c r="AK322" s="34"/>
      <c r="AL322" s="76"/>
    </row>
    <row r="323" spans="1:39" s="23" customFormat="1" ht="14.1" hidden="1" customHeight="1" outlineLevel="1">
      <c r="A323" s="145"/>
      <c r="B323" s="342" t="str">
        <f>AK323</f>
        <v>Leah approves potential advisory committee roster</v>
      </c>
      <c r="C323" s="196"/>
      <c r="D323" s="283"/>
      <c r="E323" s="283"/>
      <c r="F323"/>
      <c r="G323" s="323">
        <f t="shared" si="20"/>
        <v>41761</v>
      </c>
      <c r="H323" s="256">
        <f t="shared" si="20"/>
        <v>41761</v>
      </c>
      <c r="I323" s="740"/>
      <c r="J323"/>
      <c r="K323"/>
      <c r="L323"/>
      <c r="M323"/>
      <c r="N323"/>
      <c r="O323"/>
      <c r="P323"/>
      <c r="Q323"/>
      <c r="R323"/>
      <c r="S323"/>
      <c r="T323"/>
      <c r="U323"/>
      <c r="X323"/>
      <c r="AB323"/>
      <c r="AC323"/>
      <c r="AF323" s="361">
        <f t="shared" si="21"/>
        <v>0</v>
      </c>
      <c r="AG323" s="60">
        <f>H321</f>
        <v>41761</v>
      </c>
      <c r="AH323" s="60">
        <f>G323</f>
        <v>41761</v>
      </c>
      <c r="AI323" s="59"/>
      <c r="AJ323" s="43"/>
      <c r="AK323" s="78" t="str">
        <f>S.Staff.Program.Mgr.FirstName&amp;" approves potential advisory committee roster"</f>
        <v>Leah approves potential advisory committee roster</v>
      </c>
      <c r="AL323" s="76"/>
    </row>
    <row r="324" spans="1:39" s="23" customFormat="1" ht="14.1" hidden="1" customHeight="1" outlineLevel="1">
      <c r="A324" s="145"/>
      <c r="B324" s="342" t="s">
        <v>131</v>
      </c>
      <c r="C324" s="196"/>
      <c r="D324" s="702"/>
      <c r="E324" s="702"/>
      <c r="F324"/>
      <c r="G324" s="192"/>
      <c r="H324" s="193"/>
      <c r="I324" s="740"/>
      <c r="J324"/>
      <c r="K324"/>
      <c r="L324"/>
      <c r="M324"/>
      <c r="N324"/>
      <c r="O324"/>
      <c r="P324"/>
      <c r="Q324"/>
      <c r="R324"/>
      <c r="S324"/>
      <c r="T324"/>
      <c r="U324"/>
      <c r="X324"/>
      <c r="AB324"/>
      <c r="AC324"/>
      <c r="AF324" s="361">
        <f t="shared" si="21"/>
        <v>0</v>
      </c>
      <c r="AG324" s="58"/>
      <c r="AH324" s="58"/>
      <c r="AI324" s="59"/>
      <c r="AJ324" s="43"/>
      <c r="AK324" s="34"/>
      <c r="AL324" s="76"/>
    </row>
    <row r="325" spans="1:39" ht="14.1" hidden="1" customHeight="1" outlineLevel="1">
      <c r="A325" s="145"/>
      <c r="B325" s="319" t="s">
        <v>180</v>
      </c>
      <c r="C325" s="268" t="s">
        <v>0</v>
      </c>
      <c r="D325" s="283"/>
      <c r="E325" s="283"/>
      <c r="F325"/>
      <c r="G325" s="323">
        <f>AG325</f>
        <v>41761</v>
      </c>
      <c r="H325" s="256">
        <f>AH325</f>
        <v>41761</v>
      </c>
      <c r="I325" s="740"/>
      <c r="AF325" s="361">
        <f t="shared" si="21"/>
        <v>0</v>
      </c>
      <c r="AG325" s="60">
        <f>H323</f>
        <v>41761</v>
      </c>
      <c r="AH325" s="60">
        <f>G325</f>
        <v>41761</v>
      </c>
      <c r="AI325" s="47"/>
      <c r="AJ325" s="43"/>
      <c r="AK325" s="34"/>
      <c r="AL325" s="76"/>
      <c r="AM325"/>
    </row>
    <row r="326" spans="1:39" s="23" customFormat="1" ht="14.1" hidden="1" customHeight="1" outlineLevel="1">
      <c r="A326" s="145"/>
      <c r="B326" s="319" t="s">
        <v>208</v>
      </c>
      <c r="C326" s="268" t="s">
        <v>0</v>
      </c>
      <c r="D326" s="283"/>
      <c r="E326" s="283"/>
      <c r="F326"/>
      <c r="G326" s="323">
        <f>AG326</f>
        <v>41761</v>
      </c>
      <c r="H326" s="256">
        <f>AH326</f>
        <v>41761</v>
      </c>
      <c r="I326" s="740"/>
      <c r="J326"/>
      <c r="K326"/>
      <c r="L326"/>
      <c r="M326"/>
      <c r="N326"/>
      <c r="O326"/>
      <c r="P326"/>
      <c r="Q326"/>
      <c r="R326"/>
      <c r="S326"/>
      <c r="T326"/>
      <c r="U326"/>
      <c r="X326"/>
      <c r="AB326"/>
      <c r="AC326"/>
      <c r="AF326" s="361">
        <f t="shared" si="21"/>
        <v>0</v>
      </c>
      <c r="AG326" s="60">
        <f>H325</f>
        <v>41761</v>
      </c>
      <c r="AH326" s="60">
        <f>G326</f>
        <v>41761</v>
      </c>
      <c r="AI326" s="47"/>
      <c r="AJ326" s="43"/>
      <c r="AK326" s="34"/>
      <c r="AL326" s="76"/>
    </row>
    <row r="327" spans="1:39" s="23" customFormat="1" ht="14.1" hidden="1" customHeight="1" outlineLevel="1">
      <c r="A327" s="145"/>
      <c r="B327" s="416" t="str">
        <f>AK327</f>
        <v>Jerry:</v>
      </c>
      <c r="C327" s="268" t="s">
        <v>0</v>
      </c>
      <c r="D327" s="704"/>
      <c r="E327" s="704"/>
      <c r="F327"/>
      <c r="G327" s="279"/>
      <c r="H327" s="279"/>
      <c r="I327" s="740"/>
      <c r="J327"/>
      <c r="K327"/>
      <c r="L327"/>
      <c r="M327"/>
      <c r="N327"/>
      <c r="O327"/>
      <c r="P327"/>
      <c r="Q327"/>
      <c r="R327"/>
      <c r="S327"/>
      <c r="T327"/>
      <c r="U327"/>
      <c r="X327"/>
      <c r="AB327"/>
      <c r="AC327"/>
      <c r="AF327" s="361">
        <f t="shared" si="21"/>
        <v>0</v>
      </c>
      <c r="AG327" s="34"/>
      <c r="AH327" s="34" t="s">
        <v>0</v>
      </c>
      <c r="AI327" s="59"/>
      <c r="AJ327" s="59"/>
      <c r="AK327" s="78" t="str">
        <f>S.Staff.Subject.Expert.FirstName&amp;":"</f>
        <v>Jerry:</v>
      </c>
      <c r="AL327" s="76"/>
    </row>
    <row r="328" spans="1:39" s="23" customFormat="1" ht="14.1" hidden="1" customHeight="1" outlineLevel="1">
      <c r="A328" s="145"/>
      <c r="B328" s="318" t="s">
        <v>705</v>
      </c>
      <c r="C328" s="508" t="str">
        <f>HYPERLINK("http://deq05/intranet/communication/WebRequests.htm","i")</f>
        <v>i</v>
      </c>
      <c r="D328" s="283"/>
      <c r="E328" s="283"/>
      <c r="F328"/>
      <c r="G328" s="323">
        <f>AG328</f>
        <v>41761</v>
      </c>
      <c r="H328" s="256">
        <f>AH328</f>
        <v>41761</v>
      </c>
      <c r="I328" s="740"/>
      <c r="J328"/>
      <c r="K328"/>
      <c r="L328"/>
      <c r="M328"/>
      <c r="N328"/>
      <c r="O328"/>
      <c r="P328"/>
      <c r="Q328"/>
      <c r="R328"/>
      <c r="S328"/>
      <c r="T328"/>
      <c r="U328"/>
      <c r="X328"/>
      <c r="AB328"/>
      <c r="AC328"/>
      <c r="AF328" s="361">
        <f>IF(AND(S.AC.WebPage="Y",S.AC.CommitteeInvolved="Y"),1,0)</f>
        <v>0</v>
      </c>
      <c r="AG328" s="60">
        <f>S.AC.BANNER.Begin</f>
        <v>41761</v>
      </c>
      <c r="AH328" s="60">
        <f>G328</f>
        <v>41761</v>
      </c>
      <c r="AI328" s="47"/>
      <c r="AJ328" s="43"/>
      <c r="AK328" s="34" t="s">
        <v>0</v>
      </c>
      <c r="AL328" s="76"/>
    </row>
    <row r="329" spans="1:39" ht="14.1" hidden="1" customHeight="1" outlineLevel="1">
      <c r="A329" s="145"/>
      <c r="B329" s="316" t="s">
        <v>706</v>
      </c>
      <c r="C329" s="268" t="s">
        <v>0</v>
      </c>
      <c r="D329" s="704"/>
      <c r="E329" s="704"/>
      <c r="F329"/>
      <c r="G329"/>
      <c r="H329"/>
      <c r="I329" s="740"/>
      <c r="AF329" s="361">
        <f>IF(AND(S.AC.WebPage="Y",S.AC.CommitteeInvolved="Y"),1,0)</f>
        <v>0</v>
      </c>
      <c r="AG329" s="34"/>
      <c r="AH329" s="34" t="s">
        <v>0</v>
      </c>
      <c r="AI329" s="47"/>
      <c r="AJ329" s="43"/>
      <c r="AK329" s="34" t="s">
        <v>0</v>
      </c>
      <c r="AL329" s="76"/>
      <c r="AM329"/>
    </row>
    <row r="330" spans="1:39" ht="14.1" hidden="1" customHeight="1" outlineLevel="1">
      <c r="A330" s="145"/>
      <c r="B330" s="318" t="s">
        <v>116</v>
      </c>
      <c r="C330" s="268" t="s">
        <v>0</v>
      </c>
      <c r="D330" s="283"/>
      <c r="E330" s="283"/>
      <c r="F330"/>
      <c r="G330" s="323">
        <f>AG330</f>
        <v>41761</v>
      </c>
      <c r="H330" s="256">
        <f>AH330</f>
        <v>41761</v>
      </c>
      <c r="I330" s="740"/>
      <c r="AF330" s="361">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117</v>
      </c>
      <c r="C331" s="268" t="s">
        <v>0</v>
      </c>
      <c r="D331" s="283"/>
      <c r="E331" s="745"/>
      <c r="F331"/>
      <c r="I331" s="740"/>
      <c r="J331"/>
      <c r="K331"/>
      <c r="L331"/>
      <c r="M331"/>
      <c r="N331"/>
      <c r="O331"/>
      <c r="P331"/>
      <c r="Q331"/>
      <c r="R331"/>
      <c r="S331"/>
      <c r="T331"/>
      <c r="U331"/>
      <c r="X331"/>
      <c r="AB331"/>
      <c r="AC331"/>
      <c r="AF331" s="361">
        <f>IF(S.AC.CommitteeInvolved="Y",1,0)</f>
        <v>0</v>
      </c>
      <c r="AG331" s="34"/>
      <c r="AH331" s="34" t="s">
        <v>0</v>
      </c>
      <c r="AI331" s="47"/>
      <c r="AJ331" s="43"/>
      <c r="AK331" s="34"/>
      <c r="AL331" s="76"/>
    </row>
    <row r="332" spans="1:39" ht="14.1" hidden="1" customHeight="1" outlineLevel="1" thickBot="1">
      <c r="A332" s="145"/>
      <c r="B332" s="367" t="s">
        <v>24</v>
      </c>
      <c r="C332" s="535" t="s">
        <v>16</v>
      </c>
      <c r="D332" s="704"/>
      <c r="E332" s="704"/>
      <c r="F332"/>
      <c r="G332" s="254">
        <v>41795</v>
      </c>
      <c r="H332" s="253" t="s">
        <v>762</v>
      </c>
      <c r="I332" s="740"/>
      <c r="AF332" s="361">
        <f t="shared" ref="AF332:AF345" si="22">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5" t="s">
        <v>118</v>
      </c>
      <c r="C333" s="964"/>
      <c r="D333" s="283"/>
      <c r="E333" s="745"/>
      <c r="F333"/>
      <c r="G333" s="258"/>
      <c r="H333" s="300"/>
      <c r="I333" s="740"/>
      <c r="AF333" s="361">
        <f t="shared" si="22"/>
        <v>0</v>
      </c>
      <c r="AG333" s="34"/>
      <c r="AH333" s="34" t="s">
        <v>0</v>
      </c>
      <c r="AI333" s="47"/>
      <c r="AJ333" s="43"/>
      <c r="AK333" s="34"/>
      <c r="AL333" s="76"/>
      <c r="AM333"/>
    </row>
    <row r="334" spans="1:39" s="23" customFormat="1" ht="14.1" hidden="1" customHeight="1" outlineLevel="2">
      <c r="A334" s="145"/>
      <c r="B334" s="284" t="str">
        <f>AK334</f>
        <v>Jerry coordinates or drafts:</v>
      </c>
      <c r="C334" s="964"/>
      <c r="D334" s="283"/>
      <c r="E334" s="283"/>
      <c r="F334"/>
      <c r="G334" s="323">
        <f>AG334</f>
        <v>41761</v>
      </c>
      <c r="H334" s="256">
        <f>AH334</f>
        <v>41761</v>
      </c>
      <c r="I334" s="740"/>
      <c r="J334"/>
      <c r="K334"/>
      <c r="L334"/>
      <c r="M334"/>
      <c r="N334"/>
      <c r="O334"/>
      <c r="P334"/>
      <c r="Q334"/>
      <c r="R334"/>
      <c r="S334"/>
      <c r="T334"/>
      <c r="U334"/>
      <c r="X334"/>
      <c r="AB334"/>
      <c r="AC334"/>
      <c r="AF334" s="361">
        <f t="shared" si="22"/>
        <v>0</v>
      </c>
      <c r="AG334" s="60">
        <f>S.AC.SendInvitation</f>
        <v>41761</v>
      </c>
      <c r="AH334" s="60">
        <f>G334</f>
        <v>41761</v>
      </c>
      <c r="AI334" s="58"/>
      <c r="AJ334" s="43"/>
      <c r="AK334" s="67" t="str">
        <f>S.Staff.Subject.Expert.FirstName&amp;" coordinates or drafts:"</f>
        <v>Jerry coordinates or drafts:</v>
      </c>
      <c r="AL334" s="76"/>
    </row>
    <row r="335" spans="1:39" ht="14.1" hidden="1" customHeight="1" outlineLevel="2">
      <c r="A335" s="145"/>
      <c r="B335" s="316" t="str">
        <f>AK335</f>
        <v>* AC.AGENDA.06.05.14</v>
      </c>
      <c r="C335" s="965" t="str">
        <f>HYPERLINK("\\deq000\templates\General\Agenda Template.dotx","i")</f>
        <v>i</v>
      </c>
      <c r="D335" s="356"/>
      <c r="E335" s="745"/>
      <c r="F335"/>
      <c r="G335" s="258"/>
      <c r="H335" s="300"/>
      <c r="I335" s="740"/>
      <c r="AF335" s="361">
        <f t="shared" si="22"/>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66" t="s">
        <v>0</v>
      </c>
      <c r="D336" s="283"/>
      <c r="E336" s="745"/>
      <c r="F336"/>
      <c r="G336" s="258"/>
      <c r="H336" s="300"/>
      <c r="I336" s="740"/>
      <c r="AF336" s="361">
        <f t="shared" si="22"/>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Jerry obtains team approval of agenda and notification</v>
      </c>
      <c r="C337" s="964"/>
      <c r="D337" s="283"/>
      <c r="E337" s="283"/>
      <c r="F337"/>
      <c r="G337" s="323">
        <f>AG337</f>
        <v>41761</v>
      </c>
      <c r="H337" s="256">
        <f>AH337</f>
        <v>41761</v>
      </c>
      <c r="I337" s="740"/>
      <c r="J337"/>
      <c r="K337"/>
      <c r="L337"/>
      <c r="M337"/>
      <c r="N337"/>
      <c r="O337"/>
      <c r="P337"/>
      <c r="Q337"/>
      <c r="R337"/>
      <c r="S337"/>
      <c r="T337"/>
      <c r="U337"/>
      <c r="X337"/>
      <c r="AB337"/>
      <c r="AC337"/>
      <c r="AF337" s="361">
        <f t="shared" si="22"/>
        <v>0</v>
      </c>
      <c r="AG337" s="60">
        <f>S.AC.SendInvitation</f>
        <v>41761</v>
      </c>
      <c r="AH337" s="60">
        <f>G337</f>
        <v>41761</v>
      </c>
      <c r="AI337" s="58"/>
      <c r="AJ337" s="43"/>
      <c r="AK337" s="67" t="str">
        <f>S.Staff.Subject.Expert.FirstName&amp;" obtains team approval of agenda and notification"</f>
        <v>Jerry obtains team approval of agenda and notification</v>
      </c>
      <c r="AL337" s="76"/>
    </row>
    <row r="338" spans="1:39" s="23" customFormat="1" ht="14.1" hidden="1" customHeight="1" outlineLevel="2">
      <c r="A338" s="145"/>
      <c r="B338" s="284" t="str">
        <f>AK338</f>
        <v>Jerry (about 14 working days before meeting:)</v>
      </c>
      <c r="C338" s="964"/>
      <c r="D338" s="283"/>
      <c r="E338" s="283"/>
      <c r="F338"/>
      <c r="G338" s="323">
        <f>AG338</f>
        <v>41761</v>
      </c>
      <c r="H338" s="256">
        <f>AH338</f>
        <v>41761</v>
      </c>
      <c r="I338" s="740"/>
      <c r="J338"/>
      <c r="K338"/>
      <c r="L338"/>
      <c r="M338"/>
      <c r="N338"/>
      <c r="O338"/>
      <c r="P338"/>
      <c r="Q338"/>
      <c r="R338"/>
      <c r="S338"/>
      <c r="T338"/>
      <c r="U338"/>
      <c r="X338"/>
      <c r="AB338"/>
      <c r="AC338"/>
      <c r="AF338" s="361">
        <f t="shared" si="22"/>
        <v>0</v>
      </c>
      <c r="AG338" s="60">
        <f>S.AC.SendInvitation</f>
        <v>41761</v>
      </c>
      <c r="AH338" s="60">
        <f>G338</f>
        <v>41761</v>
      </c>
      <c r="AI338" s="58"/>
      <c r="AJ338" s="43"/>
      <c r="AK338" s="67" t="str">
        <f>S.Staff.Support&amp;" (about 14 working days before meeting:)"</f>
        <v>Jerry (about 14 working days before meeting:)</v>
      </c>
      <c r="AL338" s="76"/>
    </row>
    <row r="339" spans="1:39" ht="14.1" hidden="1" customHeight="1" outlineLevel="2">
      <c r="A339" s="145"/>
      <c r="B339" s="560" t="s">
        <v>214</v>
      </c>
      <c r="C339" s="965" t="str">
        <f>HYPERLINK("http://deq05/intranet/contentmanagement/login.asp","i")</f>
        <v>i</v>
      </c>
      <c r="D339" s="705"/>
      <c r="E339" s="880"/>
      <c r="F339"/>
      <c r="G339" s="258"/>
      <c r="H339" s="300"/>
      <c r="I339" s="740"/>
      <c r="AF339" s="361">
        <f t="shared" si="22"/>
        <v>0</v>
      </c>
      <c r="AG339" s="34"/>
      <c r="AH339" s="34" t="s">
        <v>0</v>
      </c>
      <c r="AI339" s="47"/>
      <c r="AJ339" s="43"/>
      <c r="AK339" s="43"/>
      <c r="AL339" s="76"/>
      <c r="AM339"/>
    </row>
    <row r="340" spans="1:39" s="23" customFormat="1" ht="14.1" hidden="1" customHeight="1" outlineLevel="2">
      <c r="A340" s="145"/>
      <c r="B340" s="560" t="s">
        <v>680</v>
      </c>
      <c r="C340" s="966" t="s">
        <v>0</v>
      </c>
      <c r="D340" s="705"/>
      <c r="E340" s="880"/>
      <c r="F340"/>
      <c r="G340" s="258"/>
      <c r="H340" s="300"/>
      <c r="I340" s="740"/>
      <c r="J340"/>
      <c r="K340"/>
      <c r="L340"/>
      <c r="M340"/>
      <c r="N340"/>
      <c r="O340"/>
      <c r="P340"/>
      <c r="Q340"/>
      <c r="R340"/>
      <c r="S340"/>
      <c r="T340"/>
      <c r="U340"/>
      <c r="X340"/>
      <c r="AB340"/>
      <c r="AC340"/>
      <c r="AF340" s="361">
        <f t="shared" si="22"/>
        <v>0</v>
      </c>
      <c r="AG340" s="34"/>
      <c r="AH340" s="34" t="s">
        <v>0</v>
      </c>
      <c r="AI340" s="47"/>
      <c r="AJ340" s="43"/>
      <c r="AK340" s="43"/>
      <c r="AL340" s="76"/>
    </row>
    <row r="341" spans="1:39" ht="14.1" hidden="1" customHeight="1" outlineLevel="2">
      <c r="A341" s="145"/>
      <c r="B341" s="298" t="s">
        <v>183</v>
      </c>
      <c r="C341" s="966" t="s">
        <v>0</v>
      </c>
      <c r="D341" s="283"/>
      <c r="E341" s="745"/>
      <c r="F341"/>
      <c r="G341" s="258"/>
      <c r="H341" s="300"/>
      <c r="I341" s="740"/>
      <c r="AF341" s="361">
        <f t="shared" si="22"/>
        <v>0</v>
      </c>
      <c r="AG341" s="34"/>
      <c r="AH341" s="34" t="s">
        <v>0</v>
      </c>
      <c r="AI341" s="47"/>
      <c r="AJ341" s="43"/>
      <c r="AK341" s="43" t="s">
        <v>346</v>
      </c>
      <c r="AL341" s="76"/>
      <c r="AM341"/>
    </row>
    <row r="342" spans="1:39" ht="14.1" hidden="1" customHeight="1" outlineLevel="2">
      <c r="A342" s="145"/>
      <c r="B342" s="417" t="s">
        <v>119</v>
      </c>
      <c r="C342" s="966" t="s">
        <v>0</v>
      </c>
      <c r="D342" s="283"/>
      <c r="E342" s="283"/>
      <c r="F342"/>
      <c r="G342" s="323">
        <f t="shared" ref="G342:H345" si="23">AG342</f>
        <v>41761</v>
      </c>
      <c r="H342" s="256">
        <f t="shared" si="23"/>
        <v>41761</v>
      </c>
      <c r="I342" s="740"/>
      <c r="AF342" s="361">
        <f t="shared" si="22"/>
        <v>0</v>
      </c>
      <c r="AG342" s="60">
        <f>S.AC.SendInvitation</f>
        <v>41761</v>
      </c>
      <c r="AH342" s="60">
        <f>G342</f>
        <v>41761</v>
      </c>
      <c r="AI342" s="47"/>
      <c r="AJ342" s="43"/>
      <c r="AK342" s="43"/>
      <c r="AL342" s="76"/>
      <c r="AM342"/>
    </row>
    <row r="343" spans="1:39" ht="14.1" hidden="1" customHeight="1" outlineLevel="2">
      <c r="A343" s="145"/>
      <c r="B343" s="417" t="s">
        <v>119</v>
      </c>
      <c r="C343" s="966" t="s">
        <v>0</v>
      </c>
      <c r="D343" s="283"/>
      <c r="E343" s="283"/>
      <c r="F343"/>
      <c r="G343" s="323">
        <f t="shared" si="23"/>
        <v>41761</v>
      </c>
      <c r="H343" s="256">
        <f t="shared" si="23"/>
        <v>41761</v>
      </c>
      <c r="I343" s="740"/>
      <c r="AF343" s="361">
        <f t="shared" si="22"/>
        <v>0</v>
      </c>
      <c r="AG343" s="60">
        <f>S.AC.SendInvitation</f>
        <v>41761</v>
      </c>
      <c r="AH343" s="60">
        <f>G343</f>
        <v>41761</v>
      </c>
      <c r="AI343" s="47"/>
      <c r="AJ343" s="43"/>
      <c r="AK343" s="43"/>
      <c r="AL343" s="76"/>
      <c r="AM343"/>
    </row>
    <row r="344" spans="1:39" ht="14.1" hidden="1" customHeight="1" outlineLevel="2">
      <c r="A344" s="145"/>
      <c r="B344" s="417" t="s">
        <v>119</v>
      </c>
      <c r="C344" s="966" t="s">
        <v>0</v>
      </c>
      <c r="D344" s="283"/>
      <c r="E344" s="283"/>
      <c r="F344"/>
      <c r="G344" s="323">
        <f t="shared" si="23"/>
        <v>41761</v>
      </c>
      <c r="H344" s="256">
        <f t="shared" si="23"/>
        <v>41761</v>
      </c>
      <c r="I344" s="740"/>
      <c r="AF344" s="361">
        <f t="shared" si="22"/>
        <v>0</v>
      </c>
      <c r="AG344" s="60">
        <f>S.AC.SendInvitation</f>
        <v>41761</v>
      </c>
      <c r="AH344" s="60">
        <f>G344</f>
        <v>41761</v>
      </c>
      <c r="AI344" s="47"/>
      <c r="AJ344" s="43"/>
      <c r="AK344" s="43"/>
      <c r="AL344" s="76"/>
      <c r="AM344"/>
    </row>
    <row r="345" spans="1:39" ht="14.1" hidden="1" customHeight="1" outlineLevel="2" thickBot="1">
      <c r="A345" s="145"/>
      <c r="B345" s="417" t="s">
        <v>119</v>
      </c>
      <c r="C345" s="966" t="s">
        <v>0</v>
      </c>
      <c r="D345" s="283"/>
      <c r="E345" s="283"/>
      <c r="F345"/>
      <c r="G345" s="323">
        <f t="shared" si="23"/>
        <v>41761</v>
      </c>
      <c r="H345" s="256">
        <f t="shared" si="23"/>
        <v>41761</v>
      </c>
      <c r="I345" s="740"/>
      <c r="AF345" s="361">
        <f t="shared" si="22"/>
        <v>0</v>
      </c>
      <c r="AG345" s="60">
        <f>S.AC.SendInvitation</f>
        <v>41761</v>
      </c>
      <c r="AH345" s="60">
        <f>G345</f>
        <v>41761</v>
      </c>
      <c r="AI345" s="47"/>
      <c r="AJ345" s="43"/>
      <c r="AK345" s="43"/>
      <c r="AL345" s="76"/>
      <c r="AM345"/>
    </row>
    <row r="346" spans="1:39" s="23" customFormat="1" ht="14.1" hidden="1" customHeight="1" outlineLevel="2" thickBot="1">
      <c r="A346" s="145"/>
      <c r="B346" s="442" t="s">
        <v>168</v>
      </c>
      <c r="C346" s="535" t="s">
        <v>16</v>
      </c>
      <c r="D346" s="706"/>
      <c r="E346" s="706"/>
      <c r="F346"/>
      <c r="G346" s="324"/>
      <c r="H346" s="324"/>
      <c r="I346" s="740"/>
      <c r="J346"/>
      <c r="K346"/>
      <c r="L346"/>
      <c r="M346"/>
      <c r="N346"/>
      <c r="O346"/>
      <c r="P346"/>
      <c r="Q346"/>
      <c r="R346"/>
      <c r="S346"/>
      <c r="T346"/>
      <c r="U346"/>
      <c r="X346"/>
      <c r="AB346"/>
      <c r="AC346"/>
      <c r="AF346" s="361">
        <f t="shared" ref="AF346:AF353" si="24">IF(AND(S.AC.InvolveMeeting1="Y",S.AC.CommitteeInvolved="Y",S.AC.Presentation1="Y"),1,0)</f>
        <v>0</v>
      </c>
      <c r="AG346" s="34"/>
      <c r="AH346" s="34"/>
      <c r="AI346" s="34"/>
      <c r="AJ346" s="43"/>
      <c r="AK346" s="43"/>
      <c r="AL346" s="76"/>
    </row>
    <row r="347" spans="1:39" s="23" customFormat="1" ht="14.1" hidden="1" customHeight="1" outlineLevel="2">
      <c r="A347" s="145"/>
      <c r="B347" s="443" t="s">
        <v>120</v>
      </c>
      <c r="C347" s="966" t="s">
        <v>0</v>
      </c>
      <c r="D347" s="325"/>
      <c r="E347" s="325"/>
      <c r="F347"/>
      <c r="G347" s="321"/>
      <c r="H347" s="321"/>
      <c r="I347" s="740"/>
      <c r="J347"/>
      <c r="K347"/>
      <c r="L347"/>
      <c r="M347"/>
      <c r="N347"/>
      <c r="O347"/>
      <c r="P347"/>
      <c r="Q347"/>
      <c r="R347"/>
      <c r="S347"/>
      <c r="T347"/>
      <c r="U347"/>
      <c r="X347"/>
      <c r="AB347"/>
      <c r="AC347"/>
      <c r="AF347" s="361">
        <f t="shared" si="24"/>
        <v>0</v>
      </c>
      <c r="AG347" s="34"/>
      <c r="AH347" s="34"/>
      <c r="AI347" s="47"/>
      <c r="AJ347" s="43"/>
      <c r="AK347" s="43"/>
      <c r="AL347" s="76"/>
    </row>
    <row r="348" spans="1:39" ht="14.1" hidden="1" customHeight="1" outlineLevel="2">
      <c r="A348" s="145"/>
      <c r="B348" s="444" t="str">
        <f>AK348</f>
        <v>* drafts optional AC.PRESENTATION.06.05.14</v>
      </c>
      <c r="C348" s="965" t="str">
        <f>HYPERLINK("http://deq05/intranet/communication/docs/DEQAgencyTemplate1.potx","i")</f>
        <v>i</v>
      </c>
      <c r="D348" s="356"/>
      <c r="E348" s="356"/>
      <c r="F348"/>
      <c r="G348" s="323">
        <f>AG348</f>
        <v>41761</v>
      </c>
      <c r="H348" s="256">
        <f>AH348</f>
        <v>41761</v>
      </c>
      <c r="I348" s="740"/>
      <c r="AF348" s="361">
        <f t="shared" si="24"/>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3" t="s">
        <v>120</v>
      </c>
      <c r="C349" s="966" t="s">
        <v>0</v>
      </c>
      <c r="D349" s="325"/>
      <c r="E349" s="325"/>
      <c r="F349"/>
      <c r="G349" s="324"/>
      <c r="H349" s="324"/>
      <c r="I349" s="740"/>
      <c r="J349"/>
      <c r="K349"/>
      <c r="L349"/>
      <c r="M349"/>
      <c r="N349"/>
      <c r="O349"/>
      <c r="P349"/>
      <c r="Q349"/>
      <c r="R349"/>
      <c r="S349"/>
      <c r="T349"/>
      <c r="U349"/>
      <c r="X349"/>
      <c r="AB349"/>
      <c r="AC349"/>
      <c r="AF349" s="361">
        <f t="shared" si="24"/>
        <v>0</v>
      </c>
      <c r="AG349" s="34"/>
      <c r="AH349" s="34"/>
      <c r="AI349" s="47"/>
      <c r="AJ349" s="43"/>
      <c r="AK349" s="43"/>
      <c r="AL349" s="76"/>
    </row>
    <row r="350" spans="1:39" s="23" customFormat="1" ht="14.1" hidden="1" customHeight="1" outlineLevel="2">
      <c r="A350" s="145"/>
      <c r="B350" s="445" t="s">
        <v>182</v>
      </c>
      <c r="C350" s="966" t="s">
        <v>0</v>
      </c>
      <c r="D350" s="283"/>
      <c r="E350" s="283"/>
      <c r="F350"/>
      <c r="G350" s="323">
        <f>AG350</f>
        <v>41761</v>
      </c>
      <c r="H350" s="256">
        <f>AH350</f>
        <v>41761</v>
      </c>
      <c r="I350" s="740"/>
      <c r="J350"/>
      <c r="K350"/>
      <c r="L350"/>
      <c r="M350"/>
      <c r="N350"/>
      <c r="O350"/>
      <c r="P350"/>
      <c r="Q350"/>
      <c r="R350"/>
      <c r="S350"/>
      <c r="T350"/>
      <c r="U350"/>
      <c r="X350"/>
      <c r="AB350"/>
      <c r="AC350"/>
      <c r="AF350" s="361">
        <f t="shared" si="24"/>
        <v>0</v>
      </c>
      <c r="AG350" s="60">
        <f>G348</f>
        <v>41761</v>
      </c>
      <c r="AH350" s="60">
        <f>G350</f>
        <v>41761</v>
      </c>
      <c r="AI350" s="47"/>
      <c r="AJ350" s="43"/>
      <c r="AK350" s="43"/>
      <c r="AL350" s="76"/>
    </row>
    <row r="351" spans="1:39" ht="14.1" hidden="1" customHeight="1" outlineLevel="2">
      <c r="A351" s="145"/>
      <c r="B351" s="446" t="s">
        <v>215</v>
      </c>
      <c r="C351" s="966" t="s">
        <v>0</v>
      </c>
      <c r="D351" s="283"/>
      <c r="E351" s="283"/>
      <c r="F351"/>
      <c r="G351" s="323">
        <f>AG351</f>
        <v>41761</v>
      </c>
      <c r="H351" s="256">
        <f>AH351</f>
        <v>41761</v>
      </c>
      <c r="I351" s="740"/>
      <c r="AF351" s="361">
        <f t="shared" si="24"/>
        <v>0</v>
      </c>
      <c r="AG351" s="60">
        <f>G350</f>
        <v>41761</v>
      </c>
      <c r="AH351" s="60">
        <f>G351</f>
        <v>41761</v>
      </c>
      <c r="AI351" s="47" t="s">
        <v>0</v>
      </c>
      <c r="AJ351" s="43"/>
      <c r="AK351" s="43"/>
      <c r="AL351" s="76"/>
      <c r="AM351"/>
    </row>
    <row r="352" spans="1:39" ht="14.1" hidden="1" customHeight="1" outlineLevel="2">
      <c r="A352" s="145"/>
      <c r="B352" s="447" t="str">
        <f>AK352</f>
        <v>Jerry submits Web Request to post materials</v>
      </c>
      <c r="C352" s="967" t="str">
        <f>HYPERLINK("http://deq05/intranet/communication/WebRequests.htm","i")</f>
        <v>i</v>
      </c>
      <c r="D352" s="283"/>
      <c r="E352" s="745"/>
      <c r="F352"/>
      <c r="G352"/>
      <c r="H352"/>
      <c r="I352" s="740"/>
      <c r="AF352" s="361">
        <f t="shared" si="24"/>
        <v>0</v>
      </c>
      <c r="AG352" s="34"/>
      <c r="AH352" s="34"/>
      <c r="AI352" s="47"/>
      <c r="AJ352" s="43"/>
      <c r="AK352" s="78" t="str">
        <f>S.Staff.Subject.Expert.FirstName&amp;" submits Web Request to post materials"</f>
        <v>Jerry submits Web Request to post materials</v>
      </c>
      <c r="AL352" s="76"/>
      <c r="AM352"/>
    </row>
    <row r="353" spans="1:39" s="23" customFormat="1" ht="14.1" hidden="1" customHeight="1" outlineLevel="2">
      <c r="A353" s="145"/>
      <c r="B353" s="446" t="s">
        <v>123</v>
      </c>
      <c r="C353" s="966" t="s">
        <v>0</v>
      </c>
      <c r="D353" s="283"/>
      <c r="E353" s="745"/>
      <c r="F353"/>
      <c r="I353" s="740"/>
      <c r="J353"/>
      <c r="K353"/>
      <c r="L353"/>
      <c r="M353"/>
      <c r="N353"/>
      <c r="O353"/>
      <c r="P353"/>
      <c r="Q353"/>
      <c r="R353"/>
      <c r="S353"/>
      <c r="T353"/>
      <c r="U353"/>
      <c r="X353"/>
      <c r="AB353"/>
      <c r="AC353"/>
      <c r="AF353" s="361">
        <f t="shared" si="24"/>
        <v>0</v>
      </c>
      <c r="AG353" s="34"/>
      <c r="AH353" s="34"/>
      <c r="AI353" s="59"/>
      <c r="AJ353" s="59"/>
      <c r="AK353" s="43"/>
      <c r="AL353" s="76"/>
    </row>
    <row r="354" spans="1:39" ht="14.1" hidden="1" customHeight="1" outlineLevel="2">
      <c r="A354" s="145"/>
      <c r="B354" s="418" t="s">
        <v>121</v>
      </c>
      <c r="C354" s="966" t="s">
        <v>0</v>
      </c>
      <c r="D354"/>
      <c r="E354"/>
      <c r="F354"/>
      <c r="G354"/>
      <c r="H354" s="263">
        <f>AH354</f>
        <v>41795</v>
      </c>
      <c r="I354" s="740"/>
      <c r="AF354" s="361">
        <f>IF(AND(S.AC.InvolveMeeting1="Y",S.AC.CommitteeInvolved="Y"),1,0)</f>
        <v>0</v>
      </c>
      <c r="AG354" s="59"/>
      <c r="AH354" s="60">
        <f>S.AC.DateMeeting1</f>
        <v>41795</v>
      </c>
      <c r="AI354" s="59"/>
      <c r="AJ354" s="59"/>
      <c r="AK354" s="43"/>
      <c r="AL354" s="76"/>
      <c r="AM354"/>
    </row>
    <row r="355" spans="1:39" ht="14.1" hidden="1" customHeight="1" outlineLevel="2">
      <c r="A355" s="145"/>
      <c r="B355" s="342" t="str">
        <f>AK355</f>
        <v>Jerry drafts AC.MINUTES 06.05.14</v>
      </c>
      <c r="C355" s="965" t="str">
        <f>HYPERLINK("\\deq000\templates\General\Minutes Template.dotx","i")</f>
        <v>i</v>
      </c>
      <c r="D355" s="356"/>
      <c r="E355" s="356"/>
      <c r="F355"/>
      <c r="G355" s="323">
        <f>AG355</f>
        <v>41795</v>
      </c>
      <c r="H355" s="256">
        <f>AH355</f>
        <v>41795</v>
      </c>
      <c r="I355" s="740"/>
      <c r="AF355" s="361">
        <f>IF(AND(S.AC.InvolveMeeting1="Y",S.AC.CommitteeInvolved="Y"),1,0)</f>
        <v>0</v>
      </c>
      <c r="AG355" s="60">
        <f>S.AC.DateMeeting1</f>
        <v>41795</v>
      </c>
      <c r="AH355" s="60">
        <f>G355</f>
        <v>41795</v>
      </c>
      <c r="AI355" s="59"/>
      <c r="AJ355" s="59"/>
      <c r="AK355" s="67" t="str">
        <f>S.Staff.Subject.Expert.FirstName&amp;" drafts AC.MINUTES "&amp;TEXT(S.AC.DateMeeting1,"mm.dd.yy")</f>
        <v>Jerry drafts AC.MINUTES 06.05.14</v>
      </c>
      <c r="AL355" s="76"/>
      <c r="AM355"/>
    </row>
    <row r="356" spans="1:39" ht="14.1" hidden="1" customHeight="1" outlineLevel="2" thickBot="1">
      <c r="A356" s="145"/>
      <c r="B356" s="418" t="s">
        <v>122</v>
      </c>
      <c r="C356" s="966" t="s">
        <v>0</v>
      </c>
      <c r="D356" s="283"/>
      <c r="E356" s="283"/>
      <c r="F356"/>
      <c r="G356" s="323">
        <f>AG356</f>
        <v>41795</v>
      </c>
      <c r="H356" s="256">
        <f>AH356</f>
        <v>41795</v>
      </c>
      <c r="I356" s="740"/>
      <c r="AF356" s="361">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7" t="s">
        <v>23</v>
      </c>
      <c r="C357" s="535" t="s">
        <v>16</v>
      </c>
      <c r="D357" s="707"/>
      <c r="E357" s="707"/>
      <c r="F357" s="306"/>
      <c r="G357" s="252">
        <v>41816</v>
      </c>
      <c r="H357" s="364" t="s">
        <v>763</v>
      </c>
      <c r="I357" s="740"/>
      <c r="J357"/>
      <c r="K357"/>
      <c r="L357"/>
      <c r="M357"/>
      <c r="N357"/>
      <c r="O357"/>
      <c r="P357"/>
      <c r="Q357"/>
      <c r="R357"/>
      <c r="S357"/>
      <c r="T357"/>
      <c r="U357"/>
      <c r="X357"/>
      <c r="AB357"/>
      <c r="AC357"/>
      <c r="AF357" s="361">
        <f t="shared" ref="AF357:AF367" si="25">IF(AND(S.AC.InvolveMeeting2="Y",S.AC.CommitteeInvolved="Y"),1,0)</f>
        <v>0</v>
      </c>
      <c r="AG357" s="60">
        <f>S.AC.DateMeeting1</f>
        <v>41795</v>
      </c>
      <c r="AH357" s="34" t="s">
        <v>0</v>
      </c>
      <c r="AI357" s="34"/>
      <c r="AJ357" s="43"/>
      <c r="AK357" s="43"/>
      <c r="AL357" s="76"/>
    </row>
    <row r="358" spans="1:39" s="23" customFormat="1" ht="14.1" hidden="1" customHeight="1" outlineLevel="2">
      <c r="A358" s="145"/>
      <c r="B358" s="415" t="s">
        <v>118</v>
      </c>
      <c r="C358" s="964"/>
      <c r="D358" s="283"/>
      <c r="E358" s="283"/>
      <c r="F358" s="255">
        <f>NETWORKDAYS(G358,H358,S.DDL_DEQClosed)</f>
        <v>1</v>
      </c>
      <c r="G358" s="323">
        <f>AG358</f>
        <v>41802</v>
      </c>
      <c r="H358" s="256">
        <f>AH358</f>
        <v>41802</v>
      </c>
      <c r="I358" s="740"/>
      <c r="J358"/>
      <c r="K358"/>
      <c r="L358"/>
      <c r="M358"/>
      <c r="N358"/>
      <c r="O358"/>
      <c r="P358"/>
      <c r="Q358"/>
      <c r="R358"/>
      <c r="S358"/>
      <c r="T358"/>
      <c r="U358"/>
      <c r="X358"/>
      <c r="AB358"/>
      <c r="AC358"/>
      <c r="AF358" s="361">
        <f t="shared" si="25"/>
        <v>0</v>
      </c>
      <c r="AG358" s="60">
        <f>WORKDAY(S.AC.DateMeeting2-13,-1,S.DDL_DEQClosed)</f>
        <v>41802</v>
      </c>
      <c r="AH358" s="60">
        <f>G358</f>
        <v>41802</v>
      </c>
      <c r="AI358" s="47"/>
      <c r="AJ358" s="43"/>
      <c r="AK358" s="34"/>
      <c r="AL358" s="76"/>
    </row>
    <row r="359" spans="1:39" s="23" customFormat="1" ht="14.1" hidden="1" customHeight="1" outlineLevel="2">
      <c r="A359" s="145"/>
      <c r="B359" s="284" t="str">
        <f>AK359</f>
        <v>Jerry coordinates or drafts:</v>
      </c>
      <c r="C359" s="964"/>
      <c r="D359" s="704"/>
      <c r="E359" s="704"/>
      <c r="F359" s="262"/>
      <c r="G359" s="258"/>
      <c r="H359" s="300"/>
      <c r="I359" s="740"/>
      <c r="J359"/>
      <c r="K359"/>
      <c r="L359"/>
      <c r="M359"/>
      <c r="N359"/>
      <c r="O359"/>
      <c r="P359"/>
      <c r="Q359"/>
      <c r="R359"/>
      <c r="S359"/>
      <c r="T359"/>
      <c r="U359"/>
      <c r="X359"/>
      <c r="AB359"/>
      <c r="AC359"/>
      <c r="AF359" s="361">
        <f t="shared" si="25"/>
        <v>0</v>
      </c>
      <c r="AG359" s="47"/>
      <c r="AH359" s="58"/>
      <c r="AI359" s="58"/>
      <c r="AJ359" s="43"/>
      <c r="AK359" s="67" t="str">
        <f>S.Staff.Subject.Expert.FirstName&amp;" coordinates or drafts:"</f>
        <v>Jerry coordinates or drafts:</v>
      </c>
      <c r="AL359" s="76"/>
    </row>
    <row r="360" spans="1:39" s="23" customFormat="1" ht="14.1" hidden="1" customHeight="1" outlineLevel="2">
      <c r="A360" s="145"/>
      <c r="B360" s="316" t="str">
        <f>AK360</f>
        <v>* AC.AGENDA.06.05.14, gets team agreement</v>
      </c>
      <c r="C360" s="965" t="str">
        <f>HYPERLINK("\\deq000\templates\General\Agenda Template.dotx","i")</f>
        <v>i</v>
      </c>
      <c r="D360" s="356"/>
      <c r="E360" s="356"/>
      <c r="F360" s="255">
        <f t="shared" ref="F360:F367" si="26">NETWORKDAYS(G360,H360,S.DDL_DEQClosed)</f>
        <v>1</v>
      </c>
      <c r="G360" s="323">
        <f t="shared" ref="G360:H367" si="27">AG360</f>
        <v>41802</v>
      </c>
      <c r="H360" s="256">
        <f t="shared" si="27"/>
        <v>41802</v>
      </c>
      <c r="I360" s="740"/>
      <c r="J360"/>
      <c r="K360"/>
      <c r="L360"/>
      <c r="M360"/>
      <c r="N360"/>
      <c r="O360"/>
      <c r="P360"/>
      <c r="Q360"/>
      <c r="R360"/>
      <c r="S360"/>
      <c r="T360"/>
      <c r="U360"/>
      <c r="X360"/>
      <c r="AB360"/>
      <c r="AC360"/>
      <c r="AF360" s="361">
        <f t="shared" si="25"/>
        <v>0</v>
      </c>
      <c r="AG360" s="60">
        <f>G358</f>
        <v>41802</v>
      </c>
      <c r="AH360" s="60">
        <f t="shared" ref="AH360:AH367" si="28">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66" t="s">
        <v>0</v>
      </c>
      <c r="D361" s="283"/>
      <c r="E361" s="283"/>
      <c r="F361" s="255">
        <f t="shared" si="26"/>
        <v>1</v>
      </c>
      <c r="G361" s="323">
        <f t="shared" si="27"/>
        <v>41802</v>
      </c>
      <c r="H361" s="256">
        <f t="shared" si="27"/>
        <v>41802</v>
      </c>
      <c r="I361" s="740"/>
      <c r="J361"/>
      <c r="K361"/>
      <c r="L361"/>
      <c r="M361"/>
      <c r="N361"/>
      <c r="O361"/>
      <c r="P361"/>
      <c r="Q361"/>
      <c r="R361"/>
      <c r="S361"/>
      <c r="T361"/>
      <c r="U361"/>
      <c r="X361"/>
      <c r="AB361"/>
      <c r="AC361"/>
      <c r="AF361" s="361">
        <f t="shared" si="25"/>
        <v>0</v>
      </c>
      <c r="AG361" s="60">
        <f t="shared" ref="AG361:AG367" si="29">G360</f>
        <v>41802</v>
      </c>
      <c r="AH361" s="60">
        <f t="shared" si="28"/>
        <v>41802</v>
      </c>
      <c r="AI361" s="59"/>
      <c r="AJ361" s="59"/>
      <c r="AK361" s="67" t="str">
        <f>"* AC.NOTIFICATION."&amp;TEXT(S.AC.DateMeeting1,"mm.dd.yy")</f>
        <v>* AC.NOTIFICATION.06.05.14</v>
      </c>
      <c r="AL361" s="76"/>
    </row>
    <row r="362" spans="1:39" s="23" customFormat="1" ht="14.1" hidden="1" customHeight="1" outlineLevel="2">
      <c r="A362" s="145"/>
      <c r="B362" s="320" t="s">
        <v>214</v>
      </c>
      <c r="C362" s="965" t="str">
        <f>HYPERLINK("http://deq05/intranet/contentmanagement/login.asp","i")</f>
        <v>i</v>
      </c>
      <c r="D362" s="705"/>
      <c r="E362" s="705"/>
      <c r="F362" s="255">
        <f t="shared" si="26"/>
        <v>1</v>
      </c>
      <c r="G362" s="323">
        <f t="shared" si="27"/>
        <v>41802</v>
      </c>
      <c r="H362" s="256">
        <f t="shared" si="27"/>
        <v>41802</v>
      </c>
      <c r="I362" s="740"/>
      <c r="J362"/>
      <c r="K362"/>
      <c r="L362"/>
      <c r="M362"/>
      <c r="N362"/>
      <c r="O362"/>
      <c r="P362"/>
      <c r="Q362"/>
      <c r="R362"/>
      <c r="S362"/>
      <c r="T362"/>
      <c r="U362"/>
      <c r="X362"/>
      <c r="AB362"/>
      <c r="AC362"/>
      <c r="AF362" s="361">
        <f t="shared" si="25"/>
        <v>0</v>
      </c>
      <c r="AG362" s="60">
        <f t="shared" si="29"/>
        <v>41802</v>
      </c>
      <c r="AH362" s="60">
        <f t="shared" si="28"/>
        <v>41802</v>
      </c>
      <c r="AI362" s="47"/>
      <c r="AJ362" s="43"/>
      <c r="AK362" s="43"/>
      <c r="AL362" s="76"/>
    </row>
    <row r="363" spans="1:39" s="23" customFormat="1" ht="14.1" hidden="1" customHeight="1" outlineLevel="2">
      <c r="A363" s="145"/>
      <c r="B363" s="298" t="s">
        <v>183</v>
      </c>
      <c r="C363" s="966" t="s">
        <v>0</v>
      </c>
      <c r="D363" s="283"/>
      <c r="E363" s="283"/>
      <c r="F363" s="255">
        <f t="shared" si="26"/>
        <v>1</v>
      </c>
      <c r="G363" s="323">
        <f t="shared" si="27"/>
        <v>41802</v>
      </c>
      <c r="H363" s="256">
        <f t="shared" si="27"/>
        <v>41802</v>
      </c>
      <c r="I363" s="740"/>
      <c r="J363"/>
      <c r="K363"/>
      <c r="L363"/>
      <c r="M363"/>
      <c r="N363"/>
      <c r="O363"/>
      <c r="P363"/>
      <c r="Q363"/>
      <c r="R363"/>
      <c r="S363"/>
      <c r="T363"/>
      <c r="U363"/>
      <c r="X363"/>
      <c r="AB363"/>
      <c r="AC363"/>
      <c r="AF363" s="361">
        <f t="shared" si="25"/>
        <v>0</v>
      </c>
      <c r="AG363" s="60">
        <f t="shared" si="29"/>
        <v>41802</v>
      </c>
      <c r="AH363" s="60">
        <f t="shared" si="28"/>
        <v>41802</v>
      </c>
      <c r="AI363" s="47"/>
      <c r="AJ363" s="43"/>
      <c r="AK363" s="43"/>
      <c r="AL363" s="76"/>
    </row>
    <row r="364" spans="1:39" s="23" customFormat="1" ht="14.1" hidden="1" customHeight="1" outlineLevel="2">
      <c r="A364" s="145"/>
      <c r="B364" s="417" t="s">
        <v>119</v>
      </c>
      <c r="C364" s="966" t="s">
        <v>0</v>
      </c>
      <c r="D364" s="283"/>
      <c r="E364" s="283"/>
      <c r="F364" s="255">
        <f t="shared" si="26"/>
        <v>1</v>
      </c>
      <c r="G364" s="323">
        <f t="shared" si="27"/>
        <v>41802</v>
      </c>
      <c r="H364" s="256">
        <f t="shared" si="27"/>
        <v>41802</v>
      </c>
      <c r="I364" s="740"/>
      <c r="J364"/>
      <c r="K364"/>
      <c r="L364"/>
      <c r="M364"/>
      <c r="N364"/>
      <c r="O364"/>
      <c r="P364"/>
      <c r="Q364"/>
      <c r="R364"/>
      <c r="S364"/>
      <c r="T364"/>
      <c r="U364"/>
      <c r="X364"/>
      <c r="AB364"/>
      <c r="AC364"/>
      <c r="AF364" s="361">
        <f t="shared" si="25"/>
        <v>0</v>
      </c>
      <c r="AG364" s="60">
        <f t="shared" si="29"/>
        <v>41802</v>
      </c>
      <c r="AH364" s="60">
        <f t="shared" si="28"/>
        <v>41802</v>
      </c>
      <c r="AI364" s="47"/>
      <c r="AJ364" s="43"/>
      <c r="AK364" s="43"/>
      <c r="AL364" s="76"/>
    </row>
    <row r="365" spans="1:39" s="23" customFormat="1" ht="14.1" hidden="1" customHeight="1" outlineLevel="2">
      <c r="A365" s="145"/>
      <c r="B365" s="417" t="s">
        <v>119</v>
      </c>
      <c r="C365" s="966" t="s">
        <v>0</v>
      </c>
      <c r="D365" s="283"/>
      <c r="E365" s="283"/>
      <c r="F365" s="255">
        <f t="shared" si="26"/>
        <v>1</v>
      </c>
      <c r="G365" s="323">
        <f t="shared" si="27"/>
        <v>41802</v>
      </c>
      <c r="H365" s="256">
        <f t="shared" si="27"/>
        <v>41802</v>
      </c>
      <c r="I365" s="740"/>
      <c r="J365"/>
      <c r="K365"/>
      <c r="L365"/>
      <c r="M365"/>
      <c r="N365"/>
      <c r="O365"/>
      <c r="P365"/>
      <c r="Q365"/>
      <c r="R365"/>
      <c r="S365"/>
      <c r="T365"/>
      <c r="U365"/>
      <c r="X365"/>
      <c r="AB365"/>
      <c r="AC365"/>
      <c r="AF365" s="361">
        <f t="shared" si="25"/>
        <v>0</v>
      </c>
      <c r="AG365" s="60">
        <f t="shared" si="29"/>
        <v>41802</v>
      </c>
      <c r="AH365" s="60">
        <f t="shared" si="28"/>
        <v>41802</v>
      </c>
      <c r="AI365" s="47"/>
      <c r="AJ365" s="43"/>
      <c r="AK365" s="43"/>
      <c r="AL365" s="76"/>
    </row>
    <row r="366" spans="1:39" s="23" customFormat="1" ht="14.1" hidden="1" customHeight="1" outlineLevel="2">
      <c r="A366" s="145"/>
      <c r="B366" s="417" t="s">
        <v>119</v>
      </c>
      <c r="C366" s="966" t="s">
        <v>0</v>
      </c>
      <c r="D366" s="283"/>
      <c r="E366" s="283"/>
      <c r="F366" s="255">
        <f t="shared" si="26"/>
        <v>1</v>
      </c>
      <c r="G366" s="323">
        <f t="shared" si="27"/>
        <v>41802</v>
      </c>
      <c r="H366" s="256">
        <f t="shared" si="27"/>
        <v>41802</v>
      </c>
      <c r="I366" s="740"/>
      <c r="J366"/>
      <c r="K366"/>
      <c r="L366"/>
      <c r="M366"/>
      <c r="N366"/>
      <c r="O366"/>
      <c r="P366"/>
      <c r="Q366"/>
      <c r="R366"/>
      <c r="S366"/>
      <c r="T366"/>
      <c r="U366"/>
      <c r="X366"/>
      <c r="AB366"/>
      <c r="AC366"/>
      <c r="AF366" s="361">
        <f t="shared" si="25"/>
        <v>0</v>
      </c>
      <c r="AG366" s="60">
        <f t="shared" si="29"/>
        <v>41802</v>
      </c>
      <c r="AH366" s="60">
        <f t="shared" si="28"/>
        <v>41802</v>
      </c>
      <c r="AI366" s="47"/>
      <c r="AJ366" s="43"/>
      <c r="AK366" s="43"/>
      <c r="AL366" s="76"/>
    </row>
    <row r="367" spans="1:39" s="23" customFormat="1" ht="14.1" hidden="1" customHeight="1" outlineLevel="2" thickBot="1">
      <c r="A367" s="145"/>
      <c r="B367" s="417" t="s">
        <v>119</v>
      </c>
      <c r="C367" s="966" t="s">
        <v>0</v>
      </c>
      <c r="D367" s="283"/>
      <c r="E367" s="283"/>
      <c r="F367" s="255">
        <f t="shared" si="26"/>
        <v>1</v>
      </c>
      <c r="G367" s="323">
        <f t="shared" si="27"/>
        <v>41802</v>
      </c>
      <c r="H367" s="256">
        <f t="shared" si="27"/>
        <v>41802</v>
      </c>
      <c r="I367" s="740"/>
      <c r="J367"/>
      <c r="K367"/>
      <c r="L367"/>
      <c r="M367"/>
      <c r="N367"/>
      <c r="O367"/>
      <c r="P367"/>
      <c r="Q367"/>
      <c r="R367"/>
      <c r="S367"/>
      <c r="T367"/>
      <c r="U367"/>
      <c r="X367"/>
      <c r="AB367"/>
      <c r="AC367"/>
      <c r="AF367" s="361">
        <f t="shared" si="25"/>
        <v>0</v>
      </c>
      <c r="AG367" s="60">
        <f t="shared" si="29"/>
        <v>41802</v>
      </c>
      <c r="AH367" s="60">
        <f t="shared" si="28"/>
        <v>41802</v>
      </c>
      <c r="AI367" s="47"/>
      <c r="AJ367" s="43"/>
      <c r="AK367" s="43"/>
      <c r="AL367" s="76"/>
    </row>
    <row r="368" spans="1:39" s="23" customFormat="1" ht="14.1" hidden="1" customHeight="1" outlineLevel="2" thickBot="1">
      <c r="A368" s="145"/>
      <c r="B368" s="442" t="s">
        <v>168</v>
      </c>
      <c r="C368" s="535" t="s">
        <v>16</v>
      </c>
      <c r="D368" s="706"/>
      <c r="E368" s="706"/>
      <c r="F368" s="324"/>
      <c r="G368" s="324"/>
      <c r="H368" s="324"/>
      <c r="I368" s="740"/>
      <c r="J368"/>
      <c r="K368"/>
      <c r="L368"/>
      <c r="M368"/>
      <c r="N368"/>
      <c r="O368"/>
      <c r="P368"/>
      <c r="Q368"/>
      <c r="R368"/>
      <c r="S368"/>
      <c r="T368"/>
      <c r="U368"/>
      <c r="X368"/>
      <c r="AB368"/>
      <c r="AC368"/>
      <c r="AF368" s="361">
        <f t="shared" ref="AF368:AF375" si="30">IF(AND(S.AC.InvolveMeeting2="Y",S.AC.CommitteeInvolved="Y",S.AC.Presentation2="Y"),1,0)</f>
        <v>0</v>
      </c>
      <c r="AG368" s="34"/>
      <c r="AH368" s="34"/>
      <c r="AI368" s="34"/>
      <c r="AJ368" s="43"/>
      <c r="AK368" s="43"/>
      <c r="AL368" s="76"/>
    </row>
    <row r="369" spans="1:38" s="23" customFormat="1" ht="14.1" hidden="1" customHeight="1" outlineLevel="2">
      <c r="A369" s="145"/>
      <c r="B369" s="443" t="s">
        <v>120</v>
      </c>
      <c r="C369" s="966" t="s">
        <v>0</v>
      </c>
      <c r="D369" s="325"/>
      <c r="E369" s="325"/>
      <c r="F369" s="321"/>
      <c r="G369" s="321"/>
      <c r="H369" s="321"/>
      <c r="I369" s="740"/>
      <c r="J369"/>
      <c r="K369"/>
      <c r="L369"/>
      <c r="M369"/>
      <c r="N369"/>
      <c r="O369"/>
      <c r="P369"/>
      <c r="Q369"/>
      <c r="R369"/>
      <c r="S369"/>
      <c r="T369"/>
      <c r="U369"/>
      <c r="X369"/>
      <c r="AB369"/>
      <c r="AC369"/>
      <c r="AF369" s="361">
        <f t="shared" si="30"/>
        <v>0</v>
      </c>
      <c r="AG369" s="34"/>
      <c r="AH369" s="34"/>
      <c r="AI369" s="47"/>
      <c r="AJ369" s="43"/>
      <c r="AK369" s="43"/>
      <c r="AL369" s="76"/>
    </row>
    <row r="370" spans="1:38" s="23" customFormat="1" ht="14.1" hidden="1" customHeight="1" outlineLevel="2">
      <c r="A370" s="145"/>
      <c r="B370" s="444" t="str">
        <f>AK370</f>
        <v>* drafts optional AC.PRESENTATION.06.05.14</v>
      </c>
      <c r="C370" s="965" t="str">
        <f>HYPERLINK("http://deq05/intranet/communication/docs/DEQAgencyTemplate1.potx","i")</f>
        <v>i</v>
      </c>
      <c r="D370" s="356"/>
      <c r="E370" s="356"/>
      <c r="F370" s="255">
        <f>NETWORKDAYS(G370,H370,S.DDL_DEQClosed)</f>
        <v>1</v>
      </c>
      <c r="G370" s="323">
        <f>AG370</f>
        <v>41802</v>
      </c>
      <c r="H370" s="256">
        <f>AH370</f>
        <v>41802</v>
      </c>
      <c r="I370" s="740"/>
      <c r="J370"/>
      <c r="K370"/>
      <c r="L370"/>
      <c r="M370"/>
      <c r="N370"/>
      <c r="O370"/>
      <c r="P370"/>
      <c r="Q370"/>
      <c r="R370"/>
      <c r="S370"/>
      <c r="T370"/>
      <c r="U370"/>
      <c r="X370"/>
      <c r="AB370"/>
      <c r="AC370"/>
      <c r="AF370" s="361">
        <f t="shared" si="30"/>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3" t="s">
        <v>120</v>
      </c>
      <c r="C371" s="966" t="s">
        <v>0</v>
      </c>
      <c r="D371" s="325"/>
      <c r="E371" s="325"/>
      <c r="F371" s="324"/>
      <c r="G371" s="324"/>
      <c r="H371" s="324"/>
      <c r="I371" s="740"/>
      <c r="J371"/>
      <c r="K371"/>
      <c r="L371"/>
      <c r="M371"/>
      <c r="N371"/>
      <c r="O371"/>
      <c r="P371"/>
      <c r="Q371"/>
      <c r="R371"/>
      <c r="S371"/>
      <c r="T371"/>
      <c r="U371"/>
      <c r="X371"/>
      <c r="AB371"/>
      <c r="AC371"/>
      <c r="AF371" s="361">
        <f t="shared" si="30"/>
        <v>0</v>
      </c>
      <c r="AG371" s="34"/>
      <c r="AH371" s="34"/>
      <c r="AI371" s="47"/>
      <c r="AJ371" s="43"/>
      <c r="AK371" s="43"/>
      <c r="AL371" s="76"/>
    </row>
    <row r="372" spans="1:38" s="23" customFormat="1" ht="14.1" hidden="1" customHeight="1" outlineLevel="2">
      <c r="A372" s="145"/>
      <c r="B372" s="445" t="s">
        <v>182</v>
      </c>
      <c r="C372" s="966" t="s">
        <v>0</v>
      </c>
      <c r="D372" s="283"/>
      <c r="E372" s="283"/>
      <c r="F372" s="255">
        <f>NETWORKDAYS(G372,H372,S.DDL_DEQClosed)</f>
        <v>1</v>
      </c>
      <c r="G372" s="323">
        <f t="shared" ref="G372:H376" si="31">AG372</f>
        <v>41802</v>
      </c>
      <c r="H372" s="256">
        <f t="shared" si="31"/>
        <v>41802</v>
      </c>
      <c r="I372" s="740"/>
      <c r="J372"/>
      <c r="K372"/>
      <c r="L372"/>
      <c r="M372"/>
      <c r="N372"/>
      <c r="O372"/>
      <c r="P372"/>
      <c r="Q372"/>
      <c r="R372"/>
      <c r="S372"/>
      <c r="T372"/>
      <c r="U372"/>
      <c r="X372"/>
      <c r="AB372"/>
      <c r="AC372"/>
      <c r="AF372" s="361">
        <f t="shared" si="30"/>
        <v>0</v>
      </c>
      <c r="AG372" s="60">
        <f>G370</f>
        <v>41802</v>
      </c>
      <c r="AH372" s="60">
        <f>G372</f>
        <v>41802</v>
      </c>
      <c r="AI372" s="47"/>
      <c r="AJ372" s="43"/>
      <c r="AK372" s="43"/>
      <c r="AL372" s="76"/>
    </row>
    <row r="373" spans="1:38" s="23" customFormat="1" ht="14.1" hidden="1" customHeight="1" outlineLevel="2">
      <c r="A373" s="145"/>
      <c r="B373" s="446" t="s">
        <v>215</v>
      </c>
      <c r="C373" s="966" t="s">
        <v>0</v>
      </c>
      <c r="D373" s="283"/>
      <c r="E373" s="283"/>
      <c r="F373" s="255">
        <f>NETWORKDAYS(G373,H373,S.DDL_DEQClosed)</f>
        <v>1</v>
      </c>
      <c r="G373" s="323">
        <f t="shared" si="31"/>
        <v>41802</v>
      </c>
      <c r="H373" s="256">
        <f t="shared" si="31"/>
        <v>41802</v>
      </c>
      <c r="I373" s="740"/>
      <c r="J373"/>
      <c r="K373"/>
      <c r="L373"/>
      <c r="M373"/>
      <c r="N373"/>
      <c r="O373"/>
      <c r="P373"/>
      <c r="Q373"/>
      <c r="R373"/>
      <c r="S373"/>
      <c r="T373"/>
      <c r="U373"/>
      <c r="X373"/>
      <c r="AB373"/>
      <c r="AC373"/>
      <c r="AF373" s="361">
        <f t="shared" si="30"/>
        <v>0</v>
      </c>
      <c r="AG373" s="60">
        <f>G372</f>
        <v>41802</v>
      </c>
      <c r="AH373" s="60">
        <f>G373</f>
        <v>41802</v>
      </c>
      <c r="AI373" s="47" t="s">
        <v>0</v>
      </c>
      <c r="AJ373" s="43"/>
      <c r="AK373" s="43"/>
      <c r="AL373" s="76"/>
    </row>
    <row r="374" spans="1:38" s="23" customFormat="1" ht="14.1" hidden="1" customHeight="1" outlineLevel="2">
      <c r="A374" s="145"/>
      <c r="B374" s="447" t="str">
        <f>AK374</f>
        <v>Jerry submits Web Request to post materials</v>
      </c>
      <c r="C374" s="967" t="str">
        <f>HYPERLINK("http://deq05/intranet/communication/WebRequests.htm","i")</f>
        <v>i</v>
      </c>
      <c r="D374" s="283"/>
      <c r="E374" s="283"/>
      <c r="F374" s="255">
        <f>NETWORKDAYS(G374,H374,S.DDL_DEQClosed)</f>
        <v>1</v>
      </c>
      <c r="G374" s="323">
        <f t="shared" si="31"/>
        <v>41802</v>
      </c>
      <c r="H374" s="256">
        <f t="shared" si="31"/>
        <v>41802</v>
      </c>
      <c r="I374" s="740"/>
      <c r="J374"/>
      <c r="K374"/>
      <c r="L374"/>
      <c r="M374"/>
      <c r="N374"/>
      <c r="O374"/>
      <c r="P374"/>
      <c r="Q374"/>
      <c r="R374"/>
      <c r="S374"/>
      <c r="T374"/>
      <c r="U374"/>
      <c r="X374"/>
      <c r="AB374"/>
      <c r="AC374"/>
      <c r="AF374" s="361">
        <f t="shared" si="30"/>
        <v>0</v>
      </c>
      <c r="AG374" s="60">
        <f>G373</f>
        <v>41802</v>
      </c>
      <c r="AH374" s="60">
        <f>G374</f>
        <v>41802</v>
      </c>
      <c r="AI374" s="47"/>
      <c r="AJ374" s="43"/>
      <c r="AK374" s="78" t="str">
        <f>S.Staff.Subject.Expert.FirstName&amp;" submits Web Request to post materials"</f>
        <v>Jerry submits Web Request to post materials</v>
      </c>
      <c r="AL374" s="76"/>
    </row>
    <row r="375" spans="1:38" s="23" customFormat="1" ht="14.1" hidden="1" customHeight="1" outlineLevel="2">
      <c r="A375" s="145"/>
      <c r="B375" s="446" t="s">
        <v>123</v>
      </c>
      <c r="C375" s="966" t="s">
        <v>0</v>
      </c>
      <c r="D375" s="283"/>
      <c r="E375" s="283"/>
      <c r="F375" s="255">
        <f>NETWORKDAYS(G375,H375,S.DDL_DEQClosed)</f>
        <v>1</v>
      </c>
      <c r="G375" s="323">
        <f t="shared" si="31"/>
        <v>41802</v>
      </c>
      <c r="H375" s="256">
        <f t="shared" si="31"/>
        <v>41802</v>
      </c>
      <c r="I375" s="740"/>
      <c r="J375"/>
      <c r="K375"/>
      <c r="L375"/>
      <c r="M375"/>
      <c r="N375"/>
      <c r="O375"/>
      <c r="P375"/>
      <c r="Q375"/>
      <c r="R375"/>
      <c r="S375"/>
      <c r="T375"/>
      <c r="U375"/>
      <c r="X375"/>
      <c r="AB375"/>
      <c r="AC375"/>
      <c r="AF375" s="361">
        <f t="shared" si="30"/>
        <v>0</v>
      </c>
      <c r="AG375" s="60">
        <f>G374</f>
        <v>41802</v>
      </c>
      <c r="AH375" s="60">
        <f>G375</f>
        <v>41802</v>
      </c>
      <c r="AI375" s="59"/>
      <c r="AJ375" s="59"/>
      <c r="AK375" s="43"/>
      <c r="AL375" s="76"/>
    </row>
    <row r="376" spans="1:38" s="23" customFormat="1" ht="14.1" hidden="1" customHeight="1" outlineLevel="2">
      <c r="A376" s="145"/>
      <c r="B376" s="342" t="str">
        <f>AK376</f>
        <v>Jerry sends meeting notice with link to Web page</v>
      </c>
      <c r="C376" s="966" t="s">
        <v>0</v>
      </c>
      <c r="D376" s="283"/>
      <c r="E376" s="283"/>
      <c r="F376" s="255">
        <f>NETWORKDAYS(G376,H376,S.DDL_DEQClosed)</f>
        <v>1</v>
      </c>
      <c r="G376" s="323">
        <f t="shared" si="31"/>
        <v>41802</v>
      </c>
      <c r="H376" s="256">
        <f t="shared" si="31"/>
        <v>41802</v>
      </c>
      <c r="I376" s="740"/>
      <c r="J376"/>
      <c r="K376"/>
      <c r="L376"/>
      <c r="M376"/>
      <c r="N376"/>
      <c r="O376"/>
      <c r="P376"/>
      <c r="Q376"/>
      <c r="R376"/>
      <c r="S376"/>
      <c r="T376"/>
      <c r="U376"/>
      <c r="X376"/>
      <c r="AB376"/>
      <c r="AC376"/>
      <c r="AF376" s="361">
        <f>IF(AND(S.AC.InvolveMeeting2="Y",S.AC.CommitteeInvolved="Y"),1,0)</f>
        <v>0</v>
      </c>
      <c r="AG376" s="60">
        <f>G375</f>
        <v>41802</v>
      </c>
      <c r="AH376" s="60">
        <f>G376</f>
        <v>41802</v>
      </c>
      <c r="AI376" s="59"/>
      <c r="AJ376" s="59"/>
      <c r="AK376" s="78" t="str">
        <f>S.Staff.Subject.Expert.FirstName&amp;" sends meeting notice with link to Web page"</f>
        <v>Jerry sends meeting notice with link to Web page</v>
      </c>
      <c r="AL376" s="76"/>
    </row>
    <row r="377" spans="1:38" s="23" customFormat="1" ht="14.1" hidden="1" customHeight="1" outlineLevel="2">
      <c r="A377" s="145"/>
      <c r="B377" s="418" t="s">
        <v>121</v>
      </c>
      <c r="C377" s="966" t="s">
        <v>0</v>
      </c>
      <c r="D377" s="981" t="s">
        <v>219</v>
      </c>
      <c r="E377" s="981"/>
      <c r="F377" s="981"/>
      <c r="G377" s="982"/>
      <c r="H377" s="263">
        <f>AH377</f>
        <v>41816</v>
      </c>
      <c r="I377" s="740"/>
      <c r="J377"/>
      <c r="K377"/>
      <c r="L377"/>
      <c r="M377"/>
      <c r="N377"/>
      <c r="O377"/>
      <c r="P377"/>
      <c r="Q377"/>
      <c r="R377"/>
      <c r="S377"/>
      <c r="T377"/>
      <c r="U377"/>
      <c r="X377"/>
      <c r="AB377"/>
      <c r="AC377"/>
      <c r="AF377" s="361">
        <f>IF(AND(S.AC.InvolveMeeting2="Y",S.AC.CommitteeInvolved="Y"),1,0)</f>
        <v>0</v>
      </c>
      <c r="AG377" s="59"/>
      <c r="AH377" s="60">
        <f>S.AC.DateMeeting2</f>
        <v>41816</v>
      </c>
      <c r="AI377" s="59"/>
      <c r="AJ377" s="59"/>
      <c r="AK377" s="43"/>
      <c r="AL377" s="76"/>
    </row>
    <row r="378" spans="1:38" s="23" customFormat="1" ht="14.1" hidden="1" customHeight="1" outlineLevel="2">
      <c r="A378" s="145"/>
      <c r="B378" s="342" t="str">
        <f>AK378</f>
        <v>Jerry drafts AC.MINUTES 06.05.14</v>
      </c>
      <c r="C378" s="965" t="str">
        <f>HYPERLINK("\\deq000\templates\General\Minutes Template.dotx","i")</f>
        <v>i</v>
      </c>
      <c r="D378" s="356"/>
      <c r="E378" s="356"/>
      <c r="F378" s="255">
        <f>NETWORKDAYS(G378,H378,S.DDL_DEQClosed)</f>
        <v>1</v>
      </c>
      <c r="G378" s="323">
        <f>AG378</f>
        <v>41816</v>
      </c>
      <c r="H378" s="256">
        <f>AH378</f>
        <v>41816</v>
      </c>
      <c r="I378" s="740"/>
      <c r="J378"/>
      <c r="K378"/>
      <c r="L378"/>
      <c r="M378"/>
      <c r="N378"/>
      <c r="O378"/>
      <c r="P378"/>
      <c r="Q378"/>
      <c r="R378"/>
      <c r="S378"/>
      <c r="T378"/>
      <c r="U378"/>
      <c r="X378"/>
      <c r="AB378"/>
      <c r="AC378"/>
      <c r="AF378" s="361">
        <f>IF(AND(S.AC.InvolveMeeting2="Y",S.AC.CommitteeInvolved="Y"),1,0)</f>
        <v>0</v>
      </c>
      <c r="AG378" s="60">
        <f>S.AC.DateMeeting2</f>
        <v>41816</v>
      </c>
      <c r="AH378" s="60">
        <f>G378</f>
        <v>41816</v>
      </c>
      <c r="AI378" s="59"/>
      <c r="AJ378" s="59"/>
      <c r="AK378" s="67" t="str">
        <f>S.Staff.Subject.Expert.FirstName&amp;" drafts AC.MINUTES "&amp;TEXT(S.AC.DateMeeting1,"mm.dd.yy")</f>
        <v>Jerry drafts AC.MINUTES 06.05.14</v>
      </c>
      <c r="AL378" s="76"/>
    </row>
    <row r="379" spans="1:38" s="23" customFormat="1" ht="14.1" hidden="1" customHeight="1" outlineLevel="2" thickBot="1">
      <c r="A379" s="145"/>
      <c r="B379" s="418" t="s">
        <v>122</v>
      </c>
      <c r="C379" s="966" t="s">
        <v>0</v>
      </c>
      <c r="D379" s="283"/>
      <c r="E379" s="283"/>
      <c r="F379" s="255">
        <f>NETWORKDAYS(G379,H379,S.DDL_DEQClosed)</f>
        <v>1</v>
      </c>
      <c r="G379" s="323">
        <f>AG379</f>
        <v>41816</v>
      </c>
      <c r="H379" s="256">
        <f>AH379</f>
        <v>41816</v>
      </c>
      <c r="I379" s="740"/>
      <c r="J379"/>
      <c r="K379"/>
      <c r="L379"/>
      <c r="M379"/>
      <c r="N379"/>
      <c r="O379"/>
      <c r="P379"/>
      <c r="Q379"/>
      <c r="R379"/>
      <c r="S379"/>
      <c r="T379"/>
      <c r="U379"/>
      <c r="X379"/>
      <c r="AB379"/>
      <c r="AC379"/>
      <c r="AF379" s="361">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7" t="s">
        <v>22</v>
      </c>
      <c r="C380" s="535" t="s">
        <v>16</v>
      </c>
      <c r="D380" s="707"/>
      <c r="E380" s="707"/>
      <c r="F380" s="306"/>
      <c r="G380" s="252">
        <v>41850</v>
      </c>
      <c r="H380" s="254" t="s">
        <v>763</v>
      </c>
      <c r="I380" s="740"/>
      <c r="J380"/>
      <c r="K380"/>
      <c r="L380"/>
      <c r="M380"/>
      <c r="N380"/>
      <c r="O380"/>
      <c r="P380"/>
      <c r="Q380"/>
      <c r="R380"/>
      <c r="S380"/>
      <c r="T380"/>
      <c r="U380"/>
      <c r="X380"/>
      <c r="AB380"/>
      <c r="AC380"/>
      <c r="AF380" s="361">
        <f t="shared" ref="AF380:AF390" si="32">IF(AND(S.AC.InvolveMeeting3="Y",S.AC.CommitteeInvolved="Y"),1,0)</f>
        <v>0</v>
      </c>
      <c r="AG380" s="60">
        <f>S.AC.DateMeeting2</f>
        <v>41816</v>
      </c>
      <c r="AH380" s="34" t="s">
        <v>0</v>
      </c>
      <c r="AI380" s="59"/>
      <c r="AJ380" s="59"/>
      <c r="AK380" s="43"/>
      <c r="AL380" s="76"/>
    </row>
    <row r="381" spans="1:38" s="23" customFormat="1" ht="14.1" hidden="1" customHeight="1" outlineLevel="2">
      <c r="A381" s="145"/>
      <c r="B381" s="415" t="s">
        <v>118</v>
      </c>
      <c r="C381" s="964"/>
      <c r="D381" s="283"/>
      <c r="E381" s="283"/>
      <c r="F381" s="255">
        <f>NETWORKDAYS(G381,H381,S.DDL_DEQClosed)</f>
        <v>1</v>
      </c>
      <c r="G381" s="323">
        <f>AG381</f>
        <v>41836</v>
      </c>
      <c r="H381" s="256">
        <f>AH381</f>
        <v>41836</v>
      </c>
      <c r="I381" s="740"/>
      <c r="J381"/>
      <c r="K381"/>
      <c r="L381"/>
      <c r="M381"/>
      <c r="N381"/>
      <c r="O381"/>
      <c r="P381"/>
      <c r="Q381"/>
      <c r="R381"/>
      <c r="S381"/>
      <c r="T381"/>
      <c r="U381"/>
      <c r="X381"/>
      <c r="AB381"/>
      <c r="AC381"/>
      <c r="AF381" s="361">
        <f t="shared" si="32"/>
        <v>0</v>
      </c>
      <c r="AG381" s="60">
        <f>WORKDAY(S.AC.DateMeeting3-13,-1,S.DDL_DEQClosed)</f>
        <v>41836</v>
      </c>
      <c r="AH381" s="60">
        <f>G381</f>
        <v>41836</v>
      </c>
      <c r="AI381" s="47"/>
      <c r="AJ381" s="43"/>
      <c r="AK381" s="34"/>
      <c r="AL381" s="76"/>
    </row>
    <row r="382" spans="1:38" s="23" customFormat="1" ht="14.1" hidden="1" customHeight="1" outlineLevel="2">
      <c r="A382" s="145"/>
      <c r="B382" s="284" t="str">
        <f>AK382</f>
        <v>Jerry coordinates or drafts:</v>
      </c>
      <c r="C382" s="964"/>
      <c r="D382" s="704"/>
      <c r="E382" s="704"/>
      <c r="F382" s="262"/>
      <c r="G382" s="258"/>
      <c r="H382" s="300"/>
      <c r="I382" s="740"/>
      <c r="J382"/>
      <c r="K382"/>
      <c r="L382"/>
      <c r="M382"/>
      <c r="N382"/>
      <c r="O382"/>
      <c r="P382"/>
      <c r="Q382"/>
      <c r="R382"/>
      <c r="S382"/>
      <c r="T382"/>
      <c r="U382"/>
      <c r="X382"/>
      <c r="AB382"/>
      <c r="AC382"/>
      <c r="AF382" s="361">
        <f t="shared" si="32"/>
        <v>0</v>
      </c>
      <c r="AG382" s="47"/>
      <c r="AH382" s="58"/>
      <c r="AI382" s="58"/>
      <c r="AJ382" s="43"/>
      <c r="AK382" s="67" t="str">
        <f>S.Staff.Subject.Expert.FirstName&amp;" coordinates or drafts:"</f>
        <v>Jerry coordinates or drafts:</v>
      </c>
      <c r="AL382" s="76"/>
    </row>
    <row r="383" spans="1:38" s="23" customFormat="1" ht="14.1" hidden="1" customHeight="1" outlineLevel="2">
      <c r="A383" s="145"/>
      <c r="B383" s="316" t="str">
        <f>AK383</f>
        <v>* AC.AGENDA.06.05.14, gets team agreement</v>
      </c>
      <c r="C383" s="965" t="str">
        <f>HYPERLINK("\\deq000\templates\General\Agenda Template.dotx","i")</f>
        <v>i</v>
      </c>
      <c r="D383" s="356"/>
      <c r="E383" s="356"/>
      <c r="F383" s="255">
        <f t="shared" ref="F383:F390" si="33">NETWORKDAYS(G383,H383,S.DDL_DEQClosed)</f>
        <v>1</v>
      </c>
      <c r="G383" s="323">
        <f t="shared" ref="G383:H390" si="34">AG383</f>
        <v>41836</v>
      </c>
      <c r="H383" s="256">
        <f t="shared" si="34"/>
        <v>41836</v>
      </c>
      <c r="I383" s="740"/>
      <c r="J383"/>
      <c r="K383"/>
      <c r="L383"/>
      <c r="M383"/>
      <c r="N383"/>
      <c r="O383"/>
      <c r="P383"/>
      <c r="Q383"/>
      <c r="R383"/>
      <c r="S383"/>
      <c r="T383"/>
      <c r="U383"/>
      <c r="X383"/>
      <c r="AB383"/>
      <c r="AC383"/>
      <c r="AF383" s="361">
        <f t="shared" si="32"/>
        <v>0</v>
      </c>
      <c r="AG383" s="60">
        <f>G381</f>
        <v>41836</v>
      </c>
      <c r="AH383" s="60">
        <f t="shared" ref="AH383:AH390" si="35">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66" t="s">
        <v>0</v>
      </c>
      <c r="D384" s="283"/>
      <c r="E384" s="283"/>
      <c r="F384" s="255">
        <f t="shared" si="33"/>
        <v>1</v>
      </c>
      <c r="G384" s="323">
        <f t="shared" si="34"/>
        <v>41836</v>
      </c>
      <c r="H384" s="256">
        <f t="shared" si="34"/>
        <v>41836</v>
      </c>
      <c r="I384" s="740"/>
      <c r="J384"/>
      <c r="K384"/>
      <c r="L384"/>
      <c r="M384"/>
      <c r="N384"/>
      <c r="O384"/>
      <c r="P384"/>
      <c r="Q384"/>
      <c r="R384"/>
      <c r="S384"/>
      <c r="T384"/>
      <c r="U384"/>
      <c r="X384"/>
      <c r="AB384"/>
      <c r="AC384"/>
      <c r="AF384" s="361">
        <f t="shared" si="32"/>
        <v>0</v>
      </c>
      <c r="AG384" s="60">
        <f t="shared" ref="AG384:AG390" si="36">G383</f>
        <v>41836</v>
      </c>
      <c r="AH384" s="60">
        <f t="shared" si="35"/>
        <v>41836</v>
      </c>
      <c r="AI384" s="59"/>
      <c r="AJ384" s="59"/>
      <c r="AK384" s="67" t="str">
        <f>"* AC.NOTIFICATION."&amp;TEXT(S.AC.DateMeeting1,"mm.dd.yy")</f>
        <v>* AC.NOTIFICATION.06.05.14</v>
      </c>
      <c r="AL384" s="76"/>
    </row>
    <row r="385" spans="1:38" s="23" customFormat="1" ht="14.1" hidden="1" customHeight="1" outlineLevel="2">
      <c r="A385" s="145"/>
      <c r="B385" s="320" t="s">
        <v>214</v>
      </c>
      <c r="C385" s="965" t="str">
        <f>HYPERLINK("http://deq05/intranet/contentmanagement/login.asp","i")</f>
        <v>i</v>
      </c>
      <c r="D385" s="705"/>
      <c r="E385" s="705"/>
      <c r="F385" s="255">
        <f t="shared" si="33"/>
        <v>1</v>
      </c>
      <c r="G385" s="323">
        <f t="shared" si="34"/>
        <v>41836</v>
      </c>
      <c r="H385" s="256">
        <f t="shared" si="34"/>
        <v>41836</v>
      </c>
      <c r="I385" s="740"/>
      <c r="J385"/>
      <c r="K385"/>
      <c r="L385"/>
      <c r="M385"/>
      <c r="N385"/>
      <c r="O385"/>
      <c r="P385"/>
      <c r="Q385"/>
      <c r="R385"/>
      <c r="S385"/>
      <c r="T385"/>
      <c r="U385"/>
      <c r="X385"/>
      <c r="AB385"/>
      <c r="AC385"/>
      <c r="AF385" s="361">
        <f t="shared" si="32"/>
        <v>0</v>
      </c>
      <c r="AG385" s="60">
        <f t="shared" si="36"/>
        <v>41836</v>
      </c>
      <c r="AH385" s="60">
        <f t="shared" si="35"/>
        <v>41836</v>
      </c>
      <c r="AI385" s="47"/>
      <c r="AJ385" s="43"/>
      <c r="AK385" s="43"/>
      <c r="AL385" s="76"/>
    </row>
    <row r="386" spans="1:38" s="23" customFormat="1" ht="14.1" hidden="1" customHeight="1" outlineLevel="2">
      <c r="A386" s="145"/>
      <c r="B386" s="298" t="s">
        <v>183</v>
      </c>
      <c r="C386" s="966" t="s">
        <v>0</v>
      </c>
      <c r="D386" s="283"/>
      <c r="E386" s="283"/>
      <c r="F386" s="255">
        <f t="shared" si="33"/>
        <v>1</v>
      </c>
      <c r="G386" s="323">
        <f t="shared" si="34"/>
        <v>41836</v>
      </c>
      <c r="H386" s="256">
        <f t="shared" si="34"/>
        <v>41836</v>
      </c>
      <c r="I386" s="740"/>
      <c r="J386"/>
      <c r="K386"/>
      <c r="L386"/>
      <c r="M386"/>
      <c r="N386"/>
      <c r="O386"/>
      <c r="P386"/>
      <c r="Q386"/>
      <c r="R386"/>
      <c r="S386"/>
      <c r="T386"/>
      <c r="U386"/>
      <c r="X386"/>
      <c r="AB386"/>
      <c r="AC386"/>
      <c r="AF386" s="361">
        <f t="shared" si="32"/>
        <v>0</v>
      </c>
      <c r="AG386" s="60">
        <f t="shared" si="36"/>
        <v>41836</v>
      </c>
      <c r="AH386" s="60">
        <f t="shared" si="35"/>
        <v>41836</v>
      </c>
      <c r="AI386" s="47"/>
      <c r="AJ386" s="43"/>
      <c r="AK386" s="43"/>
      <c r="AL386" s="76"/>
    </row>
    <row r="387" spans="1:38" s="23" customFormat="1" ht="14.1" hidden="1" customHeight="1" outlineLevel="2">
      <c r="A387" s="145"/>
      <c r="B387" s="417" t="s">
        <v>119</v>
      </c>
      <c r="C387" s="966" t="s">
        <v>0</v>
      </c>
      <c r="D387" s="283"/>
      <c r="E387" s="283"/>
      <c r="F387" s="255">
        <f t="shared" si="33"/>
        <v>1</v>
      </c>
      <c r="G387" s="323">
        <f t="shared" si="34"/>
        <v>41836</v>
      </c>
      <c r="H387" s="256">
        <f t="shared" si="34"/>
        <v>41836</v>
      </c>
      <c r="I387" s="740"/>
      <c r="J387"/>
      <c r="K387"/>
      <c r="L387"/>
      <c r="M387"/>
      <c r="N387"/>
      <c r="O387"/>
      <c r="P387"/>
      <c r="Q387"/>
      <c r="R387"/>
      <c r="S387"/>
      <c r="T387"/>
      <c r="U387"/>
      <c r="X387"/>
      <c r="AB387"/>
      <c r="AC387"/>
      <c r="AF387" s="361">
        <f t="shared" si="32"/>
        <v>0</v>
      </c>
      <c r="AG387" s="60">
        <f t="shared" si="36"/>
        <v>41836</v>
      </c>
      <c r="AH387" s="60">
        <f t="shared" si="35"/>
        <v>41836</v>
      </c>
      <c r="AI387" s="47"/>
      <c r="AJ387" s="43"/>
      <c r="AK387" s="43"/>
      <c r="AL387" s="76"/>
    </row>
    <row r="388" spans="1:38" s="23" customFormat="1" ht="14.1" hidden="1" customHeight="1" outlineLevel="2">
      <c r="A388" s="145"/>
      <c r="B388" s="417" t="s">
        <v>119</v>
      </c>
      <c r="C388" s="966" t="s">
        <v>0</v>
      </c>
      <c r="D388" s="283"/>
      <c r="E388" s="283"/>
      <c r="F388" s="255">
        <f t="shared" si="33"/>
        <v>1</v>
      </c>
      <c r="G388" s="323">
        <f t="shared" si="34"/>
        <v>41836</v>
      </c>
      <c r="H388" s="256">
        <f t="shared" si="34"/>
        <v>41836</v>
      </c>
      <c r="I388" s="740"/>
      <c r="J388"/>
      <c r="K388"/>
      <c r="L388"/>
      <c r="M388"/>
      <c r="N388"/>
      <c r="O388"/>
      <c r="P388"/>
      <c r="Q388"/>
      <c r="R388"/>
      <c r="S388"/>
      <c r="T388"/>
      <c r="U388"/>
      <c r="X388"/>
      <c r="AB388"/>
      <c r="AC388"/>
      <c r="AF388" s="361">
        <f t="shared" si="32"/>
        <v>0</v>
      </c>
      <c r="AG388" s="60">
        <f t="shared" si="36"/>
        <v>41836</v>
      </c>
      <c r="AH388" s="60">
        <f t="shared" si="35"/>
        <v>41836</v>
      </c>
      <c r="AI388" s="47"/>
      <c r="AJ388" s="43"/>
      <c r="AK388" s="43"/>
      <c r="AL388" s="76"/>
    </row>
    <row r="389" spans="1:38" s="23" customFormat="1" ht="14.1" hidden="1" customHeight="1" outlineLevel="2">
      <c r="A389" s="145"/>
      <c r="B389" s="417" t="s">
        <v>119</v>
      </c>
      <c r="C389" s="966" t="s">
        <v>0</v>
      </c>
      <c r="D389" s="283"/>
      <c r="E389" s="283"/>
      <c r="F389" s="255">
        <f t="shared" si="33"/>
        <v>1</v>
      </c>
      <c r="G389" s="323">
        <f t="shared" si="34"/>
        <v>41836</v>
      </c>
      <c r="H389" s="256">
        <f t="shared" si="34"/>
        <v>41836</v>
      </c>
      <c r="I389" s="740"/>
      <c r="J389"/>
      <c r="K389"/>
      <c r="L389"/>
      <c r="M389"/>
      <c r="N389"/>
      <c r="O389"/>
      <c r="P389"/>
      <c r="Q389"/>
      <c r="R389"/>
      <c r="S389"/>
      <c r="T389"/>
      <c r="U389"/>
      <c r="X389"/>
      <c r="AB389"/>
      <c r="AC389"/>
      <c r="AF389" s="361">
        <f t="shared" si="32"/>
        <v>0</v>
      </c>
      <c r="AG389" s="60">
        <f t="shared" si="36"/>
        <v>41836</v>
      </c>
      <c r="AH389" s="60">
        <f t="shared" si="35"/>
        <v>41836</v>
      </c>
      <c r="AI389" s="47"/>
      <c r="AJ389" s="43"/>
      <c r="AK389" s="43"/>
      <c r="AL389" s="76"/>
    </row>
    <row r="390" spans="1:38" s="23" customFormat="1" ht="14.1" hidden="1" customHeight="1" outlineLevel="2" thickBot="1">
      <c r="A390" s="145"/>
      <c r="B390" s="417" t="s">
        <v>119</v>
      </c>
      <c r="C390" s="966" t="s">
        <v>0</v>
      </c>
      <c r="D390" s="283"/>
      <c r="E390" s="283"/>
      <c r="F390" s="255">
        <f t="shared" si="33"/>
        <v>1</v>
      </c>
      <c r="G390" s="323">
        <f t="shared" si="34"/>
        <v>41836</v>
      </c>
      <c r="H390" s="256">
        <f t="shared" si="34"/>
        <v>41836</v>
      </c>
      <c r="I390" s="740"/>
      <c r="J390"/>
      <c r="K390"/>
      <c r="L390"/>
      <c r="M390"/>
      <c r="N390"/>
      <c r="O390"/>
      <c r="P390"/>
      <c r="Q390"/>
      <c r="R390"/>
      <c r="S390"/>
      <c r="T390"/>
      <c r="U390"/>
      <c r="X390"/>
      <c r="AB390"/>
      <c r="AC390"/>
      <c r="AF390" s="361">
        <f t="shared" si="32"/>
        <v>0</v>
      </c>
      <c r="AG390" s="60">
        <f t="shared" si="36"/>
        <v>41836</v>
      </c>
      <c r="AH390" s="60">
        <f t="shared" si="35"/>
        <v>41836</v>
      </c>
      <c r="AI390" s="47"/>
      <c r="AJ390" s="43"/>
      <c r="AK390" s="43"/>
      <c r="AL390" s="76"/>
    </row>
    <row r="391" spans="1:38" s="23" customFormat="1" ht="14.1" hidden="1" customHeight="1" outlineLevel="2" thickBot="1">
      <c r="A391" s="145"/>
      <c r="B391" s="442" t="s">
        <v>168</v>
      </c>
      <c r="C391" s="535" t="s">
        <v>16</v>
      </c>
      <c r="D391" s="706"/>
      <c r="E391" s="706"/>
      <c r="F391" s="324"/>
      <c r="G391" s="324"/>
      <c r="H391" s="324"/>
      <c r="I391" s="740"/>
      <c r="J391"/>
      <c r="K391"/>
      <c r="L391"/>
      <c r="M391"/>
      <c r="N391"/>
      <c r="O391"/>
      <c r="P391"/>
      <c r="Q391"/>
      <c r="R391"/>
      <c r="S391"/>
      <c r="T391"/>
      <c r="U391"/>
      <c r="X391"/>
      <c r="AB391"/>
      <c r="AC391"/>
      <c r="AF391" s="361">
        <f t="shared" ref="AF391:AF398" si="37">IF(AND(S.AC.InvolveMeeting3="Y",S.AC.CommitteeInvolved="Y",S.AC.Presentation3="Y"),1,0)</f>
        <v>0</v>
      </c>
      <c r="AG391" s="34"/>
      <c r="AH391" s="34"/>
      <c r="AI391" s="34"/>
      <c r="AJ391" s="43"/>
      <c r="AK391" s="43"/>
      <c r="AL391" s="76"/>
    </row>
    <row r="392" spans="1:38" s="23" customFormat="1" ht="14.1" hidden="1" customHeight="1" outlineLevel="2">
      <c r="A392" s="145"/>
      <c r="B392" s="443" t="s">
        <v>120</v>
      </c>
      <c r="C392" s="966" t="s">
        <v>0</v>
      </c>
      <c r="D392" s="325"/>
      <c r="E392" s="325"/>
      <c r="F392" s="321"/>
      <c r="G392" s="321"/>
      <c r="H392" s="321"/>
      <c r="I392" s="740"/>
      <c r="J392"/>
      <c r="K392"/>
      <c r="L392"/>
      <c r="M392"/>
      <c r="N392"/>
      <c r="O392"/>
      <c r="P392"/>
      <c r="Q392"/>
      <c r="R392"/>
      <c r="S392"/>
      <c r="T392"/>
      <c r="U392"/>
      <c r="X392"/>
      <c r="AB392"/>
      <c r="AC392"/>
      <c r="AF392" s="361">
        <f t="shared" si="37"/>
        <v>0</v>
      </c>
      <c r="AG392" s="34"/>
      <c r="AH392" s="34"/>
      <c r="AI392" s="47"/>
      <c r="AJ392" s="43"/>
      <c r="AK392" s="43"/>
      <c r="AL392" s="76"/>
    </row>
    <row r="393" spans="1:38" s="23" customFormat="1" ht="14.1" hidden="1" customHeight="1" outlineLevel="2">
      <c r="A393" s="145"/>
      <c r="B393" s="444" t="str">
        <f>AK393</f>
        <v>* drafts optional AC.PRESENTATION.06.05.14</v>
      </c>
      <c r="C393" s="965" t="str">
        <f>HYPERLINK("http://deq05/intranet/communication/docs/DEQAgencyTemplate1.potx","i")</f>
        <v>i</v>
      </c>
      <c r="D393" s="356"/>
      <c r="E393" s="356"/>
      <c r="F393" s="255">
        <f>NETWORKDAYS(G393,H393,S.DDL_DEQClosed)</f>
        <v>1</v>
      </c>
      <c r="G393" s="323">
        <f>AG393</f>
        <v>41836</v>
      </c>
      <c r="H393" s="256">
        <f>AH393</f>
        <v>41836</v>
      </c>
      <c r="I393" s="740"/>
      <c r="J393"/>
      <c r="K393"/>
      <c r="L393"/>
      <c r="M393"/>
      <c r="N393"/>
      <c r="O393"/>
      <c r="P393"/>
      <c r="Q393"/>
      <c r="R393"/>
      <c r="S393"/>
      <c r="T393"/>
      <c r="U393"/>
      <c r="X393"/>
      <c r="AB393"/>
      <c r="AC393"/>
      <c r="AF393" s="361">
        <f t="shared" si="37"/>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3" t="s">
        <v>120</v>
      </c>
      <c r="C394" s="966" t="s">
        <v>0</v>
      </c>
      <c r="D394" s="325"/>
      <c r="E394" s="325"/>
      <c r="F394" s="324"/>
      <c r="G394" s="324"/>
      <c r="H394" s="324"/>
      <c r="I394" s="740"/>
      <c r="J394"/>
      <c r="K394"/>
      <c r="L394"/>
      <c r="M394"/>
      <c r="N394"/>
      <c r="O394"/>
      <c r="P394"/>
      <c r="Q394"/>
      <c r="R394"/>
      <c r="S394"/>
      <c r="T394"/>
      <c r="U394"/>
      <c r="X394"/>
      <c r="AB394"/>
      <c r="AC394"/>
      <c r="AF394" s="361">
        <f t="shared" si="37"/>
        <v>0</v>
      </c>
      <c r="AG394" s="34"/>
      <c r="AH394" s="34"/>
      <c r="AI394" s="47"/>
      <c r="AJ394" s="43"/>
      <c r="AK394" s="43"/>
      <c r="AL394" s="76"/>
    </row>
    <row r="395" spans="1:38" s="23" customFormat="1" ht="14.1" hidden="1" customHeight="1" outlineLevel="2">
      <c r="A395" s="145"/>
      <c r="B395" s="445" t="s">
        <v>182</v>
      </c>
      <c r="C395" s="966" t="s">
        <v>0</v>
      </c>
      <c r="D395" s="283"/>
      <c r="E395" s="283"/>
      <c r="F395" s="255">
        <f>NETWORKDAYS(G395,H395,S.DDL_DEQClosed)</f>
        <v>1</v>
      </c>
      <c r="G395" s="323">
        <f t="shared" ref="G395:H399" si="38">AG395</f>
        <v>41836</v>
      </c>
      <c r="H395" s="256">
        <f t="shared" si="38"/>
        <v>41836</v>
      </c>
      <c r="I395" s="740"/>
      <c r="J395"/>
      <c r="K395"/>
      <c r="L395"/>
      <c r="M395"/>
      <c r="N395"/>
      <c r="O395"/>
      <c r="P395"/>
      <c r="Q395"/>
      <c r="R395"/>
      <c r="S395"/>
      <c r="T395"/>
      <c r="U395"/>
      <c r="X395"/>
      <c r="AB395"/>
      <c r="AC395"/>
      <c r="AF395" s="361">
        <f t="shared" si="37"/>
        <v>0</v>
      </c>
      <c r="AG395" s="60">
        <f>G393</f>
        <v>41836</v>
      </c>
      <c r="AH395" s="60">
        <f>G395</f>
        <v>41836</v>
      </c>
      <c r="AI395" s="47"/>
      <c r="AJ395" s="43"/>
      <c r="AK395" s="43"/>
      <c r="AL395" s="76"/>
    </row>
    <row r="396" spans="1:38" s="23" customFormat="1" ht="14.1" hidden="1" customHeight="1" outlineLevel="2">
      <c r="A396" s="145"/>
      <c r="B396" s="446" t="s">
        <v>215</v>
      </c>
      <c r="C396" s="966" t="s">
        <v>0</v>
      </c>
      <c r="D396" s="283"/>
      <c r="E396" s="283"/>
      <c r="F396" s="255">
        <f>NETWORKDAYS(G396,H396,S.DDL_DEQClosed)</f>
        <v>1</v>
      </c>
      <c r="G396" s="323">
        <f t="shared" si="38"/>
        <v>41836</v>
      </c>
      <c r="H396" s="256">
        <f t="shared" si="38"/>
        <v>41836</v>
      </c>
      <c r="I396" s="740"/>
      <c r="J396"/>
      <c r="K396"/>
      <c r="L396"/>
      <c r="M396"/>
      <c r="N396"/>
      <c r="O396"/>
      <c r="P396"/>
      <c r="Q396"/>
      <c r="R396"/>
      <c r="S396"/>
      <c r="T396"/>
      <c r="U396"/>
      <c r="X396"/>
      <c r="AB396"/>
      <c r="AC396"/>
      <c r="AF396" s="361">
        <f t="shared" si="37"/>
        <v>0</v>
      </c>
      <c r="AG396" s="60">
        <f>G395</f>
        <v>41836</v>
      </c>
      <c r="AH396" s="60">
        <f>G396</f>
        <v>41836</v>
      </c>
      <c r="AI396" s="47" t="s">
        <v>0</v>
      </c>
      <c r="AJ396" s="43"/>
      <c r="AK396" s="43"/>
      <c r="AL396" s="76"/>
    </row>
    <row r="397" spans="1:38" s="23" customFormat="1" ht="14.1" hidden="1" customHeight="1" outlineLevel="2">
      <c r="A397" s="145"/>
      <c r="B397" s="447" t="str">
        <f>AK397</f>
        <v>Jerry submits Web Request to post materials</v>
      </c>
      <c r="C397" s="967" t="str">
        <f>HYPERLINK("http://deq05/intranet/communication/WebRequests.htm","i")</f>
        <v>i</v>
      </c>
      <c r="D397" s="283"/>
      <c r="E397" s="283"/>
      <c r="F397" s="255">
        <f>NETWORKDAYS(G397,H397,S.DDL_DEQClosed)</f>
        <v>1</v>
      </c>
      <c r="G397" s="323">
        <f t="shared" si="38"/>
        <v>41836</v>
      </c>
      <c r="H397" s="256">
        <f t="shared" si="38"/>
        <v>41836</v>
      </c>
      <c r="I397" s="740"/>
      <c r="J397"/>
      <c r="K397"/>
      <c r="L397"/>
      <c r="M397"/>
      <c r="N397"/>
      <c r="O397"/>
      <c r="P397"/>
      <c r="Q397"/>
      <c r="R397"/>
      <c r="S397"/>
      <c r="T397"/>
      <c r="U397"/>
      <c r="X397"/>
      <c r="AB397"/>
      <c r="AC397"/>
      <c r="AF397" s="361">
        <f t="shared" si="37"/>
        <v>0</v>
      </c>
      <c r="AG397" s="60">
        <f>G396</f>
        <v>41836</v>
      </c>
      <c r="AH397" s="60">
        <f>G397</f>
        <v>41836</v>
      </c>
      <c r="AI397" s="47"/>
      <c r="AJ397" s="43"/>
      <c r="AK397" s="78" t="str">
        <f>S.Staff.Subject.Expert.FirstName&amp;" submits Web Request to post materials"</f>
        <v>Jerry submits Web Request to post materials</v>
      </c>
      <c r="AL397" s="76"/>
    </row>
    <row r="398" spans="1:38" s="23" customFormat="1" ht="14.1" hidden="1" customHeight="1" outlineLevel="2">
      <c r="A398" s="145"/>
      <c r="B398" s="446" t="s">
        <v>123</v>
      </c>
      <c r="C398" s="966" t="s">
        <v>0</v>
      </c>
      <c r="D398" s="283"/>
      <c r="E398" s="283"/>
      <c r="F398" s="255">
        <f>NETWORKDAYS(G398,H398,S.DDL_DEQClosed)</f>
        <v>1</v>
      </c>
      <c r="G398" s="323">
        <f t="shared" si="38"/>
        <v>41836</v>
      </c>
      <c r="H398" s="256">
        <f t="shared" si="38"/>
        <v>41836</v>
      </c>
      <c r="I398" s="740"/>
      <c r="J398"/>
      <c r="K398"/>
      <c r="L398"/>
      <c r="M398"/>
      <c r="N398"/>
      <c r="O398"/>
      <c r="P398"/>
      <c r="Q398"/>
      <c r="R398"/>
      <c r="S398"/>
      <c r="T398"/>
      <c r="U398"/>
      <c r="X398"/>
      <c r="AB398"/>
      <c r="AC398"/>
      <c r="AF398" s="361">
        <f t="shared" si="37"/>
        <v>0</v>
      </c>
      <c r="AG398" s="60">
        <f>G397</f>
        <v>41836</v>
      </c>
      <c r="AH398" s="60">
        <f>G398</f>
        <v>41836</v>
      </c>
      <c r="AI398" s="59"/>
      <c r="AJ398" s="59"/>
      <c r="AK398" s="43"/>
      <c r="AL398" s="76"/>
    </row>
    <row r="399" spans="1:38" s="23" customFormat="1" ht="14.1" hidden="1" customHeight="1" outlineLevel="2">
      <c r="A399" s="145"/>
      <c r="B399" s="342" t="str">
        <f>AK399</f>
        <v>Jerry sends meeting notice with link to Web page</v>
      </c>
      <c r="C399" s="966" t="s">
        <v>0</v>
      </c>
      <c r="D399" s="283"/>
      <c r="E399" s="283"/>
      <c r="F399" s="255">
        <f>NETWORKDAYS(G399,H399,S.DDL_DEQClosed)</f>
        <v>1</v>
      </c>
      <c r="G399" s="323">
        <f t="shared" si="38"/>
        <v>41836</v>
      </c>
      <c r="H399" s="256">
        <f t="shared" si="38"/>
        <v>41836</v>
      </c>
      <c r="I399" s="740"/>
      <c r="J399"/>
      <c r="K399"/>
      <c r="L399"/>
      <c r="M399"/>
      <c r="N399"/>
      <c r="O399"/>
      <c r="P399"/>
      <c r="Q399"/>
      <c r="R399"/>
      <c r="S399"/>
      <c r="T399"/>
      <c r="U399"/>
      <c r="X399"/>
      <c r="AB399"/>
      <c r="AC399"/>
      <c r="AF399" s="361">
        <f>IF(AND(S.AC.InvolveMeeting3="Y",S.AC.CommitteeInvolved="Y"),1,0)</f>
        <v>0</v>
      </c>
      <c r="AG399" s="60">
        <f>G398</f>
        <v>41836</v>
      </c>
      <c r="AH399" s="60">
        <f>G399</f>
        <v>41836</v>
      </c>
      <c r="AI399" s="59"/>
      <c r="AJ399" s="59"/>
      <c r="AK399" s="78" t="str">
        <f>S.Staff.Subject.Expert.FirstName&amp;" sends meeting notice with link to Web page"</f>
        <v>Jerry sends meeting notice with link to Web page</v>
      </c>
      <c r="AL399" s="76"/>
    </row>
    <row r="400" spans="1:38" s="23" customFormat="1" ht="14.1" hidden="1" customHeight="1" outlineLevel="2">
      <c r="A400" s="145"/>
      <c r="B400" s="418" t="s">
        <v>121</v>
      </c>
      <c r="C400" s="966" t="s">
        <v>0</v>
      </c>
      <c r="D400" s="981" t="s">
        <v>218</v>
      </c>
      <c r="E400" s="981"/>
      <c r="F400" s="981"/>
      <c r="G400" s="982"/>
      <c r="H400" s="263">
        <f>AH400</f>
        <v>41850</v>
      </c>
      <c r="I400" s="740"/>
      <c r="J400"/>
      <c r="K400"/>
      <c r="L400"/>
      <c r="M400"/>
      <c r="N400"/>
      <c r="O400"/>
      <c r="P400"/>
      <c r="Q400"/>
      <c r="R400"/>
      <c r="S400"/>
      <c r="T400"/>
      <c r="U400"/>
      <c r="X400"/>
      <c r="AB400"/>
      <c r="AC400"/>
      <c r="AF400" s="361">
        <f>IF(AND(S.AC.InvolveMeeting3="Y",S.AC.CommitteeInvolved="Y"),1,0)</f>
        <v>0</v>
      </c>
      <c r="AG400" s="59"/>
      <c r="AH400" s="60">
        <f>S.AC.DateMeeting3</f>
        <v>41850</v>
      </c>
      <c r="AI400" s="59"/>
      <c r="AJ400" s="59"/>
      <c r="AK400" s="43"/>
      <c r="AL400" s="76"/>
    </row>
    <row r="401" spans="1:38" s="23" customFormat="1" ht="14.1" hidden="1" customHeight="1" outlineLevel="2">
      <c r="A401" s="145"/>
      <c r="B401" s="342" t="str">
        <f>AK401</f>
        <v>Jerry drafts AC.MINUTES06.05.14</v>
      </c>
      <c r="C401" s="965" t="str">
        <f>HYPERLINK("\\deq000\templates\General\Minutes Template.dotx","i")</f>
        <v>i</v>
      </c>
      <c r="D401" s="356"/>
      <c r="E401" s="356"/>
      <c r="F401" s="255">
        <f>NETWORKDAYS(G401,H401,S.DDL_DEQClosed)</f>
        <v>1</v>
      </c>
      <c r="G401" s="323">
        <f>S.AC.DateMeeting1</f>
        <v>41795</v>
      </c>
      <c r="H401" s="256">
        <f>AH401</f>
        <v>41795</v>
      </c>
      <c r="I401" s="740"/>
      <c r="J401"/>
      <c r="K401"/>
      <c r="L401"/>
      <c r="M401"/>
      <c r="N401"/>
      <c r="O401"/>
      <c r="P401"/>
      <c r="Q401"/>
      <c r="R401"/>
      <c r="S401"/>
      <c r="T401"/>
      <c r="U401"/>
      <c r="X401"/>
      <c r="AB401"/>
      <c r="AC401"/>
      <c r="AF401" s="361">
        <f>IF(AND(S.AC.InvolveMeeting3="Y",S.AC.CommitteeInvolved="Y"),1,0)</f>
        <v>0</v>
      </c>
      <c r="AG401" s="60">
        <f>S.AC.DateMeeting3</f>
        <v>41850</v>
      </c>
      <c r="AH401" s="60">
        <f>G401</f>
        <v>41795</v>
      </c>
      <c r="AI401" s="59"/>
      <c r="AJ401" s="59"/>
      <c r="AK401" s="67" t="str">
        <f>S.Staff.Subject.Expert.FirstName&amp;" drafts AC.MINUTES"&amp;TEXT(S.AC.DateMeeting1,"mm.dd.yy")</f>
        <v>Jerry drafts AC.MINUTES06.05.14</v>
      </c>
      <c r="AL401" s="76"/>
    </row>
    <row r="402" spans="1:38" s="23" customFormat="1" ht="14.1" hidden="1" customHeight="1" outlineLevel="2" thickBot="1">
      <c r="A402" s="145"/>
      <c r="B402" s="418" t="s">
        <v>122</v>
      </c>
      <c r="C402" s="966" t="s">
        <v>0</v>
      </c>
      <c r="D402" s="283"/>
      <c r="E402" s="283"/>
      <c r="F402" s="255">
        <f>NETWORKDAYS(G402,H402,S.DDL_DEQClosed)</f>
        <v>1</v>
      </c>
      <c r="G402" s="323">
        <f>S.AC.DateMeeting1</f>
        <v>41795</v>
      </c>
      <c r="H402" s="256">
        <f>AH402</f>
        <v>41795</v>
      </c>
      <c r="I402" s="740"/>
      <c r="J402"/>
      <c r="K402"/>
      <c r="L402"/>
      <c r="M402"/>
      <c r="N402"/>
      <c r="O402"/>
      <c r="P402"/>
      <c r="Q402"/>
      <c r="R402"/>
      <c r="S402"/>
      <c r="T402"/>
      <c r="U402"/>
      <c r="X402"/>
      <c r="AB402"/>
      <c r="AC402"/>
      <c r="AF402" s="361">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7" t="s">
        <v>30</v>
      </c>
      <c r="C403" s="535" t="s">
        <v>205</v>
      </c>
      <c r="D403" s="707"/>
      <c r="E403" s="707"/>
      <c r="F403" s="306"/>
      <c r="G403" s="252">
        <f>AG403</f>
        <v>41850</v>
      </c>
      <c r="H403" s="365" t="s">
        <v>49</v>
      </c>
      <c r="I403" s="740"/>
      <c r="J403"/>
      <c r="K403"/>
      <c r="L403"/>
      <c r="M403"/>
      <c r="N403"/>
      <c r="O403"/>
      <c r="P403"/>
      <c r="Q403"/>
      <c r="R403"/>
      <c r="S403"/>
      <c r="T403"/>
      <c r="U403"/>
      <c r="X403"/>
      <c r="AB403"/>
      <c r="AC403"/>
      <c r="AF403" s="361">
        <f t="shared" ref="AF403:AF413" si="39">IF(AND(S.AC.InvolveMeeting4="Y",S.AC.CommitteeInvolved="Y"),1,0)</f>
        <v>0</v>
      </c>
      <c r="AG403" s="60">
        <f>S.AC.DateMeeting3</f>
        <v>41850</v>
      </c>
      <c r="AH403" s="34" t="s">
        <v>0</v>
      </c>
      <c r="AI403" s="34"/>
      <c r="AJ403" s="43"/>
      <c r="AK403" s="43"/>
      <c r="AL403" s="76"/>
    </row>
    <row r="404" spans="1:38" s="23" customFormat="1" ht="14.1" hidden="1" customHeight="1" outlineLevel="2">
      <c r="A404" s="145"/>
      <c r="B404" s="415" t="s">
        <v>118</v>
      </c>
      <c r="C404" s="258"/>
      <c r="D404" s="283"/>
      <c r="E404" s="283"/>
      <c r="F404" s="255">
        <f>NETWORKDAYS(G404,H404,S.DDL_DEQClosed)</f>
        <v>1</v>
      </c>
      <c r="G404" s="323">
        <f>AG404</f>
        <v>41836</v>
      </c>
      <c r="H404" s="256">
        <f>AH404</f>
        <v>41836</v>
      </c>
      <c r="I404" s="740"/>
      <c r="J404"/>
      <c r="K404"/>
      <c r="L404"/>
      <c r="M404"/>
      <c r="N404"/>
      <c r="O404"/>
      <c r="P404"/>
      <c r="Q404"/>
      <c r="R404"/>
      <c r="S404"/>
      <c r="T404"/>
      <c r="U404"/>
      <c r="X404"/>
      <c r="AB404"/>
      <c r="AC404"/>
      <c r="AF404" s="361">
        <f t="shared" si="39"/>
        <v>0</v>
      </c>
      <c r="AG404" s="60">
        <f>WORKDAY(S.AC.DateMeeting4-13,-1,S.DDL_DEQClosed)</f>
        <v>41836</v>
      </c>
      <c r="AH404" s="60">
        <f>G404</f>
        <v>41836</v>
      </c>
      <c r="AI404" s="47"/>
      <c r="AJ404" s="43"/>
      <c r="AK404" s="34"/>
      <c r="AL404" s="76"/>
    </row>
    <row r="405" spans="1:38" s="23" customFormat="1" ht="14.1" hidden="1" customHeight="1" outlineLevel="2">
      <c r="A405" s="145"/>
      <c r="B405" s="284" t="str">
        <f>AK405</f>
        <v>Jerry coordinates or drafts:</v>
      </c>
      <c r="C405" s="258"/>
      <c r="D405" s="704"/>
      <c r="E405" s="704"/>
      <c r="F405" s="262"/>
      <c r="G405" s="258"/>
      <c r="H405" s="300"/>
      <c r="I405" s="740"/>
      <c r="J405"/>
      <c r="K405"/>
      <c r="L405"/>
      <c r="M405"/>
      <c r="N405"/>
      <c r="O405"/>
      <c r="P405"/>
      <c r="Q405"/>
      <c r="R405"/>
      <c r="S405"/>
      <c r="T405"/>
      <c r="U405"/>
      <c r="X405"/>
      <c r="AB405"/>
      <c r="AC405"/>
      <c r="AF405" s="361">
        <f t="shared" si="39"/>
        <v>0</v>
      </c>
      <c r="AG405" s="47"/>
      <c r="AH405" s="58"/>
      <c r="AI405" s="58"/>
      <c r="AJ405" s="43"/>
      <c r="AK405" s="67" t="str">
        <f>S.Staff.Subject.Expert.FirstName&amp;" coordinates or drafts:"</f>
        <v>Jerry coordinates or drafts:</v>
      </c>
      <c r="AL405" s="76"/>
    </row>
    <row r="406" spans="1:38" s="23" customFormat="1" ht="14.1" hidden="1" customHeight="1" outlineLevel="2">
      <c r="A406" s="145"/>
      <c r="B406" s="316" t="str">
        <f>AK406</f>
        <v>* AC.AGENDA.06.05.14, gets team agreement</v>
      </c>
      <c r="C406" s="506" t="str">
        <f>HYPERLINK("\\deq000\templates\General\Agenda Template.dotx","i")</f>
        <v>i</v>
      </c>
      <c r="D406" s="356"/>
      <c r="E406" s="356"/>
      <c r="F406" s="255">
        <f t="shared" ref="F406:F413" si="40">NETWORKDAYS(G406,H406,S.DDL_DEQClosed)</f>
        <v>1</v>
      </c>
      <c r="G406" s="323">
        <f t="shared" ref="G406:H413" si="41">AG406</f>
        <v>41836</v>
      </c>
      <c r="H406" s="256">
        <f t="shared" si="41"/>
        <v>41836</v>
      </c>
      <c r="I406" s="740"/>
      <c r="J406"/>
      <c r="K406"/>
      <c r="L406"/>
      <c r="M406"/>
      <c r="N406"/>
      <c r="O406"/>
      <c r="P406"/>
      <c r="Q406"/>
      <c r="R406"/>
      <c r="S406"/>
      <c r="T406"/>
      <c r="U406"/>
      <c r="X406"/>
      <c r="AB406"/>
      <c r="AC406"/>
      <c r="AF406" s="361">
        <f t="shared" si="39"/>
        <v>0</v>
      </c>
      <c r="AG406" s="60">
        <f>G404</f>
        <v>41836</v>
      </c>
      <c r="AH406" s="60">
        <f t="shared" ref="AH406:AH413" si="42">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0"/>
        <v>1</v>
      </c>
      <c r="G407" s="323">
        <f t="shared" si="41"/>
        <v>41836</v>
      </c>
      <c r="H407" s="256">
        <f t="shared" si="41"/>
        <v>41836</v>
      </c>
      <c r="I407" s="740"/>
      <c r="J407"/>
      <c r="K407"/>
      <c r="L407"/>
      <c r="M407"/>
      <c r="N407"/>
      <c r="O407"/>
      <c r="P407"/>
      <c r="Q407"/>
      <c r="R407"/>
      <c r="S407"/>
      <c r="T407"/>
      <c r="U407"/>
      <c r="X407"/>
      <c r="AB407"/>
      <c r="AC407"/>
      <c r="AF407" s="361">
        <f t="shared" si="39"/>
        <v>0</v>
      </c>
      <c r="AG407" s="60">
        <f t="shared" ref="AG407:AG413" si="43">G406</f>
        <v>41836</v>
      </c>
      <c r="AH407" s="60">
        <f t="shared" si="42"/>
        <v>41836</v>
      </c>
      <c r="AI407" s="59"/>
      <c r="AJ407" s="59"/>
      <c r="AK407" s="67" t="str">
        <f>"* AC.NOTIFICATION."&amp;TEXT(S.AC.DateMeeting1,"mm.dd.yy")</f>
        <v>* AC.NOTIFICATION.06.05.14</v>
      </c>
      <c r="AL407" s="76"/>
    </row>
    <row r="408" spans="1:38" s="23" customFormat="1" ht="14.1" hidden="1" customHeight="1" outlineLevel="2">
      <c r="A408" s="145"/>
      <c r="B408" s="320" t="s">
        <v>214</v>
      </c>
      <c r="C408" s="506" t="str">
        <f>HYPERLINK("http://deq05/intranet/contentmanagement/login.asp","i")</f>
        <v>i</v>
      </c>
      <c r="D408" s="705"/>
      <c r="E408" s="705"/>
      <c r="F408" s="255">
        <f t="shared" si="40"/>
        <v>1</v>
      </c>
      <c r="G408" s="323">
        <f t="shared" si="41"/>
        <v>41836</v>
      </c>
      <c r="H408" s="256">
        <f t="shared" si="41"/>
        <v>41836</v>
      </c>
      <c r="I408" s="740"/>
      <c r="J408"/>
      <c r="K408"/>
      <c r="L408"/>
      <c r="M408"/>
      <c r="N408"/>
      <c r="O408"/>
      <c r="P408"/>
      <c r="Q408"/>
      <c r="R408"/>
      <c r="S408"/>
      <c r="T408"/>
      <c r="U408"/>
      <c r="X408"/>
      <c r="AB408"/>
      <c r="AC408"/>
      <c r="AF408" s="361">
        <f t="shared" si="39"/>
        <v>0</v>
      </c>
      <c r="AG408" s="60">
        <f t="shared" si="43"/>
        <v>41836</v>
      </c>
      <c r="AH408" s="60">
        <f t="shared" si="42"/>
        <v>41836</v>
      </c>
      <c r="AI408" s="47"/>
      <c r="AJ408" s="43"/>
      <c r="AK408" s="43"/>
      <c r="AL408" s="76"/>
    </row>
    <row r="409" spans="1:38" s="23" customFormat="1" ht="14.1" hidden="1" customHeight="1" outlineLevel="2">
      <c r="A409" s="145"/>
      <c r="B409" s="298" t="s">
        <v>183</v>
      </c>
      <c r="C409" s="268" t="s">
        <v>0</v>
      </c>
      <c r="D409" s="283"/>
      <c r="E409" s="283"/>
      <c r="F409" s="255">
        <f t="shared" si="40"/>
        <v>1</v>
      </c>
      <c r="G409" s="323">
        <f t="shared" si="41"/>
        <v>41836</v>
      </c>
      <c r="H409" s="256">
        <f t="shared" si="41"/>
        <v>41836</v>
      </c>
      <c r="I409" s="740"/>
      <c r="J409"/>
      <c r="K409"/>
      <c r="L409"/>
      <c r="M409"/>
      <c r="N409"/>
      <c r="O409"/>
      <c r="P409"/>
      <c r="Q409"/>
      <c r="R409"/>
      <c r="S409"/>
      <c r="T409"/>
      <c r="U409"/>
      <c r="X409"/>
      <c r="AB409"/>
      <c r="AC409"/>
      <c r="AF409" s="361">
        <f t="shared" si="39"/>
        <v>0</v>
      </c>
      <c r="AG409" s="60">
        <f t="shared" si="43"/>
        <v>41836</v>
      </c>
      <c r="AH409" s="60">
        <f t="shared" si="42"/>
        <v>41836</v>
      </c>
      <c r="AI409" s="47"/>
      <c r="AJ409" s="43"/>
      <c r="AK409" s="43"/>
      <c r="AL409" s="76"/>
    </row>
    <row r="410" spans="1:38" s="23" customFormat="1" ht="14.1" hidden="1" customHeight="1" outlineLevel="2">
      <c r="A410" s="145"/>
      <c r="B410" s="417" t="s">
        <v>119</v>
      </c>
      <c r="C410" s="268" t="s">
        <v>0</v>
      </c>
      <c r="D410" s="283"/>
      <c r="E410" s="283"/>
      <c r="F410" s="255">
        <f t="shared" si="40"/>
        <v>1</v>
      </c>
      <c r="G410" s="323">
        <f t="shared" si="41"/>
        <v>41836</v>
      </c>
      <c r="H410" s="256">
        <f t="shared" si="41"/>
        <v>41836</v>
      </c>
      <c r="I410" s="740"/>
      <c r="J410"/>
      <c r="K410"/>
      <c r="L410"/>
      <c r="M410"/>
      <c r="N410"/>
      <c r="O410"/>
      <c r="P410"/>
      <c r="Q410"/>
      <c r="R410"/>
      <c r="S410"/>
      <c r="T410"/>
      <c r="U410"/>
      <c r="X410"/>
      <c r="AB410"/>
      <c r="AC410"/>
      <c r="AF410" s="361">
        <f t="shared" si="39"/>
        <v>0</v>
      </c>
      <c r="AG410" s="60">
        <f t="shared" si="43"/>
        <v>41836</v>
      </c>
      <c r="AH410" s="60">
        <f t="shared" si="42"/>
        <v>41836</v>
      </c>
      <c r="AI410" s="47"/>
      <c r="AJ410" s="43"/>
      <c r="AK410" s="43"/>
      <c r="AL410" s="76"/>
    </row>
    <row r="411" spans="1:38" s="23" customFormat="1" ht="14.1" hidden="1" customHeight="1" outlineLevel="2">
      <c r="A411" s="145"/>
      <c r="B411" s="417" t="s">
        <v>119</v>
      </c>
      <c r="C411" s="268" t="s">
        <v>0</v>
      </c>
      <c r="D411" s="283"/>
      <c r="E411" s="283"/>
      <c r="F411" s="255">
        <f t="shared" si="40"/>
        <v>1</v>
      </c>
      <c r="G411" s="323">
        <f t="shared" si="41"/>
        <v>41836</v>
      </c>
      <c r="H411" s="256">
        <f t="shared" si="41"/>
        <v>41836</v>
      </c>
      <c r="I411" s="740"/>
      <c r="J411"/>
      <c r="K411"/>
      <c r="L411"/>
      <c r="M411"/>
      <c r="N411"/>
      <c r="O411"/>
      <c r="P411"/>
      <c r="Q411"/>
      <c r="R411"/>
      <c r="S411"/>
      <c r="T411"/>
      <c r="U411"/>
      <c r="X411"/>
      <c r="AB411"/>
      <c r="AC411"/>
      <c r="AF411" s="361">
        <f t="shared" si="39"/>
        <v>0</v>
      </c>
      <c r="AG411" s="60">
        <f t="shared" si="43"/>
        <v>41836</v>
      </c>
      <c r="AH411" s="60">
        <f t="shared" si="42"/>
        <v>41836</v>
      </c>
      <c r="AI411" s="47"/>
      <c r="AJ411" s="43"/>
      <c r="AK411" s="43"/>
      <c r="AL411" s="76"/>
    </row>
    <row r="412" spans="1:38" s="23" customFormat="1" ht="14.1" hidden="1" customHeight="1" outlineLevel="2">
      <c r="A412" s="145"/>
      <c r="B412" s="417" t="s">
        <v>119</v>
      </c>
      <c r="C412" s="268" t="s">
        <v>0</v>
      </c>
      <c r="D412" s="283"/>
      <c r="E412" s="283"/>
      <c r="F412" s="255">
        <f t="shared" si="40"/>
        <v>1</v>
      </c>
      <c r="G412" s="323">
        <f t="shared" si="41"/>
        <v>41836</v>
      </c>
      <c r="H412" s="256">
        <f t="shared" si="41"/>
        <v>41836</v>
      </c>
      <c r="I412" s="740"/>
      <c r="J412"/>
      <c r="K412"/>
      <c r="L412"/>
      <c r="M412"/>
      <c r="N412"/>
      <c r="O412"/>
      <c r="P412"/>
      <c r="Q412"/>
      <c r="R412"/>
      <c r="S412"/>
      <c r="T412"/>
      <c r="U412"/>
      <c r="X412"/>
      <c r="AB412"/>
      <c r="AC412"/>
      <c r="AF412" s="361">
        <f t="shared" si="39"/>
        <v>0</v>
      </c>
      <c r="AG412" s="60">
        <f t="shared" si="43"/>
        <v>41836</v>
      </c>
      <c r="AH412" s="60">
        <f t="shared" si="42"/>
        <v>41836</v>
      </c>
      <c r="AI412" s="47"/>
      <c r="AJ412" s="43"/>
      <c r="AK412" s="43"/>
      <c r="AL412" s="76"/>
    </row>
    <row r="413" spans="1:38" s="23" customFormat="1" ht="14.1" hidden="1" customHeight="1" outlineLevel="2" thickBot="1">
      <c r="A413" s="145"/>
      <c r="B413" s="417" t="s">
        <v>119</v>
      </c>
      <c r="C413" s="268" t="s">
        <v>0</v>
      </c>
      <c r="D413" s="283"/>
      <c r="E413" s="283"/>
      <c r="F413" s="255">
        <f t="shared" si="40"/>
        <v>1</v>
      </c>
      <c r="G413" s="323">
        <f t="shared" si="41"/>
        <v>41836</v>
      </c>
      <c r="H413" s="256">
        <f t="shared" si="41"/>
        <v>41836</v>
      </c>
      <c r="I413" s="740"/>
      <c r="J413"/>
      <c r="K413"/>
      <c r="L413"/>
      <c r="M413"/>
      <c r="N413"/>
      <c r="O413"/>
      <c r="P413"/>
      <c r="Q413"/>
      <c r="R413"/>
      <c r="S413"/>
      <c r="T413"/>
      <c r="U413"/>
      <c r="X413"/>
      <c r="AB413"/>
      <c r="AC413"/>
      <c r="AF413" s="361">
        <f t="shared" si="39"/>
        <v>0</v>
      </c>
      <c r="AG413" s="60">
        <f t="shared" si="43"/>
        <v>41836</v>
      </c>
      <c r="AH413" s="60">
        <f t="shared" si="42"/>
        <v>41836</v>
      </c>
      <c r="AI413" s="47"/>
      <c r="AJ413" s="43"/>
      <c r="AK413" s="43"/>
      <c r="AL413" s="76"/>
    </row>
    <row r="414" spans="1:38" s="23" customFormat="1" ht="14.1" hidden="1" customHeight="1" outlineLevel="2" thickBot="1">
      <c r="A414" s="145"/>
      <c r="B414" s="442" t="s">
        <v>168</v>
      </c>
      <c r="C414" s="535" t="s">
        <v>16</v>
      </c>
      <c r="D414" s="706"/>
      <c r="E414" s="706"/>
      <c r="F414" s="324"/>
      <c r="G414" s="324"/>
      <c r="H414" s="324"/>
      <c r="I414" s="740"/>
      <c r="J414"/>
      <c r="K414"/>
      <c r="L414"/>
      <c r="M414"/>
      <c r="N414"/>
      <c r="O414"/>
      <c r="P414"/>
      <c r="Q414"/>
      <c r="R414"/>
      <c r="S414"/>
      <c r="T414"/>
      <c r="U414"/>
      <c r="X414"/>
      <c r="AB414"/>
      <c r="AC414"/>
      <c r="AF414" s="361">
        <f t="shared" ref="AF414:AF421" si="44">IF(AND(S.AC.InvolveMeeting4="Y",S.AC.CommitteeInvolved="Y",S.AC.Presentation4="Y"),1,0)</f>
        <v>0</v>
      </c>
      <c r="AG414" s="34"/>
      <c r="AH414" s="34"/>
      <c r="AI414" s="34"/>
      <c r="AJ414" s="43"/>
      <c r="AK414" s="43"/>
      <c r="AL414" s="76"/>
    </row>
    <row r="415" spans="1:38" s="23" customFormat="1" ht="14.1" hidden="1" customHeight="1" outlineLevel="2">
      <c r="A415" s="145"/>
      <c r="B415" s="443" t="s">
        <v>120</v>
      </c>
      <c r="C415" s="268" t="s">
        <v>0</v>
      </c>
      <c r="D415" s="325"/>
      <c r="E415" s="325"/>
      <c r="F415" s="321"/>
      <c r="G415" s="321"/>
      <c r="H415" s="321"/>
      <c r="I415" s="740"/>
      <c r="J415"/>
      <c r="K415"/>
      <c r="L415"/>
      <c r="M415"/>
      <c r="N415"/>
      <c r="O415"/>
      <c r="P415"/>
      <c r="Q415"/>
      <c r="R415"/>
      <c r="S415"/>
      <c r="T415"/>
      <c r="U415"/>
      <c r="X415"/>
      <c r="AB415"/>
      <c r="AC415"/>
      <c r="AF415" s="361">
        <f t="shared" si="44"/>
        <v>0</v>
      </c>
      <c r="AG415" s="34"/>
      <c r="AH415" s="34"/>
      <c r="AI415" s="47"/>
      <c r="AJ415" s="43"/>
      <c r="AK415" s="43"/>
      <c r="AL415" s="76"/>
    </row>
    <row r="416" spans="1:38" s="23" customFormat="1" ht="14.1" hidden="1" customHeight="1" outlineLevel="2">
      <c r="A416" s="145"/>
      <c r="B416" s="444" t="str">
        <f>AK416</f>
        <v>* drafts optional AC.PRESENTATION.06.05.14</v>
      </c>
      <c r="C416" s="506" t="str">
        <f>HYPERLINK("http://deq05/intranet/communication/docs/DEQAgencyTemplate1.potx","i")</f>
        <v>i</v>
      </c>
      <c r="D416" s="356"/>
      <c r="E416" s="356"/>
      <c r="F416" s="255">
        <f>NETWORKDAYS(G416,H416,S.DDL_DEQClosed)</f>
        <v>1</v>
      </c>
      <c r="G416" s="323">
        <f>AG416</f>
        <v>41836</v>
      </c>
      <c r="H416" s="256">
        <f>AH416</f>
        <v>41836</v>
      </c>
      <c r="I416" s="740"/>
      <c r="J416"/>
      <c r="K416"/>
      <c r="L416"/>
      <c r="M416"/>
      <c r="N416"/>
      <c r="O416"/>
      <c r="P416"/>
      <c r="Q416"/>
      <c r="R416"/>
      <c r="S416"/>
      <c r="T416"/>
      <c r="U416"/>
      <c r="X416"/>
      <c r="AB416"/>
      <c r="AC416"/>
      <c r="AF416" s="361">
        <f t="shared" si="44"/>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3" t="s">
        <v>120</v>
      </c>
      <c r="C417" s="268" t="s">
        <v>0</v>
      </c>
      <c r="D417" s="325"/>
      <c r="E417" s="325"/>
      <c r="F417" s="324"/>
      <c r="G417" s="324"/>
      <c r="H417" s="324"/>
      <c r="I417" s="740"/>
      <c r="J417"/>
      <c r="K417"/>
      <c r="L417"/>
      <c r="M417"/>
      <c r="N417"/>
      <c r="O417"/>
      <c r="P417"/>
      <c r="Q417"/>
      <c r="R417"/>
      <c r="S417"/>
      <c r="T417"/>
      <c r="U417"/>
      <c r="X417"/>
      <c r="AB417"/>
      <c r="AC417"/>
      <c r="AF417" s="361">
        <f t="shared" si="44"/>
        <v>0</v>
      </c>
      <c r="AG417" s="34"/>
      <c r="AH417" s="34"/>
      <c r="AI417" s="47"/>
      <c r="AJ417" s="43"/>
      <c r="AK417" s="43"/>
      <c r="AL417" s="76"/>
    </row>
    <row r="418" spans="1:38" s="23" customFormat="1" ht="14.1" hidden="1" customHeight="1" outlineLevel="2">
      <c r="A418" s="145"/>
      <c r="B418" s="445" t="s">
        <v>182</v>
      </c>
      <c r="C418" s="268" t="s">
        <v>0</v>
      </c>
      <c r="D418" s="283"/>
      <c r="E418" s="283"/>
      <c r="F418" s="255">
        <f>NETWORKDAYS(G418,H418,S.DDL_DEQClosed)</f>
        <v>1</v>
      </c>
      <c r="G418" s="323">
        <f t="shared" ref="G418:H422" si="45">AG418</f>
        <v>41836</v>
      </c>
      <c r="H418" s="256">
        <f t="shared" si="45"/>
        <v>41836</v>
      </c>
      <c r="I418" s="740"/>
      <c r="J418"/>
      <c r="K418"/>
      <c r="L418"/>
      <c r="M418"/>
      <c r="N418"/>
      <c r="O418"/>
      <c r="P418"/>
      <c r="Q418"/>
      <c r="R418"/>
      <c r="S418"/>
      <c r="T418"/>
      <c r="U418"/>
      <c r="X418"/>
      <c r="AB418"/>
      <c r="AC418"/>
      <c r="AF418" s="361">
        <f t="shared" si="44"/>
        <v>0</v>
      </c>
      <c r="AG418" s="60">
        <f>G416</f>
        <v>41836</v>
      </c>
      <c r="AH418" s="60">
        <f>G418</f>
        <v>41836</v>
      </c>
      <c r="AI418" s="47"/>
      <c r="AJ418" s="43"/>
      <c r="AK418" s="43"/>
      <c r="AL418" s="76"/>
    </row>
    <row r="419" spans="1:38" s="23" customFormat="1" ht="14.1" hidden="1" customHeight="1" outlineLevel="2">
      <c r="A419" s="145"/>
      <c r="B419" s="446" t="s">
        <v>215</v>
      </c>
      <c r="C419" s="268" t="s">
        <v>0</v>
      </c>
      <c r="D419" s="283"/>
      <c r="E419" s="283"/>
      <c r="F419" s="255">
        <f>NETWORKDAYS(G419,H419,S.DDL_DEQClosed)</f>
        <v>1</v>
      </c>
      <c r="G419" s="323">
        <f t="shared" si="45"/>
        <v>41836</v>
      </c>
      <c r="H419" s="256">
        <f t="shared" si="45"/>
        <v>41836</v>
      </c>
      <c r="I419" s="740"/>
      <c r="J419"/>
      <c r="K419"/>
      <c r="L419"/>
      <c r="M419"/>
      <c r="N419"/>
      <c r="O419"/>
      <c r="P419"/>
      <c r="Q419"/>
      <c r="R419"/>
      <c r="S419"/>
      <c r="T419"/>
      <c r="U419"/>
      <c r="X419"/>
      <c r="AB419"/>
      <c r="AC419"/>
      <c r="AF419" s="361">
        <f t="shared" si="44"/>
        <v>0</v>
      </c>
      <c r="AG419" s="60">
        <f>G418</f>
        <v>41836</v>
      </c>
      <c r="AH419" s="60">
        <f>G419</f>
        <v>41836</v>
      </c>
      <c r="AI419" s="47" t="s">
        <v>0</v>
      </c>
      <c r="AJ419" s="43"/>
      <c r="AK419" s="43"/>
      <c r="AL419" s="76"/>
    </row>
    <row r="420" spans="1:38" s="23" customFormat="1" ht="14.1" hidden="1" customHeight="1" outlineLevel="2">
      <c r="A420" s="145"/>
      <c r="B420" s="447" t="str">
        <f>AK420</f>
        <v>Jerry submits Web Request to post materials</v>
      </c>
      <c r="C420" s="508" t="str">
        <f>HYPERLINK("http://deq05/intranet/communication/WebRequests.htm","i")</f>
        <v>i</v>
      </c>
      <c r="D420" s="283"/>
      <c r="E420" s="283"/>
      <c r="F420" s="255">
        <f>NETWORKDAYS(G420,H420,S.DDL_DEQClosed)</f>
        <v>1</v>
      </c>
      <c r="G420" s="323">
        <f t="shared" si="45"/>
        <v>41836</v>
      </c>
      <c r="H420" s="256">
        <f t="shared" si="45"/>
        <v>41836</v>
      </c>
      <c r="I420" s="740"/>
      <c r="J420"/>
      <c r="K420"/>
      <c r="L420"/>
      <c r="M420"/>
      <c r="N420"/>
      <c r="O420"/>
      <c r="P420"/>
      <c r="Q420"/>
      <c r="R420"/>
      <c r="S420"/>
      <c r="T420"/>
      <c r="U420"/>
      <c r="X420"/>
      <c r="AB420"/>
      <c r="AC420"/>
      <c r="AF420" s="361">
        <f t="shared" si="44"/>
        <v>0</v>
      </c>
      <c r="AG420" s="60">
        <f>G419</f>
        <v>41836</v>
      </c>
      <c r="AH420" s="60">
        <f>G420</f>
        <v>41836</v>
      </c>
      <c r="AI420" s="47"/>
      <c r="AJ420" s="43"/>
      <c r="AK420" s="78" t="str">
        <f>S.Staff.Subject.Expert.FirstName&amp;" submits Web Request to post materials"</f>
        <v>Jerry submits Web Request to post materials</v>
      </c>
      <c r="AL420" s="76"/>
    </row>
    <row r="421" spans="1:38" s="23" customFormat="1" ht="14.1" hidden="1" customHeight="1" outlineLevel="2">
      <c r="A421" s="145"/>
      <c r="B421" s="446" t="s">
        <v>123</v>
      </c>
      <c r="C421" s="268" t="s">
        <v>0</v>
      </c>
      <c r="D421" s="283"/>
      <c r="E421" s="283"/>
      <c r="F421" s="255">
        <f>NETWORKDAYS(G421,H421,S.DDL_DEQClosed)</f>
        <v>1</v>
      </c>
      <c r="G421" s="323">
        <f t="shared" si="45"/>
        <v>41836</v>
      </c>
      <c r="H421" s="256">
        <f t="shared" si="45"/>
        <v>41836</v>
      </c>
      <c r="I421" s="740"/>
      <c r="J421"/>
      <c r="K421"/>
      <c r="L421"/>
      <c r="M421"/>
      <c r="N421"/>
      <c r="O421"/>
      <c r="P421"/>
      <c r="Q421"/>
      <c r="R421"/>
      <c r="S421"/>
      <c r="T421"/>
      <c r="U421"/>
      <c r="X421"/>
      <c r="AB421"/>
      <c r="AC421"/>
      <c r="AF421" s="361">
        <f t="shared" si="44"/>
        <v>0</v>
      </c>
      <c r="AG421" s="60">
        <f>G420</f>
        <v>41836</v>
      </c>
      <c r="AH421" s="60">
        <f>G421</f>
        <v>41836</v>
      </c>
      <c r="AI421" s="59"/>
      <c r="AJ421" s="59"/>
      <c r="AK421" s="43"/>
      <c r="AL421" s="76"/>
    </row>
    <row r="422" spans="1:38" s="23" customFormat="1" ht="14.1" hidden="1" customHeight="1" outlineLevel="2">
      <c r="A422" s="145"/>
      <c r="B422" s="342" t="str">
        <f>AK422</f>
        <v>Jerry sends meeting notice with link to Web page</v>
      </c>
      <c r="C422" s="268" t="s">
        <v>0</v>
      </c>
      <c r="D422" s="283"/>
      <c r="E422" s="283"/>
      <c r="F422" s="255">
        <f>NETWORKDAYS(G422,H422,S.DDL_DEQClosed)</f>
        <v>1</v>
      </c>
      <c r="G422" s="323">
        <f t="shared" si="45"/>
        <v>41836</v>
      </c>
      <c r="H422" s="256">
        <f t="shared" si="45"/>
        <v>41836</v>
      </c>
      <c r="I422" s="740"/>
      <c r="J422"/>
      <c r="K422"/>
      <c r="L422"/>
      <c r="M422"/>
      <c r="N422"/>
      <c r="O422"/>
      <c r="P422"/>
      <c r="Q422"/>
      <c r="R422"/>
      <c r="S422"/>
      <c r="T422"/>
      <c r="U422"/>
      <c r="X422"/>
      <c r="AB422"/>
      <c r="AC422"/>
      <c r="AF422" s="361">
        <f>IF(AND(S.AC.InvolveMeeting4="Y",S.AC.CommitteeInvolved="Y"),1,0)</f>
        <v>0</v>
      </c>
      <c r="AG422" s="60">
        <f>G421</f>
        <v>41836</v>
      </c>
      <c r="AH422" s="60">
        <f>G422</f>
        <v>41836</v>
      </c>
      <c r="AI422" s="59"/>
      <c r="AJ422" s="59"/>
      <c r="AK422" s="78" t="str">
        <f>S.Staff.Subject.Expert.FirstName&amp;" sends meeting notice with link to Web page"</f>
        <v>Jerry sends meeting notice with link to Web page</v>
      </c>
      <c r="AL422" s="76"/>
    </row>
    <row r="423" spans="1:38" s="23" customFormat="1" ht="14.1" hidden="1" customHeight="1" outlineLevel="2">
      <c r="A423" s="145"/>
      <c r="B423" s="418" t="s">
        <v>121</v>
      </c>
      <c r="C423" s="268" t="s">
        <v>0</v>
      </c>
      <c r="D423" s="981" t="s">
        <v>216</v>
      </c>
      <c r="E423" s="981"/>
      <c r="F423" s="981"/>
      <c r="G423" s="982"/>
      <c r="H423" s="263">
        <f>AH423</f>
        <v>41850</v>
      </c>
      <c r="I423" s="740"/>
      <c r="J423"/>
      <c r="K423"/>
      <c r="L423"/>
      <c r="M423"/>
      <c r="N423"/>
      <c r="O423"/>
      <c r="P423"/>
      <c r="Q423"/>
      <c r="R423"/>
      <c r="S423"/>
      <c r="T423"/>
      <c r="U423"/>
      <c r="X423"/>
      <c r="AB423"/>
      <c r="AC423"/>
      <c r="AF423" s="361">
        <f>IF(AND(S.AC.InvolveMeeting4="Y",S.AC.CommitteeInvolved="Y"),1,0)</f>
        <v>0</v>
      </c>
      <c r="AG423" s="34" t="s">
        <v>0</v>
      </c>
      <c r="AH423" s="60">
        <f>S.AC.DateMeeting4</f>
        <v>41850</v>
      </c>
      <c r="AI423" s="59"/>
      <c r="AJ423" s="59"/>
      <c r="AK423" s="43"/>
      <c r="AL423" s="76"/>
    </row>
    <row r="424" spans="1:38" s="23" customFormat="1" ht="14.1" hidden="1" customHeight="1" outlineLevel="2">
      <c r="A424" s="145"/>
      <c r="B424" s="342" t="str">
        <f>AK424</f>
        <v>Jerry drafts AC.MINUTES06.05.14</v>
      </c>
      <c r="C424" s="506" t="str">
        <f>HYPERLINK("\\deq000\templates\General\Minutes Template.dotx","i")</f>
        <v>i</v>
      </c>
      <c r="D424" s="356"/>
      <c r="E424" s="356"/>
      <c r="F424" s="255">
        <f>NETWORKDAYS(G424,H424,S.DDL_DEQClosed)</f>
        <v>1</v>
      </c>
      <c r="G424" s="323">
        <f>AG424</f>
        <v>41850</v>
      </c>
      <c r="H424" s="256">
        <f>AH424</f>
        <v>41850</v>
      </c>
      <c r="I424" s="740"/>
      <c r="J424"/>
      <c r="K424"/>
      <c r="L424"/>
      <c r="M424"/>
      <c r="N424"/>
      <c r="O424"/>
      <c r="P424"/>
      <c r="Q424"/>
      <c r="R424"/>
      <c r="S424"/>
      <c r="T424"/>
      <c r="U424"/>
      <c r="X424"/>
      <c r="AB424"/>
      <c r="AC424"/>
      <c r="AF424" s="361">
        <f>IF(AND(S.AC.InvolveMeeting4="Y",S.AC.CommitteeInvolved="Y"),1,0)</f>
        <v>0</v>
      </c>
      <c r="AG424" s="60">
        <f>S.AC.DateMeeting4</f>
        <v>41850</v>
      </c>
      <c r="AH424" s="60">
        <f>G424</f>
        <v>41850</v>
      </c>
      <c r="AI424" s="59"/>
      <c r="AJ424" s="59"/>
      <c r="AK424" s="67" t="str">
        <f>S.Staff.Subject.Expert.FirstName&amp;" drafts AC.MINUTES"&amp;TEXT(S.AC.DateMeeting1,"mm.dd.yy")</f>
        <v>Jerry drafts AC.MINUTES06.05.14</v>
      </c>
      <c r="AL424" s="76"/>
    </row>
    <row r="425" spans="1:38" s="23" customFormat="1" ht="14.1" hidden="1" customHeight="1" outlineLevel="2" thickBot="1">
      <c r="A425" s="145"/>
      <c r="B425" s="418" t="s">
        <v>122</v>
      </c>
      <c r="C425" s="268" t="s">
        <v>0</v>
      </c>
      <c r="D425" s="283"/>
      <c r="E425" s="283"/>
      <c r="F425" s="255">
        <f>NETWORKDAYS(G425,H425,S.DDL_DEQClosed)</f>
        <v>1</v>
      </c>
      <c r="G425" s="323">
        <f>AG425</f>
        <v>41850</v>
      </c>
      <c r="H425" s="256">
        <f>AH425</f>
        <v>41850</v>
      </c>
      <c r="I425" s="740"/>
      <c r="J425"/>
      <c r="K425"/>
      <c r="L425"/>
      <c r="M425"/>
      <c r="N425"/>
      <c r="O425"/>
      <c r="P425"/>
      <c r="Q425"/>
      <c r="R425"/>
      <c r="S425"/>
      <c r="T425"/>
      <c r="U425"/>
      <c r="X425"/>
      <c r="AB425"/>
      <c r="AC425"/>
      <c r="AF425" s="361">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7" t="s">
        <v>169</v>
      </c>
      <c r="C426" s="535" t="s">
        <v>205</v>
      </c>
      <c r="D426" s="707"/>
      <c r="E426" s="707"/>
      <c r="F426" s="306"/>
      <c r="G426" s="252">
        <f>AG426</f>
        <v>41850</v>
      </c>
      <c r="H426" s="326" t="s">
        <v>49</v>
      </c>
      <c r="I426" s="740"/>
      <c r="J426"/>
      <c r="K426"/>
      <c r="L426"/>
      <c r="M426"/>
      <c r="N426"/>
      <c r="O426"/>
      <c r="P426"/>
      <c r="Q426"/>
      <c r="R426"/>
      <c r="S426"/>
      <c r="T426"/>
      <c r="U426"/>
      <c r="X426"/>
      <c r="AB426"/>
      <c r="AC426"/>
      <c r="AF426" s="361">
        <f t="shared" ref="AF426:AF436" si="46">IF(AND(S.AC.InvolveMeeting5="Y",S.AC.CommitteeInvolved="Y"),1,0)</f>
        <v>0</v>
      </c>
      <c r="AG426" s="60">
        <f>S.AC.DateMeeting4</f>
        <v>41850</v>
      </c>
      <c r="AH426" s="34" t="s">
        <v>0</v>
      </c>
      <c r="AI426" s="34"/>
      <c r="AJ426" s="43"/>
      <c r="AK426" s="43"/>
      <c r="AL426" s="76"/>
    </row>
    <row r="427" spans="1:38" s="23" customFormat="1" ht="14.1" hidden="1" customHeight="1" outlineLevel="2">
      <c r="A427" s="145"/>
      <c r="B427" s="415" t="s">
        <v>118</v>
      </c>
      <c r="C427" s="258"/>
      <c r="D427" s="283"/>
      <c r="E427" s="283"/>
      <c r="F427" s="255">
        <f>NETWORKDAYS(G427,H427,S.DDL_DEQClosed)</f>
        <v>1</v>
      </c>
      <c r="G427" s="323">
        <f>AG427</f>
        <v>41836</v>
      </c>
      <c r="H427" s="256">
        <f>AH427</f>
        <v>41836</v>
      </c>
      <c r="I427" s="740"/>
      <c r="J427"/>
      <c r="K427"/>
      <c r="L427"/>
      <c r="M427"/>
      <c r="N427"/>
      <c r="O427"/>
      <c r="P427"/>
      <c r="Q427"/>
      <c r="R427"/>
      <c r="S427"/>
      <c r="T427"/>
      <c r="U427"/>
      <c r="X427"/>
      <c r="AB427"/>
      <c r="AC427"/>
      <c r="AF427" s="361">
        <f t="shared" si="46"/>
        <v>0</v>
      </c>
      <c r="AG427" s="60">
        <f>WORKDAY(S.AC.DateMeeting5-13,-1,S.DDL_DEQClosed)</f>
        <v>41836</v>
      </c>
      <c r="AH427" s="60">
        <f>G427</f>
        <v>41836</v>
      </c>
      <c r="AI427" s="47"/>
      <c r="AJ427" s="43"/>
      <c r="AK427" s="34"/>
      <c r="AL427" s="76"/>
    </row>
    <row r="428" spans="1:38" s="23" customFormat="1" ht="14.1" hidden="1" customHeight="1" outlineLevel="2">
      <c r="A428" s="145"/>
      <c r="B428" s="284" t="str">
        <f>AK428</f>
        <v>Jerry coordinates or drafts:</v>
      </c>
      <c r="C428" s="258"/>
      <c r="D428" s="704"/>
      <c r="E428" s="704"/>
      <c r="F428" s="262"/>
      <c r="G428" s="258"/>
      <c r="H428" s="300"/>
      <c r="I428" s="740"/>
      <c r="J428"/>
      <c r="K428"/>
      <c r="L428"/>
      <c r="M428"/>
      <c r="N428"/>
      <c r="O428"/>
      <c r="P428"/>
      <c r="Q428"/>
      <c r="R428"/>
      <c r="S428"/>
      <c r="T428"/>
      <c r="U428"/>
      <c r="X428"/>
      <c r="AB428"/>
      <c r="AC428"/>
      <c r="AF428" s="361">
        <f t="shared" si="46"/>
        <v>0</v>
      </c>
      <c r="AG428" s="47"/>
      <c r="AH428" s="58"/>
      <c r="AI428" s="58"/>
      <c r="AJ428" s="43"/>
      <c r="AK428" s="67" t="str">
        <f>S.Staff.Subject.Expert.FirstName&amp;" coordinates or drafts:"</f>
        <v>Jerry coordinates or drafts:</v>
      </c>
      <c r="AL428" s="76"/>
    </row>
    <row r="429" spans="1:38" s="23" customFormat="1" ht="14.1" hidden="1" customHeight="1" outlineLevel="2">
      <c r="A429" s="145"/>
      <c r="B429" s="316" t="str">
        <f>AK429</f>
        <v>* AC.AGENDA.06.05.14, gets team agreement</v>
      </c>
      <c r="C429" s="506" t="str">
        <f>HYPERLINK("\\deq000\templates\General\Agenda Template.dotx","i")</f>
        <v>i</v>
      </c>
      <c r="D429" s="356"/>
      <c r="E429" s="356"/>
      <c r="F429" s="255">
        <f t="shared" ref="F429:F436" si="47">NETWORKDAYS(G429,H429,S.DDL_DEQClosed)</f>
        <v>1</v>
      </c>
      <c r="G429" s="323">
        <f t="shared" ref="G429:H436" si="48">AG429</f>
        <v>41836</v>
      </c>
      <c r="H429" s="256">
        <f t="shared" si="48"/>
        <v>41836</v>
      </c>
      <c r="I429" s="740"/>
      <c r="J429"/>
      <c r="K429"/>
      <c r="L429"/>
      <c r="M429"/>
      <c r="N429"/>
      <c r="O429"/>
      <c r="P429"/>
      <c r="Q429"/>
      <c r="R429"/>
      <c r="S429"/>
      <c r="T429"/>
      <c r="U429"/>
      <c r="X429"/>
      <c r="AB429"/>
      <c r="AC429"/>
      <c r="AF429" s="361">
        <f t="shared" si="46"/>
        <v>0</v>
      </c>
      <c r="AG429" s="60">
        <f>G427</f>
        <v>41836</v>
      </c>
      <c r="AH429" s="60">
        <f t="shared" ref="AH429:AH436" si="49">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47"/>
        <v>1</v>
      </c>
      <c r="G430" s="323">
        <f t="shared" si="48"/>
        <v>41836</v>
      </c>
      <c r="H430" s="256">
        <f t="shared" si="48"/>
        <v>41836</v>
      </c>
      <c r="I430" s="740"/>
      <c r="J430"/>
      <c r="K430"/>
      <c r="L430"/>
      <c r="M430"/>
      <c r="N430"/>
      <c r="O430"/>
      <c r="P430"/>
      <c r="Q430"/>
      <c r="R430"/>
      <c r="S430"/>
      <c r="T430"/>
      <c r="U430"/>
      <c r="X430"/>
      <c r="AB430"/>
      <c r="AC430"/>
      <c r="AF430" s="361">
        <f t="shared" si="46"/>
        <v>0</v>
      </c>
      <c r="AG430" s="60">
        <f t="shared" ref="AG430:AG436" si="50">G429</f>
        <v>41836</v>
      </c>
      <c r="AH430" s="60">
        <f t="shared" si="49"/>
        <v>41836</v>
      </c>
      <c r="AI430" s="59"/>
      <c r="AJ430" s="59"/>
      <c r="AK430" s="67" t="str">
        <f>"* AC.NOTIFICATION."&amp;TEXT(S.AC.DateMeeting1,"mm.dd.yy")</f>
        <v>* AC.NOTIFICATION.06.05.14</v>
      </c>
      <c r="AL430" s="76"/>
    </row>
    <row r="431" spans="1:38" s="23" customFormat="1" ht="14.1" hidden="1" customHeight="1" outlineLevel="2">
      <c r="A431" s="145"/>
      <c r="B431" s="320" t="s">
        <v>214</v>
      </c>
      <c r="C431" s="506" t="str">
        <f>HYPERLINK("http://deq05/intranet/contentmanagement/login.asp","i")</f>
        <v>i</v>
      </c>
      <c r="D431" s="705"/>
      <c r="E431" s="705"/>
      <c r="F431" s="255">
        <f t="shared" si="47"/>
        <v>1</v>
      </c>
      <c r="G431" s="323">
        <f t="shared" si="48"/>
        <v>41836</v>
      </c>
      <c r="H431" s="256">
        <f t="shared" si="48"/>
        <v>41836</v>
      </c>
      <c r="I431" s="740"/>
      <c r="J431"/>
      <c r="K431"/>
      <c r="L431"/>
      <c r="M431"/>
      <c r="N431"/>
      <c r="O431"/>
      <c r="P431"/>
      <c r="Q431"/>
      <c r="R431"/>
      <c r="S431"/>
      <c r="T431"/>
      <c r="U431"/>
      <c r="X431"/>
      <c r="AB431"/>
      <c r="AC431"/>
      <c r="AF431" s="361">
        <f t="shared" si="46"/>
        <v>0</v>
      </c>
      <c r="AG431" s="60">
        <f t="shared" si="50"/>
        <v>41836</v>
      </c>
      <c r="AH431" s="60">
        <f t="shared" si="49"/>
        <v>41836</v>
      </c>
      <c r="AI431" s="47"/>
      <c r="AJ431" s="43"/>
      <c r="AK431" s="43"/>
      <c r="AL431" s="76"/>
    </row>
    <row r="432" spans="1:38" s="23" customFormat="1" ht="14.1" hidden="1" customHeight="1" outlineLevel="2">
      <c r="A432" s="145"/>
      <c r="B432" s="298" t="s">
        <v>183</v>
      </c>
      <c r="C432" s="268" t="s">
        <v>0</v>
      </c>
      <c r="D432" s="283"/>
      <c r="E432" s="283"/>
      <c r="F432" s="255">
        <f t="shared" si="47"/>
        <v>1</v>
      </c>
      <c r="G432" s="323">
        <f t="shared" si="48"/>
        <v>41836</v>
      </c>
      <c r="H432" s="256">
        <f t="shared" si="48"/>
        <v>41836</v>
      </c>
      <c r="I432" s="740"/>
      <c r="J432"/>
      <c r="K432"/>
      <c r="L432"/>
      <c r="M432"/>
      <c r="N432"/>
      <c r="O432"/>
      <c r="P432"/>
      <c r="Q432"/>
      <c r="R432"/>
      <c r="S432"/>
      <c r="T432"/>
      <c r="U432"/>
      <c r="X432"/>
      <c r="AB432"/>
      <c r="AC432"/>
      <c r="AF432" s="361">
        <f t="shared" si="46"/>
        <v>0</v>
      </c>
      <c r="AG432" s="60">
        <f t="shared" si="50"/>
        <v>41836</v>
      </c>
      <c r="AH432" s="60">
        <f t="shared" si="49"/>
        <v>41836</v>
      </c>
      <c r="AI432" s="47"/>
      <c r="AJ432" s="43"/>
      <c r="AK432" s="43"/>
      <c r="AL432" s="76"/>
    </row>
    <row r="433" spans="1:38" s="23" customFormat="1" ht="14.1" hidden="1" customHeight="1" outlineLevel="2">
      <c r="A433" s="145"/>
      <c r="B433" s="417" t="s">
        <v>119</v>
      </c>
      <c r="C433" s="268" t="s">
        <v>0</v>
      </c>
      <c r="D433" s="283"/>
      <c r="E433" s="283"/>
      <c r="F433" s="255">
        <f t="shared" si="47"/>
        <v>1</v>
      </c>
      <c r="G433" s="323">
        <f t="shared" si="48"/>
        <v>41836</v>
      </c>
      <c r="H433" s="256">
        <f t="shared" si="48"/>
        <v>41836</v>
      </c>
      <c r="I433" s="740"/>
      <c r="J433"/>
      <c r="K433"/>
      <c r="L433"/>
      <c r="M433"/>
      <c r="N433"/>
      <c r="O433"/>
      <c r="P433"/>
      <c r="Q433"/>
      <c r="R433"/>
      <c r="S433"/>
      <c r="T433"/>
      <c r="U433"/>
      <c r="X433"/>
      <c r="AB433"/>
      <c r="AC433"/>
      <c r="AF433" s="361">
        <f t="shared" si="46"/>
        <v>0</v>
      </c>
      <c r="AG433" s="60">
        <f t="shared" si="50"/>
        <v>41836</v>
      </c>
      <c r="AH433" s="60">
        <f t="shared" si="49"/>
        <v>41836</v>
      </c>
      <c r="AI433" s="47"/>
      <c r="AJ433" s="43"/>
      <c r="AK433" s="43"/>
      <c r="AL433" s="76"/>
    </row>
    <row r="434" spans="1:38" s="23" customFormat="1" ht="14.1" hidden="1" customHeight="1" outlineLevel="2">
      <c r="A434" s="145"/>
      <c r="B434" s="417" t="s">
        <v>119</v>
      </c>
      <c r="C434" s="268" t="s">
        <v>0</v>
      </c>
      <c r="D434" s="283"/>
      <c r="E434" s="283"/>
      <c r="F434" s="255">
        <f t="shared" si="47"/>
        <v>1</v>
      </c>
      <c r="G434" s="323">
        <f t="shared" si="48"/>
        <v>41836</v>
      </c>
      <c r="H434" s="256">
        <f t="shared" si="48"/>
        <v>41836</v>
      </c>
      <c r="I434" s="740"/>
      <c r="J434"/>
      <c r="K434"/>
      <c r="L434"/>
      <c r="M434"/>
      <c r="N434"/>
      <c r="O434"/>
      <c r="P434"/>
      <c r="Q434"/>
      <c r="R434"/>
      <c r="S434"/>
      <c r="T434"/>
      <c r="U434"/>
      <c r="X434"/>
      <c r="AB434"/>
      <c r="AC434"/>
      <c r="AF434" s="361">
        <f t="shared" si="46"/>
        <v>0</v>
      </c>
      <c r="AG434" s="60">
        <f t="shared" si="50"/>
        <v>41836</v>
      </c>
      <c r="AH434" s="60">
        <f t="shared" si="49"/>
        <v>41836</v>
      </c>
      <c r="AI434" s="47"/>
      <c r="AJ434" s="43"/>
      <c r="AK434" s="43"/>
      <c r="AL434" s="76"/>
    </row>
    <row r="435" spans="1:38" s="23" customFormat="1" ht="14.1" hidden="1" customHeight="1" outlineLevel="2">
      <c r="A435" s="145"/>
      <c r="B435" s="417" t="s">
        <v>119</v>
      </c>
      <c r="C435" s="268" t="s">
        <v>0</v>
      </c>
      <c r="D435" s="283"/>
      <c r="E435" s="283"/>
      <c r="F435" s="255">
        <f t="shared" si="47"/>
        <v>1</v>
      </c>
      <c r="G435" s="323">
        <f t="shared" si="48"/>
        <v>41836</v>
      </c>
      <c r="H435" s="256">
        <f t="shared" si="48"/>
        <v>41836</v>
      </c>
      <c r="I435" s="740"/>
      <c r="J435"/>
      <c r="K435"/>
      <c r="L435"/>
      <c r="M435"/>
      <c r="N435"/>
      <c r="O435"/>
      <c r="P435"/>
      <c r="Q435"/>
      <c r="R435"/>
      <c r="S435"/>
      <c r="T435"/>
      <c r="U435"/>
      <c r="X435"/>
      <c r="AB435"/>
      <c r="AC435"/>
      <c r="AF435" s="361">
        <f t="shared" si="46"/>
        <v>0</v>
      </c>
      <c r="AG435" s="60">
        <f t="shared" si="50"/>
        <v>41836</v>
      </c>
      <c r="AH435" s="60">
        <f t="shared" si="49"/>
        <v>41836</v>
      </c>
      <c r="AI435" s="47"/>
      <c r="AJ435" s="43"/>
      <c r="AK435" s="43"/>
      <c r="AL435" s="76"/>
    </row>
    <row r="436" spans="1:38" s="23" customFormat="1" ht="14.1" hidden="1" customHeight="1" outlineLevel="2" thickBot="1">
      <c r="A436" s="145"/>
      <c r="B436" s="417" t="s">
        <v>119</v>
      </c>
      <c r="C436" s="268" t="s">
        <v>0</v>
      </c>
      <c r="D436" s="283"/>
      <c r="E436" s="283"/>
      <c r="F436" s="255">
        <f t="shared" si="47"/>
        <v>1</v>
      </c>
      <c r="G436" s="323">
        <f t="shared" si="48"/>
        <v>41836</v>
      </c>
      <c r="H436" s="256">
        <f t="shared" si="48"/>
        <v>41836</v>
      </c>
      <c r="I436" s="740"/>
      <c r="J436"/>
      <c r="K436"/>
      <c r="L436"/>
      <c r="M436"/>
      <c r="N436"/>
      <c r="O436"/>
      <c r="P436"/>
      <c r="Q436"/>
      <c r="R436"/>
      <c r="S436"/>
      <c r="T436"/>
      <c r="U436"/>
      <c r="X436"/>
      <c r="AB436"/>
      <c r="AC436"/>
      <c r="AF436" s="361">
        <f t="shared" si="46"/>
        <v>0</v>
      </c>
      <c r="AG436" s="60">
        <f t="shared" si="50"/>
        <v>41836</v>
      </c>
      <c r="AH436" s="60">
        <f t="shared" si="49"/>
        <v>41836</v>
      </c>
      <c r="AI436" s="47"/>
      <c r="AJ436" s="43"/>
      <c r="AK436" s="43"/>
      <c r="AL436" s="76"/>
    </row>
    <row r="437" spans="1:38" s="23" customFormat="1" ht="14.1" hidden="1" customHeight="1" outlineLevel="2" thickBot="1">
      <c r="A437" s="145"/>
      <c r="B437" s="442" t="s">
        <v>168</v>
      </c>
      <c r="C437" s="535" t="s">
        <v>16</v>
      </c>
      <c r="D437" s="706"/>
      <c r="E437" s="706"/>
      <c r="F437" s="324"/>
      <c r="G437" s="324"/>
      <c r="H437" s="324"/>
      <c r="I437" s="740"/>
      <c r="J437"/>
      <c r="K437"/>
      <c r="L437"/>
      <c r="M437"/>
      <c r="N437"/>
      <c r="O437"/>
      <c r="P437"/>
      <c r="Q437"/>
      <c r="R437"/>
      <c r="S437"/>
      <c r="T437"/>
      <c r="U437"/>
      <c r="X437"/>
      <c r="AB437"/>
      <c r="AC437"/>
      <c r="AF437" s="361">
        <f t="shared" ref="AF437:AF444" si="51">IF(AND(S.AC.InvolveMeeting5="Y",S.AC.CommitteeInvolved="Y",S.AC.Presentation5="Y"),1,0)</f>
        <v>0</v>
      </c>
      <c r="AG437" s="34"/>
      <c r="AH437" s="34"/>
      <c r="AI437" s="34"/>
      <c r="AJ437" s="43"/>
      <c r="AK437" s="43"/>
      <c r="AL437" s="76"/>
    </row>
    <row r="438" spans="1:38" s="23" customFormat="1" ht="14.1" hidden="1" customHeight="1" outlineLevel="2">
      <c r="A438" s="145"/>
      <c r="B438" s="443" t="s">
        <v>120</v>
      </c>
      <c r="C438" s="268" t="s">
        <v>0</v>
      </c>
      <c r="D438" s="325"/>
      <c r="E438" s="325"/>
      <c r="F438" s="321"/>
      <c r="G438" s="321"/>
      <c r="H438" s="321"/>
      <c r="I438" s="740"/>
      <c r="J438"/>
      <c r="K438"/>
      <c r="L438"/>
      <c r="M438"/>
      <c r="N438"/>
      <c r="O438"/>
      <c r="P438"/>
      <c r="Q438"/>
      <c r="R438"/>
      <c r="S438"/>
      <c r="T438"/>
      <c r="U438"/>
      <c r="X438"/>
      <c r="AB438"/>
      <c r="AC438"/>
      <c r="AF438" s="361">
        <f t="shared" si="51"/>
        <v>0</v>
      </c>
      <c r="AG438" s="34"/>
      <c r="AH438" s="34"/>
      <c r="AI438" s="47"/>
      <c r="AJ438" s="43"/>
      <c r="AK438" s="43"/>
      <c r="AL438" s="76"/>
    </row>
    <row r="439" spans="1:38" s="23" customFormat="1" ht="14.1" hidden="1" customHeight="1" outlineLevel="2">
      <c r="A439" s="145"/>
      <c r="B439" s="444" t="str">
        <f>AK439</f>
        <v>* drafts optional AC.PRESENTATION.06.05.14</v>
      </c>
      <c r="C439" s="506" t="str">
        <f>HYPERLINK("http://deq05/intranet/communication/docs/DEQAgencyTemplate1.potx","i")</f>
        <v>i</v>
      </c>
      <c r="D439" s="356"/>
      <c r="E439" s="356"/>
      <c r="F439" s="255">
        <f>NETWORKDAYS(G439,H439,S.DDL_DEQClosed)</f>
        <v>1</v>
      </c>
      <c r="G439" s="323">
        <f>AG439</f>
        <v>41836</v>
      </c>
      <c r="H439" s="256">
        <f>AH439</f>
        <v>41836</v>
      </c>
      <c r="I439" s="740"/>
      <c r="J439"/>
      <c r="K439"/>
      <c r="L439"/>
      <c r="M439"/>
      <c r="N439"/>
      <c r="O439"/>
      <c r="P439"/>
      <c r="Q439"/>
      <c r="R439"/>
      <c r="S439"/>
      <c r="T439"/>
      <c r="U439"/>
      <c r="X439"/>
      <c r="AB439"/>
      <c r="AC439"/>
      <c r="AF439" s="361">
        <f t="shared" si="51"/>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3" t="s">
        <v>120</v>
      </c>
      <c r="C440" s="268" t="s">
        <v>0</v>
      </c>
      <c r="D440" s="325"/>
      <c r="E440" s="325"/>
      <c r="F440" s="324"/>
      <c r="G440" s="324"/>
      <c r="H440" s="324"/>
      <c r="I440" s="740"/>
      <c r="J440"/>
      <c r="K440"/>
      <c r="L440"/>
      <c r="M440"/>
      <c r="N440"/>
      <c r="O440"/>
      <c r="P440"/>
      <c r="Q440"/>
      <c r="R440"/>
      <c r="S440"/>
      <c r="T440"/>
      <c r="U440"/>
      <c r="X440"/>
      <c r="AB440"/>
      <c r="AC440"/>
      <c r="AF440" s="361">
        <f t="shared" si="51"/>
        <v>0</v>
      </c>
      <c r="AG440" s="34"/>
      <c r="AH440" s="34"/>
      <c r="AI440" s="47"/>
      <c r="AJ440" s="43"/>
      <c r="AK440" s="43"/>
      <c r="AL440" s="76"/>
    </row>
    <row r="441" spans="1:38" s="23" customFormat="1" ht="14.1" hidden="1" customHeight="1" outlineLevel="2">
      <c r="A441" s="145"/>
      <c r="B441" s="445" t="s">
        <v>182</v>
      </c>
      <c r="C441" s="268" t="s">
        <v>0</v>
      </c>
      <c r="D441" s="283"/>
      <c r="E441" s="283"/>
      <c r="F441" s="255">
        <f>NETWORKDAYS(G441,H441,S.DDL_DEQClosed)</f>
        <v>1</v>
      </c>
      <c r="G441" s="323">
        <f t="shared" ref="G441:H445" si="52">AG441</f>
        <v>41836</v>
      </c>
      <c r="H441" s="256">
        <f t="shared" si="52"/>
        <v>41836</v>
      </c>
      <c r="I441" s="740"/>
      <c r="J441"/>
      <c r="K441"/>
      <c r="L441"/>
      <c r="M441"/>
      <c r="N441"/>
      <c r="O441"/>
      <c r="P441"/>
      <c r="Q441"/>
      <c r="R441"/>
      <c r="S441"/>
      <c r="T441"/>
      <c r="U441"/>
      <c r="X441"/>
      <c r="AB441"/>
      <c r="AC441"/>
      <c r="AF441" s="361">
        <f t="shared" si="51"/>
        <v>0</v>
      </c>
      <c r="AG441" s="60">
        <f>G439</f>
        <v>41836</v>
      </c>
      <c r="AH441" s="60">
        <f>G441</f>
        <v>41836</v>
      </c>
      <c r="AI441" s="47"/>
      <c r="AJ441" s="43"/>
      <c r="AK441" s="43"/>
      <c r="AL441" s="76"/>
    </row>
    <row r="442" spans="1:38" s="23" customFormat="1" ht="14.1" hidden="1" customHeight="1" outlineLevel="2">
      <c r="A442" s="145"/>
      <c r="B442" s="446" t="s">
        <v>215</v>
      </c>
      <c r="C442" s="268" t="s">
        <v>0</v>
      </c>
      <c r="D442" s="283"/>
      <c r="E442" s="283"/>
      <c r="F442" s="255">
        <f>NETWORKDAYS(G442,H442,S.DDL_DEQClosed)</f>
        <v>1</v>
      </c>
      <c r="G442" s="323">
        <f t="shared" si="52"/>
        <v>41836</v>
      </c>
      <c r="H442" s="256">
        <f t="shared" si="52"/>
        <v>41836</v>
      </c>
      <c r="I442" s="740"/>
      <c r="J442"/>
      <c r="K442"/>
      <c r="L442"/>
      <c r="M442"/>
      <c r="N442"/>
      <c r="O442"/>
      <c r="P442"/>
      <c r="Q442"/>
      <c r="R442"/>
      <c r="S442"/>
      <c r="T442"/>
      <c r="U442"/>
      <c r="X442"/>
      <c r="AB442"/>
      <c r="AC442"/>
      <c r="AF442" s="361">
        <f t="shared" si="51"/>
        <v>0</v>
      </c>
      <c r="AG442" s="60">
        <f>G441</f>
        <v>41836</v>
      </c>
      <c r="AH442" s="60">
        <f>G442</f>
        <v>41836</v>
      </c>
      <c r="AI442" s="47" t="s">
        <v>0</v>
      </c>
      <c r="AJ442" s="43"/>
      <c r="AK442" s="43"/>
      <c r="AL442" s="76"/>
    </row>
    <row r="443" spans="1:38" s="23" customFormat="1" ht="14.1" hidden="1" customHeight="1" outlineLevel="2">
      <c r="A443" s="145"/>
      <c r="B443" s="447" t="str">
        <f>AK443</f>
        <v>Jerry submits Web Request to post materials</v>
      </c>
      <c r="C443" s="508" t="str">
        <f>HYPERLINK("http://deq05/intranet/communication/WebRequests.htm","i")</f>
        <v>i</v>
      </c>
      <c r="D443" s="283"/>
      <c r="E443" s="283"/>
      <c r="F443" s="255">
        <f>NETWORKDAYS(G443,H443,S.DDL_DEQClosed)</f>
        <v>1</v>
      </c>
      <c r="G443" s="323">
        <f t="shared" si="52"/>
        <v>41836</v>
      </c>
      <c r="H443" s="256">
        <f t="shared" si="52"/>
        <v>41836</v>
      </c>
      <c r="I443" s="740"/>
      <c r="J443"/>
      <c r="K443"/>
      <c r="L443"/>
      <c r="M443"/>
      <c r="N443"/>
      <c r="O443"/>
      <c r="P443"/>
      <c r="Q443"/>
      <c r="R443"/>
      <c r="S443"/>
      <c r="T443"/>
      <c r="U443"/>
      <c r="X443"/>
      <c r="AB443"/>
      <c r="AC443"/>
      <c r="AF443" s="361">
        <f t="shared" si="51"/>
        <v>0</v>
      </c>
      <c r="AG443" s="60">
        <f>G442</f>
        <v>41836</v>
      </c>
      <c r="AH443" s="60">
        <f>G443</f>
        <v>41836</v>
      </c>
      <c r="AI443" s="47"/>
      <c r="AJ443" s="43"/>
      <c r="AK443" s="78" t="str">
        <f>S.Staff.Subject.Expert.FirstName&amp;" submits Web Request to post materials"</f>
        <v>Jerry submits Web Request to post materials</v>
      </c>
      <c r="AL443" s="76"/>
    </row>
    <row r="444" spans="1:38" s="23" customFormat="1" ht="14.1" hidden="1" customHeight="1" outlineLevel="2">
      <c r="A444" s="145"/>
      <c r="B444" s="446" t="s">
        <v>123</v>
      </c>
      <c r="C444" s="268" t="s">
        <v>0</v>
      </c>
      <c r="D444" s="283"/>
      <c r="E444" s="283"/>
      <c r="F444" s="255">
        <f>NETWORKDAYS(G444,H444,S.DDL_DEQClosed)</f>
        <v>1</v>
      </c>
      <c r="G444" s="323">
        <f t="shared" si="52"/>
        <v>41836</v>
      </c>
      <c r="H444" s="256">
        <f t="shared" si="52"/>
        <v>41836</v>
      </c>
      <c r="I444" s="740"/>
      <c r="J444"/>
      <c r="K444"/>
      <c r="L444"/>
      <c r="M444"/>
      <c r="N444"/>
      <c r="O444"/>
      <c r="P444"/>
      <c r="Q444"/>
      <c r="R444"/>
      <c r="S444"/>
      <c r="T444"/>
      <c r="U444"/>
      <c r="X444"/>
      <c r="AB444"/>
      <c r="AC444"/>
      <c r="AF444" s="361">
        <f t="shared" si="51"/>
        <v>0</v>
      </c>
      <c r="AG444" s="60">
        <f>G443</f>
        <v>41836</v>
      </c>
      <c r="AH444" s="60">
        <f>G444</f>
        <v>41836</v>
      </c>
      <c r="AI444" s="59"/>
      <c r="AJ444" s="59"/>
      <c r="AK444" s="43"/>
      <c r="AL444" s="76"/>
    </row>
    <row r="445" spans="1:38" s="23" customFormat="1" ht="14.1" hidden="1" customHeight="1" outlineLevel="2">
      <c r="A445" s="145"/>
      <c r="B445" s="342" t="str">
        <f>AK445</f>
        <v>Jerry sends meeting notice with link to Web page</v>
      </c>
      <c r="C445" s="268" t="s">
        <v>0</v>
      </c>
      <c r="D445" s="283"/>
      <c r="E445" s="283"/>
      <c r="F445" s="255">
        <f>NETWORKDAYS(G445,H445,S.DDL_DEQClosed)</f>
        <v>1</v>
      </c>
      <c r="G445" s="323">
        <f t="shared" si="52"/>
        <v>41836</v>
      </c>
      <c r="H445" s="256">
        <f t="shared" si="52"/>
        <v>41836</v>
      </c>
      <c r="I445" s="740"/>
      <c r="J445"/>
      <c r="K445"/>
      <c r="L445"/>
      <c r="M445"/>
      <c r="N445"/>
      <c r="O445"/>
      <c r="P445"/>
      <c r="Q445"/>
      <c r="R445"/>
      <c r="S445"/>
      <c r="T445"/>
      <c r="U445"/>
      <c r="X445"/>
      <c r="AB445"/>
      <c r="AC445"/>
      <c r="AF445" s="361">
        <f>IF(AND(S.AC.InvolveMeeting5="Y",S.AC.CommitteeInvolved="Y"),1,0)</f>
        <v>0</v>
      </c>
      <c r="AG445" s="60">
        <f>G444</f>
        <v>41836</v>
      </c>
      <c r="AH445" s="60">
        <f>G445</f>
        <v>41836</v>
      </c>
      <c r="AI445" s="59"/>
      <c r="AJ445" s="59"/>
      <c r="AK445" s="78" t="str">
        <f>S.Staff.Subject.Expert.FirstName&amp;" sends meeting notice with link to Web page"</f>
        <v>Jerry sends meeting notice with link to Web page</v>
      </c>
      <c r="AL445" s="76"/>
    </row>
    <row r="446" spans="1:38" s="23" customFormat="1" ht="14.1" hidden="1" customHeight="1" outlineLevel="2">
      <c r="A446" s="145"/>
      <c r="B446" s="418" t="s">
        <v>121</v>
      </c>
      <c r="C446" s="268" t="s">
        <v>0</v>
      </c>
      <c r="D446" s="981" t="s">
        <v>217</v>
      </c>
      <c r="E446" s="981"/>
      <c r="F446" s="981"/>
      <c r="G446" s="982"/>
      <c r="H446" s="263">
        <f>AH446</f>
        <v>41850</v>
      </c>
      <c r="I446" s="740"/>
      <c r="J446"/>
      <c r="K446"/>
      <c r="L446"/>
      <c r="M446"/>
      <c r="N446"/>
      <c r="O446"/>
      <c r="P446"/>
      <c r="Q446"/>
      <c r="R446"/>
      <c r="S446"/>
      <c r="T446"/>
      <c r="U446"/>
      <c r="X446"/>
      <c r="AB446"/>
      <c r="AC446"/>
      <c r="AF446" s="361">
        <f>IF(AND(S.AC.InvolveMeeting5="Y",S.AC.CommitteeInvolved="Y"),1,0)</f>
        <v>0</v>
      </c>
      <c r="AG446" s="59"/>
      <c r="AH446" s="60">
        <f>S.AC.DateMeeting5</f>
        <v>41850</v>
      </c>
      <c r="AI446" s="59"/>
      <c r="AJ446" s="59"/>
      <c r="AK446" s="43"/>
      <c r="AL446" s="76"/>
    </row>
    <row r="447" spans="1:38" s="23" customFormat="1" ht="14.1" hidden="1" customHeight="1" outlineLevel="2">
      <c r="A447" s="145"/>
      <c r="B447" s="342" t="str">
        <f>AK447</f>
        <v>Jerry drafts AC.MINUTES06.05.14</v>
      </c>
      <c r="C447" s="506" t="str">
        <f>HYPERLINK("\\deq000\templates\General\Minutes Template.dotx","i")</f>
        <v>i</v>
      </c>
      <c r="D447" s="356"/>
      <c r="E447" s="356"/>
      <c r="F447" s="255">
        <f>NETWORKDAYS(G447,H447,S.DDL_DEQClosed)</f>
        <v>1</v>
      </c>
      <c r="G447" s="323">
        <f>AG447</f>
        <v>41850</v>
      </c>
      <c r="H447" s="256">
        <f>AH447</f>
        <v>41850</v>
      </c>
      <c r="I447" s="740"/>
      <c r="J447"/>
      <c r="K447"/>
      <c r="L447"/>
      <c r="M447"/>
      <c r="N447"/>
      <c r="O447"/>
      <c r="P447"/>
      <c r="Q447"/>
      <c r="R447"/>
      <c r="S447"/>
      <c r="T447"/>
      <c r="U447"/>
      <c r="X447"/>
      <c r="AB447"/>
      <c r="AC447"/>
      <c r="AF447" s="361">
        <f>IF(AND(S.AC.InvolveMeeting5="Y",S.AC.CommitteeInvolved="Y"),1,0)</f>
        <v>0</v>
      </c>
      <c r="AG447" s="60">
        <f>S.AC.DateMeeting5</f>
        <v>41850</v>
      </c>
      <c r="AH447" s="60">
        <f>G447</f>
        <v>41850</v>
      </c>
      <c r="AI447" s="59"/>
      <c r="AJ447" s="59"/>
      <c r="AK447" s="67" t="str">
        <f>S.Staff.Subject.Expert.FirstName&amp;" drafts AC.MINUTES"&amp;TEXT(S.AC.DateMeeting1,"mm.dd.yy")</f>
        <v>Jerry drafts AC.MINUTES06.05.14</v>
      </c>
      <c r="AL447" s="76"/>
    </row>
    <row r="448" spans="1:38" s="23" customFormat="1" ht="14.1" hidden="1" customHeight="1" outlineLevel="2">
      <c r="A448" s="145"/>
      <c r="B448" s="418" t="s">
        <v>122</v>
      </c>
      <c r="C448" s="268" t="s">
        <v>0</v>
      </c>
      <c r="D448" s="283"/>
      <c r="E448" s="283"/>
      <c r="F448" s="255">
        <f>NETWORKDAYS(G448,H448,S.DDL_DEQClosed)</f>
        <v>1</v>
      </c>
      <c r="G448" s="323">
        <f>AG448</f>
        <v>41850</v>
      </c>
      <c r="H448" s="256">
        <f>AH448</f>
        <v>41850</v>
      </c>
      <c r="I448" s="740"/>
      <c r="J448"/>
      <c r="K448"/>
      <c r="L448"/>
      <c r="M448"/>
      <c r="N448"/>
      <c r="O448"/>
      <c r="P448"/>
      <c r="Q448"/>
      <c r="R448"/>
      <c r="S448"/>
      <c r="T448"/>
      <c r="U448"/>
      <c r="X448"/>
      <c r="AB448"/>
      <c r="AC448"/>
      <c r="AF448" s="361">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Jerry gathers all advisory committee emails for the Rule Record and saves as:</v>
      </c>
      <c r="C449" s="505" t="str">
        <f>HYPERLINK("\\deqhq1\Rule_Development\Currrent Plan","i")</f>
        <v>i</v>
      </c>
      <c r="D449" s="283"/>
      <c r="E449" s="283"/>
      <c r="F449"/>
      <c r="G449" s="291">
        <f>AG449</f>
        <v>41761</v>
      </c>
      <c r="H449" s="256">
        <f>AH449</f>
        <v>0</v>
      </c>
      <c r="I449" s="740"/>
      <c r="J449"/>
      <c r="K449"/>
      <c r="L449"/>
      <c r="M449"/>
      <c r="N449"/>
      <c r="O449"/>
      <c r="P449"/>
      <c r="Q449"/>
      <c r="R449"/>
      <c r="S449"/>
      <c r="T449"/>
      <c r="U449"/>
      <c r="X449"/>
      <c r="AB449"/>
      <c r="AC449"/>
      <c r="AF449" s="361">
        <f>IF(S.AC.CommitteeInvolved="Y",1,0)</f>
        <v>0</v>
      </c>
      <c r="AG449" s="60">
        <f>S.AC.BANNER.Begin</f>
        <v>41761</v>
      </c>
      <c r="AH449" s="60">
        <f>S.AC.BANNER.End</f>
        <v>0</v>
      </c>
      <c r="AI449" s="58"/>
      <c r="AJ449" s="66"/>
      <c r="AK449" s="67" t="str">
        <f>S.Staff.Subject.Expert.FirstName&amp;" gathers all advisory committee emails for the Rule Record and saves as:"</f>
        <v>Jerry gathers all advisory committee emails for the Rule Record and saves as:</v>
      </c>
      <c r="AL449" s="76"/>
    </row>
    <row r="450" spans="1:39" s="23" customFormat="1" ht="14.1" hidden="1" customHeight="1" outlineLevel="1">
      <c r="A450" s="145"/>
      <c r="B450" s="277" t="s">
        <v>133</v>
      </c>
      <c r="C450" s="268"/>
      <c r="D450" s="268"/>
      <c r="E450" s="268"/>
      <c r="F450" s="262"/>
      <c r="G450" s="258"/>
      <c r="H450" s="258"/>
      <c r="I450" s="740"/>
      <c r="J450"/>
      <c r="K450"/>
      <c r="L450"/>
      <c r="M450"/>
      <c r="N450"/>
      <c r="O450"/>
      <c r="P450"/>
      <c r="Q450"/>
      <c r="R450"/>
      <c r="S450"/>
      <c r="T450"/>
      <c r="U450"/>
      <c r="X450"/>
      <c r="AB450"/>
      <c r="AC450"/>
      <c r="AF450" s="361">
        <f>IF(S.AC.CommitteeInvolved="Y",1,0)</f>
        <v>0</v>
      </c>
      <c r="AG450" s="58"/>
      <c r="AH450" s="58"/>
      <c r="AI450" s="58"/>
      <c r="AJ450" s="44"/>
      <c r="AK450" s="58" t="s">
        <v>0</v>
      </c>
      <c r="AL450" s="76"/>
    </row>
    <row r="451" spans="1:39" ht="6" hidden="1" customHeight="1" collapsed="1">
      <c r="A451" s="145"/>
      <c r="B451" s="117"/>
      <c r="C451" s="94"/>
      <c r="D451" s="93"/>
      <c r="E451" s="93"/>
      <c r="F451" s="95"/>
      <c r="G451" s="94"/>
      <c r="H451" s="94"/>
      <c r="I451" s="740"/>
      <c r="AF451" s="360" t="s">
        <v>0</v>
      </c>
      <c r="AG451" s="47"/>
      <c r="AH451" s="47"/>
      <c r="AI451" s="59"/>
      <c r="AJ451" s="59"/>
      <c r="AK451" s="43"/>
      <c r="AL451" s="76"/>
      <c r="AM451"/>
    </row>
    <row r="452" spans="1:39" s="23" customFormat="1" ht="20.25" hidden="1" customHeight="1">
      <c r="A452" s="145"/>
      <c r="B452" s="1009" t="str">
        <f>AK14</f>
        <v>Fees - not involved</v>
      </c>
      <c r="C452" s="1009"/>
      <c r="D452" s="1009"/>
      <c r="E452" s="1009"/>
      <c r="F452" s="1009"/>
      <c r="G452" s="1009"/>
      <c r="H452" s="1009"/>
      <c r="I452" s="740"/>
      <c r="J452"/>
      <c r="K452"/>
      <c r="L452"/>
      <c r="M452"/>
      <c r="N452"/>
      <c r="O452"/>
      <c r="P452"/>
      <c r="Q452"/>
      <c r="R452"/>
      <c r="S452"/>
      <c r="T452"/>
      <c r="U452"/>
      <c r="X452"/>
      <c r="AB452"/>
      <c r="AC452"/>
      <c r="AF452" s="360" t="s">
        <v>0</v>
      </c>
      <c r="AG452" s="76"/>
      <c r="AH452" s="76"/>
      <c r="AI452" s="59"/>
      <c r="AJ452" s="68"/>
      <c r="AK452" s="63" t="str">
        <f>AK14</f>
        <v>Fees - not involved</v>
      </c>
      <c r="AL452" s="76"/>
    </row>
    <row r="453" spans="1:39" s="375" customFormat="1" ht="14.1" hidden="1" customHeight="1" outlineLevel="1">
      <c r="A453" s="372"/>
      <c r="B453" s="453" t="s">
        <v>0</v>
      </c>
      <c r="C453" s="373" t="s">
        <v>0</v>
      </c>
      <c r="D453" s="373"/>
      <c r="E453" s="373"/>
      <c r="F453" s="381" t="s">
        <v>0</v>
      </c>
      <c r="G453" s="374" t="s">
        <v>56</v>
      </c>
      <c r="H453" s="374" t="s">
        <v>171</v>
      </c>
      <c r="I453" s="740"/>
      <c r="J453"/>
      <c r="K453"/>
      <c r="L453"/>
      <c r="M453"/>
      <c r="N453"/>
      <c r="O453"/>
      <c r="P453"/>
      <c r="Q453"/>
      <c r="R453"/>
      <c r="S453"/>
      <c r="T453"/>
      <c r="U453"/>
      <c r="V453" s="23"/>
      <c r="W453" s="23"/>
      <c r="X453"/>
      <c r="Y453" s="23"/>
      <c r="Z453" s="23"/>
      <c r="AA453" s="23"/>
      <c r="AB453"/>
      <c r="AC453"/>
      <c r="AD453" s="23"/>
      <c r="AE453" s="23"/>
      <c r="AF453" s="377" t="s">
        <v>58</v>
      </c>
      <c r="AG453" s="376"/>
      <c r="AH453" s="376"/>
      <c r="AI453" s="378"/>
      <c r="AJ453" s="379"/>
      <c r="AK453" s="380"/>
      <c r="AL453" s="376"/>
    </row>
    <row r="454" spans="1:39" ht="14.1" hidden="1" customHeight="1" outlineLevel="1">
      <c r="A454" s="145"/>
      <c r="B454" s="382" t="s">
        <v>0</v>
      </c>
      <c r="C454" s="118"/>
      <c r="D454" s="114"/>
      <c r="E454" s="114"/>
      <c r="F454" s="119"/>
      <c r="G454" s="175">
        <f>AG454</f>
        <v>0</v>
      </c>
      <c r="H454" s="186">
        <f>AH454</f>
        <v>0</v>
      </c>
      <c r="I454" s="740"/>
      <c r="AF454" s="360" t="s">
        <v>58</v>
      </c>
      <c r="AG454" s="60">
        <f>G14</f>
        <v>0</v>
      </c>
      <c r="AH454" s="60">
        <f>IF(S.Fee.Involved="N",,S.Notice.SubmitToSOS)</f>
        <v>0</v>
      </c>
      <c r="AI454" s="59"/>
      <c r="AJ454" s="59"/>
      <c r="AK454" s="66"/>
      <c r="AL454" s="76"/>
      <c r="AM454"/>
    </row>
    <row r="455" spans="1:39" ht="6" hidden="1" customHeight="1" outlineLevel="1">
      <c r="A455" s="145"/>
      <c r="B455" s="106"/>
      <c r="C455" s="98"/>
      <c r="D455" s="687"/>
      <c r="E455" s="687"/>
      <c r="F455" s="99"/>
      <c r="G455" s="98"/>
      <c r="H455" s="98"/>
      <c r="I455" s="740"/>
      <c r="AF455" s="361" t="s">
        <v>16</v>
      </c>
      <c r="AG455" s="47"/>
      <c r="AH455" s="47"/>
      <c r="AI455" s="59"/>
      <c r="AJ455" s="59"/>
      <c r="AK455" s="62"/>
      <c r="AL455" s="76"/>
      <c r="AM455"/>
    </row>
    <row r="456" spans="1:39" s="23" customFormat="1" ht="14.1" hidden="1" customHeight="1" outlineLevel="1">
      <c r="A456" s="145"/>
      <c r="B456" s="534" t="s">
        <v>306</v>
      </c>
      <c r="C456" s="508" t="str">
        <f>HYPERLINK("\\deqhq1\Rule_Resources\i\0-VersionHistory.pdf","i")</f>
        <v>i</v>
      </c>
      <c r="D456" s="688"/>
      <c r="E456" s="688"/>
      <c r="F456" s="83"/>
      <c r="G456" s="82"/>
      <c r="H456" s="82"/>
      <c r="I456" s="740"/>
      <c r="J456"/>
      <c r="K456"/>
      <c r="L456"/>
      <c r="M456"/>
      <c r="N456"/>
      <c r="O456"/>
      <c r="P456"/>
      <c r="Q456"/>
      <c r="R456"/>
      <c r="S456"/>
      <c r="T456"/>
      <c r="U456"/>
      <c r="X456"/>
      <c r="AB456"/>
      <c r="AC456"/>
      <c r="AF456" s="361" t="s">
        <v>20</v>
      </c>
      <c r="AG456" s="47"/>
      <c r="AH456" s="47"/>
      <c r="AI456" s="69"/>
      <c r="AJ456" s="69"/>
      <c r="AK456" s="35"/>
      <c r="AL456" s="76"/>
    </row>
    <row r="457" spans="1:39" s="23" customFormat="1" ht="14.1" hidden="1" customHeight="1" outlineLevel="1">
      <c r="A457" s="145"/>
      <c r="B457" s="342" t="str">
        <f>AK457</f>
        <v>Jerry:</v>
      </c>
      <c r="C457" s="196"/>
      <c r="D457" s="702"/>
      <c r="E457" s="702"/>
      <c r="F457" s="191"/>
      <c r="G457" s="192"/>
      <c r="H457" s="193"/>
      <c r="I457" s="740"/>
      <c r="J457"/>
      <c r="K457"/>
      <c r="L457"/>
      <c r="M457"/>
      <c r="N457"/>
      <c r="O457"/>
      <c r="P457"/>
      <c r="Q457"/>
      <c r="R457"/>
      <c r="S457"/>
      <c r="T457"/>
      <c r="U457"/>
      <c r="X457"/>
      <c r="AB457"/>
      <c r="AC457"/>
      <c r="AF457" s="360">
        <f t="shared" ref="AF457:AF463" si="53">IF(S.Fee.Involved="N",0,1)</f>
        <v>0</v>
      </c>
      <c r="AG457" s="58"/>
      <c r="AH457" s="58"/>
      <c r="AI457" s="59"/>
      <c r="AJ457" s="43"/>
      <c r="AK457" s="78" t="str">
        <f>S.Staff.Subject.Expert.FirstName&amp;":"</f>
        <v>Jerry:</v>
      </c>
      <c r="AL457" s="76"/>
    </row>
    <row r="458" spans="1:39" s="23" customFormat="1" ht="14.1" hidden="1" customHeight="1" outlineLevel="1">
      <c r="A458" s="145"/>
      <c r="B458" s="269" t="str">
        <f>AK458</f>
        <v>* devlopes Fee Approval Packet, resources: team and MargaretO</v>
      </c>
      <c r="C458" s="508" t="str">
        <f>HYPERLINK("\\deqhq1\Rule_Resources\i\3-FeeApproval.pdf","i")</f>
        <v>i</v>
      </c>
      <c r="D458" s="283"/>
      <c r="E458" s="283"/>
      <c r="F458" s="573">
        <f>NETWORKDAYS(G458,H458,S.DDL_DEQClosed)</f>
        <v>0</v>
      </c>
      <c r="G458" s="521">
        <f>AG458</f>
        <v>0</v>
      </c>
      <c r="H458" s="521">
        <f>AH458</f>
        <v>0</v>
      </c>
      <c r="I458" s="740"/>
      <c r="J458"/>
      <c r="K458"/>
      <c r="L458"/>
      <c r="M458"/>
      <c r="N458"/>
      <c r="O458"/>
      <c r="P458"/>
      <c r="Q458"/>
      <c r="R458"/>
      <c r="S458"/>
      <c r="T458"/>
      <c r="U458"/>
      <c r="X458"/>
      <c r="AB458"/>
      <c r="AC458"/>
      <c r="AF458" s="360">
        <f t="shared" si="53"/>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29" t="s">
        <v>186</v>
      </c>
      <c r="C459" s="196"/>
      <c r="D459" s="702"/>
      <c r="E459" s="702"/>
      <c r="F459" s="574"/>
      <c r="G459" s="576"/>
      <c r="H459" s="575"/>
      <c r="I459" s="740"/>
      <c r="J459"/>
      <c r="K459"/>
      <c r="L459"/>
      <c r="M459"/>
      <c r="N459"/>
      <c r="O459"/>
      <c r="P459"/>
      <c r="Q459"/>
      <c r="R459"/>
      <c r="S459"/>
      <c r="T459"/>
      <c r="U459"/>
      <c r="X459"/>
      <c r="AB459"/>
      <c r="AC459"/>
      <c r="AF459" s="360">
        <f t="shared" si="53"/>
        <v>0</v>
      </c>
      <c r="AG459" s="58"/>
      <c r="AH459" s="58"/>
      <c r="AI459" s="59"/>
      <c r="AJ459" s="43"/>
      <c r="AK459" s="66"/>
      <c r="AL459" s="76"/>
    </row>
    <row r="460" spans="1:39" s="23" customFormat="1" ht="14.1" hidden="1" customHeight="1" outlineLevel="1">
      <c r="A460" s="145"/>
      <c r="B460" s="430" t="str">
        <f>AK460</f>
        <v xml:space="preserve"> blank row</v>
      </c>
      <c r="C460" s="542" t="s">
        <v>0</v>
      </c>
      <c r="D460" s="283"/>
      <c r="E460" s="745"/>
      <c r="F460" s="497"/>
      <c r="G460" s="497"/>
      <c r="H460" s="577"/>
      <c r="I460" s="740"/>
      <c r="J460"/>
      <c r="K460"/>
      <c r="L460"/>
      <c r="M460"/>
      <c r="N460"/>
      <c r="O460"/>
      <c r="P460"/>
      <c r="Q460"/>
      <c r="R460"/>
      <c r="S460"/>
      <c r="T460"/>
      <c r="U460"/>
      <c r="X460"/>
      <c r="AB460"/>
      <c r="AC460"/>
      <c r="AF460" s="360">
        <f t="shared" si="53"/>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0" t="str">
        <f>AK461</f>
        <v xml:space="preserve">  blank row</v>
      </c>
      <c r="C461" s="542" t="s">
        <v>0</v>
      </c>
      <c r="D461" s="283"/>
      <c r="E461" s="745"/>
      <c r="F461" s="497"/>
      <c r="G461" s="497"/>
      <c r="H461" s="577"/>
      <c r="I461" s="740"/>
      <c r="J461"/>
      <c r="K461"/>
      <c r="L461"/>
      <c r="M461"/>
      <c r="N461"/>
      <c r="O461"/>
      <c r="P461"/>
      <c r="Q461"/>
      <c r="R461"/>
      <c r="S461"/>
      <c r="T461"/>
      <c r="U461"/>
      <c r="X461"/>
      <c r="AB461"/>
      <c r="AC461"/>
      <c r="AF461" s="360">
        <f t="shared" si="53"/>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0" t="str">
        <f>AK462</f>
        <v xml:space="preserve"> blank line</v>
      </c>
      <c r="C462" s="508" t="str">
        <f>HYPERLINK("http://www.oregon.gov/DAS/CFO/budgetkickoffmeetings/march2012/107bf21_feeapproval.doc","i")</f>
        <v>i</v>
      </c>
      <c r="D462" s="283"/>
      <c r="E462" s="745"/>
      <c r="F462" s="497"/>
      <c r="G462" s="497"/>
      <c r="H462" s="577"/>
      <c r="I462" s="740"/>
      <c r="J462"/>
      <c r="K462"/>
      <c r="L462"/>
      <c r="M462"/>
      <c r="N462"/>
      <c r="O462"/>
      <c r="P462"/>
      <c r="Q462"/>
      <c r="R462"/>
      <c r="S462"/>
      <c r="T462"/>
      <c r="U462"/>
      <c r="X462"/>
      <c r="AB462"/>
      <c r="AC462"/>
      <c r="AF462" s="360">
        <f t="shared" si="53"/>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0" t="str">
        <f>AK463</f>
        <v xml:space="preserve"> blank row</v>
      </c>
      <c r="C463" s="508" t="str">
        <f>HYPERLINK("http://www.oregon.gov/DAS/CFO/budgetkickoffmeetings/march2012/107bf22feechangedetail.xls","i")</f>
        <v>i</v>
      </c>
      <c r="D463" s="283"/>
      <c r="E463" s="745"/>
      <c r="F463" s="497"/>
      <c r="G463" s="497"/>
      <c r="H463" s="578"/>
      <c r="I463" s="740"/>
      <c r="J463"/>
      <c r="K463"/>
      <c r="L463"/>
      <c r="M463"/>
      <c r="N463"/>
      <c r="O463"/>
      <c r="P463"/>
      <c r="Q463"/>
      <c r="R463"/>
      <c r="S463"/>
      <c r="T463"/>
      <c r="U463"/>
      <c r="X463"/>
      <c r="AB463"/>
      <c r="AC463"/>
      <c r="AF463" s="360">
        <f t="shared" si="53"/>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3" t="s">
        <v>0</v>
      </c>
      <c r="D464" s="283"/>
      <c r="E464" s="283"/>
      <c r="F464" s="573">
        <f>NETWORKDAYS(G464,H464,S.DDL_DEQClosed)</f>
        <v>4</v>
      </c>
      <c r="G464" s="521">
        <f>AG464</f>
        <v>0</v>
      </c>
      <c r="H464" s="521">
        <f>AH464</f>
        <v>5</v>
      </c>
      <c r="I464" s="740"/>
      <c r="J464"/>
      <c r="K464"/>
      <c r="L464"/>
      <c r="M464"/>
      <c r="N464"/>
      <c r="O464"/>
      <c r="P464"/>
      <c r="Q464"/>
      <c r="R464"/>
      <c r="S464"/>
      <c r="T464"/>
      <c r="U464"/>
      <c r="X464"/>
      <c r="AB464"/>
      <c r="AC464"/>
      <c r="AF464" s="360">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2" t="s">
        <v>350</v>
      </c>
      <c r="C465" s="321"/>
      <c r="D465" s="708"/>
      <c r="E465" s="708"/>
      <c r="F465" s="287"/>
      <c r="G465" s="288"/>
      <c r="H465" s="288"/>
      <c r="I465" s="740"/>
      <c r="J465"/>
      <c r="K465"/>
      <c r="L465"/>
      <c r="M465"/>
      <c r="N465"/>
      <c r="O465"/>
      <c r="P465"/>
      <c r="Q465"/>
      <c r="R465"/>
      <c r="S465"/>
      <c r="T465"/>
      <c r="U465"/>
      <c r="X465"/>
      <c r="AB465"/>
      <c r="AC465"/>
      <c r="AF465" s="360">
        <f>IF(S.Fee.Involved="Y",1,0)</f>
        <v>0</v>
      </c>
      <c r="AG465" s="58"/>
      <c r="AH465" s="58"/>
      <c r="AI465" s="59"/>
      <c r="AJ465" s="59"/>
      <c r="AK465" s="74"/>
      <c r="AL465" s="76"/>
    </row>
    <row r="466" spans="1:39" ht="14.1" hidden="1" customHeight="1" outlineLevel="1">
      <c r="A466" s="145"/>
      <c r="B466" s="269" t="str">
        <f t="shared" ref="B466:B471" si="54">AK466</f>
        <v>* initiates Leah's Fee Approval Packet review, addresses suggestions</v>
      </c>
      <c r="C466" s="543" t="s">
        <v>0</v>
      </c>
      <c r="D466" s="283"/>
      <c r="E466" s="745"/>
      <c r="F466"/>
      <c r="G466"/>
      <c r="H466" s="256">
        <f>AH466</f>
        <v>5</v>
      </c>
      <c r="I466" s="740"/>
      <c r="AF466" s="360">
        <f>IF(AND(S.Fee.Involved="Y",S.Fee.DASApprovalRequired="Y"),1,0)</f>
        <v>0</v>
      </c>
      <c r="AG466" s="58"/>
      <c r="AH466" s="60">
        <f>H464</f>
        <v>5</v>
      </c>
      <c r="AI466" s="59"/>
      <c r="AJ466" s="59"/>
      <c r="AK466" s="182" t="str">
        <f>"* initiates "&amp;S.Staff.Program.Mgr.FirstName&amp;"'s Fee Approval Packet review, addresses suggestions"</f>
        <v>* initiates Leah's Fee Approval Packet review, addresses suggestions</v>
      </c>
      <c r="AL466" s="76"/>
      <c r="AM466"/>
    </row>
    <row r="467" spans="1:39" ht="14.1" hidden="1" customHeight="1" outlineLevel="1" thickBot="1">
      <c r="A467" s="145"/>
      <c r="B467" s="341" t="str">
        <f t="shared" si="54"/>
        <v>1st loop of Leah's Fee Approval Packet review and approval</v>
      </c>
      <c r="C467" s="544"/>
      <c r="D467" s="283"/>
      <c r="E467" s="283"/>
      <c r="F467" s="261">
        <f>NETWORKDAYS(G467,H467,S.DDL_DEQClosed)</f>
        <v>-4</v>
      </c>
      <c r="G467" s="256">
        <f>AG467</f>
        <v>5</v>
      </c>
      <c r="H467" s="256">
        <f>AH467</f>
        <v>0</v>
      </c>
      <c r="I467" s="740"/>
      <c r="AF467" s="360">
        <f>IF(AND(S.Fee.Involved="Y",S.Fee.DASApprovalRequired="Y"),1,0)</f>
        <v>0</v>
      </c>
      <c r="AG467" s="60">
        <f>H466</f>
        <v>5</v>
      </c>
      <c r="AH467" s="60">
        <f>S.Fee.BANNER.End</f>
        <v>0</v>
      </c>
      <c r="AI467" s="59"/>
      <c r="AJ467" s="59"/>
      <c r="AK467" s="182" t="str">
        <f>"1st loop of "&amp;S.Staff.Program.Mgr.FirstName&amp;"'s Fee Approval Packet review and approval"</f>
        <v>1st loop of Leah's Fee Approval Packet review and approval</v>
      </c>
      <c r="AL467" s="76"/>
      <c r="AM467"/>
    </row>
    <row r="468" spans="1:39" ht="14.1" hidden="1" customHeight="1" outlineLevel="1" thickBot="1">
      <c r="A468" s="145"/>
      <c r="B468" s="358" t="str">
        <f t="shared" si="54"/>
        <v>2nd loop of Leah's Fee Approval Packet review and approval</v>
      </c>
      <c r="C468" s="477" t="s">
        <v>205</v>
      </c>
      <c r="D468" s="283"/>
      <c r="E468" s="283"/>
      <c r="F468" s="261">
        <f>NETWORKDAYS(G468,H468,S.DDL_DEQClosed)</f>
        <v>0</v>
      </c>
      <c r="G468" s="256">
        <f>AG468</f>
        <v>0</v>
      </c>
      <c r="H468" s="256">
        <f>AH468</f>
        <v>0</v>
      </c>
      <c r="I468" s="740"/>
      <c r="AF468" s="360">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Leah's Fee Approval Packet review and approval</v>
      </c>
      <c r="AL468" s="76"/>
      <c r="AM468"/>
    </row>
    <row r="469" spans="1:39" ht="14.1" hidden="1" customHeight="1" outlineLevel="1" thickBot="1">
      <c r="A469" s="145"/>
      <c r="B469" s="338" t="str">
        <f t="shared" si="54"/>
        <v>3rd loop of Leah's Fee Approval Packet review and approval</v>
      </c>
      <c r="C469" s="535" t="s">
        <v>205</v>
      </c>
      <c r="D469" s="283"/>
      <c r="E469" s="283"/>
      <c r="F469" s="261">
        <f>NETWORKDAYS(G469,H469,S.DDL_DEQClosed)</f>
        <v>0</v>
      </c>
      <c r="G469" s="256">
        <f>AG469</f>
        <v>0</v>
      </c>
      <c r="H469" s="256">
        <f>AH469</f>
        <v>0</v>
      </c>
      <c r="I469" s="740"/>
      <c r="AF469" s="360">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Leah's Fee Approval Packet review and approval</v>
      </c>
      <c r="AL469" s="76"/>
      <c r="AM469"/>
    </row>
    <row r="470" spans="1:39" ht="14.1" hidden="1" customHeight="1" outlineLevel="1" thickBot="1">
      <c r="A470" s="145"/>
      <c r="B470" s="439" t="str">
        <f t="shared" si="54"/>
        <v>4th loop of Leah's Fee Approval Packet review and approval</v>
      </c>
      <c r="C470" s="535" t="s">
        <v>205</v>
      </c>
      <c r="D470" s="283"/>
      <c r="E470" s="283"/>
      <c r="F470" s="261">
        <f>NETWORKDAYS(G470,H470,S.DDL_DEQClosed)</f>
        <v>0</v>
      </c>
      <c r="G470" s="256">
        <f>AG470</f>
        <v>0</v>
      </c>
      <c r="H470" s="256">
        <f>AH470</f>
        <v>0</v>
      </c>
      <c r="I470" s="740"/>
      <c r="AF470" s="360">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Leah's Fee Approval Packet review and approval</v>
      </c>
      <c r="AL470" s="76"/>
      <c r="AM470"/>
    </row>
    <row r="471" spans="1:39" ht="14.1" hidden="1" customHeight="1" outlineLevel="1">
      <c r="A471" s="145"/>
      <c r="B471" s="267" t="str">
        <f t="shared" si="54"/>
        <v>AndreaG coordinates:</v>
      </c>
      <c r="C471" s="268"/>
      <c r="D471" s="268"/>
      <c r="E471" s="268"/>
      <c r="F471" s="262"/>
      <c r="G471" s="258"/>
      <c r="H471" s="258"/>
      <c r="I471" s="740"/>
      <c r="AF471" s="360">
        <f t="shared" ref="AF471:AF478" si="55">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124</v>
      </c>
      <c r="C472" s="282" t="s">
        <v>0</v>
      </c>
      <c r="D472" s="283"/>
      <c r="E472" s="745"/>
      <c r="F472"/>
      <c r="G472" s="459"/>
      <c r="H472" s="263">
        <f>AH472</f>
        <v>0</v>
      </c>
      <c r="I472" s="740"/>
      <c r="J472"/>
      <c r="K472"/>
      <c r="L472"/>
      <c r="M472"/>
      <c r="N472"/>
      <c r="O472"/>
      <c r="P472"/>
      <c r="Q472"/>
      <c r="R472"/>
      <c r="S472"/>
      <c r="T472"/>
      <c r="U472"/>
      <c r="V472" s="23"/>
      <c r="W472" s="23"/>
      <c r="X472"/>
      <c r="Y472" s="23"/>
      <c r="Z472" s="23"/>
      <c r="AA472" s="23"/>
      <c r="AB472"/>
      <c r="AC472"/>
      <c r="AD472" s="23"/>
      <c r="AE472" s="23"/>
      <c r="AF472" s="360">
        <f t="shared" si="55"/>
        <v>0</v>
      </c>
      <c r="AG472" s="58"/>
      <c r="AH472" s="60">
        <f>S.Fee.SubmitToDAS</f>
        <v>0</v>
      </c>
      <c r="AI472" s="59"/>
      <c r="AJ472" s="59"/>
      <c r="AK472" s="62"/>
      <c r="AL472" s="76"/>
    </row>
    <row r="473" spans="1:39" s="23" customFormat="1" ht="14.1" hidden="1" customHeight="1" outlineLevel="1">
      <c r="A473" s="145"/>
      <c r="B473" s="270" t="s">
        <v>125</v>
      </c>
      <c r="C473" s="268" t="s">
        <v>0</v>
      </c>
      <c r="D473" s="271"/>
      <c r="E473" s="271"/>
      <c r="F473" s="257" t="s">
        <v>0</v>
      </c>
      <c r="G473" s="258"/>
      <c r="H473" s="258"/>
      <c r="I473" s="740"/>
      <c r="J473"/>
      <c r="K473"/>
      <c r="L473"/>
      <c r="M473"/>
      <c r="N473"/>
      <c r="O473"/>
      <c r="P473"/>
      <c r="Q473"/>
      <c r="R473"/>
      <c r="S473"/>
      <c r="T473"/>
      <c r="U473"/>
      <c r="X473"/>
      <c r="AB473"/>
      <c r="AC473"/>
      <c r="AF473" s="360">
        <f t="shared" si="55"/>
        <v>0</v>
      </c>
      <c r="AG473" s="58" t="s">
        <v>0</v>
      </c>
      <c r="AH473" s="58"/>
      <c r="AI473" s="58"/>
      <c r="AJ473" s="66"/>
      <c r="AK473" s="44"/>
      <c r="AL473" s="76"/>
    </row>
    <row r="474" spans="1:39" s="23" customFormat="1" ht="14.1" hidden="1" customHeight="1" outlineLevel="1">
      <c r="A474" s="145"/>
      <c r="B474" s="272" t="s">
        <v>132</v>
      </c>
      <c r="C474" s="268" t="s">
        <v>0</v>
      </c>
      <c r="D474" s="271"/>
      <c r="E474" s="271"/>
      <c r="F474" s="257" t="s">
        <v>0</v>
      </c>
      <c r="G474" s="258"/>
      <c r="H474" s="258"/>
      <c r="I474" s="740"/>
      <c r="J474"/>
      <c r="K474"/>
      <c r="L474"/>
      <c r="M474"/>
      <c r="N474"/>
      <c r="O474"/>
      <c r="P474"/>
      <c r="Q474"/>
      <c r="R474"/>
      <c r="S474"/>
      <c r="T474"/>
      <c r="U474"/>
      <c r="X474"/>
      <c r="AB474"/>
      <c r="AC474"/>
      <c r="AF474" s="360">
        <f t="shared" si="55"/>
        <v>0</v>
      </c>
      <c r="AG474" s="58" t="s">
        <v>0</v>
      </c>
      <c r="AH474" s="58"/>
      <c r="AI474" s="58"/>
      <c r="AJ474" s="66"/>
      <c r="AK474" s="44"/>
      <c r="AL474" s="76"/>
    </row>
    <row r="475" spans="1:39" ht="14.1" hidden="1" customHeight="1" outlineLevel="1">
      <c r="A475" s="145"/>
      <c r="B475" s="203" t="s">
        <v>220</v>
      </c>
      <c r="C475" s="282" t="s">
        <v>0</v>
      </c>
      <c r="D475" s="283"/>
      <c r="E475" s="745"/>
      <c r="F475"/>
      <c r="G475"/>
      <c r="H475" s="256">
        <f t="shared" ref="H475:H482" si="56">AH475</f>
        <v>0</v>
      </c>
      <c r="I475" s="740"/>
      <c r="AF475" s="360">
        <f t="shared" si="55"/>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57">AK476</f>
        <v>DAS sends Jerry response</v>
      </c>
      <c r="C476" s="282" t="s">
        <v>0</v>
      </c>
      <c r="D476" s="283"/>
      <c r="E476" s="745"/>
      <c r="F476"/>
      <c r="G476"/>
      <c r="H476" s="265">
        <f t="shared" si="56"/>
        <v>0</v>
      </c>
      <c r="I476" s="740"/>
      <c r="J476"/>
      <c r="K476"/>
      <c r="L476"/>
      <c r="M476"/>
      <c r="N476"/>
      <c r="O476"/>
      <c r="P476"/>
      <c r="Q476"/>
      <c r="R476"/>
      <c r="S476"/>
      <c r="T476"/>
      <c r="U476"/>
      <c r="X476"/>
      <c r="AB476"/>
      <c r="AC476"/>
      <c r="AF476" s="360">
        <f t="shared" si="55"/>
        <v>0</v>
      </c>
      <c r="AG476" s="58" t="s">
        <v>0</v>
      </c>
      <c r="AH476" s="60">
        <f>H475</f>
        <v>0</v>
      </c>
      <c r="AI476" s="59"/>
      <c r="AJ476" s="59"/>
      <c r="AK476" s="78" t="str">
        <f>"DAS sends "&amp;S.Staff.Subject.Expert.FirstName&amp;" response"</f>
        <v>DAS sends Jerry response</v>
      </c>
      <c r="AL476" s="76"/>
    </row>
    <row r="477" spans="1:39" s="23" customFormat="1" ht="14.1" hidden="1" customHeight="1" outlineLevel="1">
      <c r="A477" s="145"/>
      <c r="B477" s="204" t="str">
        <f t="shared" si="57"/>
        <v>If denied, Jerry coordinates addressing DAS response</v>
      </c>
      <c r="C477" s="282" t="s">
        <v>0</v>
      </c>
      <c r="D477" s="283"/>
      <c r="E477" s="283"/>
      <c r="F477" s="261">
        <f>NETWORKDAYS(G477,H477,S.DDL_DEQClosed)</f>
        <v>0</v>
      </c>
      <c r="G477" s="256">
        <f t="shared" ref="G477:G482" si="58">AG477</f>
        <v>0</v>
      </c>
      <c r="H477" s="263">
        <f t="shared" si="56"/>
        <v>0</v>
      </c>
      <c r="I477" s="740"/>
      <c r="J477"/>
      <c r="K477"/>
      <c r="L477"/>
      <c r="M477"/>
      <c r="N477"/>
      <c r="O477"/>
      <c r="P477"/>
      <c r="Q477"/>
      <c r="R477"/>
      <c r="S477"/>
      <c r="T477"/>
      <c r="U477"/>
      <c r="X477"/>
      <c r="AB477"/>
      <c r="AC477"/>
      <c r="AF477" s="360">
        <f t="shared" si="55"/>
        <v>0</v>
      </c>
      <c r="AG477" s="60">
        <f>H476</f>
        <v>0</v>
      </c>
      <c r="AH477" s="60">
        <f t="shared" ref="AH477:AH482" si="59">G477</f>
        <v>0</v>
      </c>
      <c r="AI477" s="59"/>
      <c r="AJ477" s="59"/>
      <c r="AK477" s="78" t="str">
        <f>"If denied, "&amp;S.Staff.Subject.Expert.FirstName&amp;" coordinates addressing DAS response"</f>
        <v>If denied, Jerry coordinates addressing DAS response</v>
      </c>
      <c r="AL477" s="76"/>
    </row>
    <row r="478" spans="1:39" ht="14.1" hidden="1" customHeight="1" outlineLevel="1" thickBot="1">
      <c r="A478" s="145"/>
      <c r="B478" s="341" t="str">
        <f t="shared" si="57"/>
        <v>1st loop of Leah's approval of response to DAS denial</v>
      </c>
      <c r="C478" s="537" t="s">
        <v>0</v>
      </c>
      <c r="D478" s="283"/>
      <c r="E478" s="283"/>
      <c r="F478" s="261">
        <f>NETWORKDAYS(G478,H478,S.DDL_DEQClosed)</f>
        <v>0</v>
      </c>
      <c r="G478" s="256">
        <f t="shared" si="58"/>
        <v>0</v>
      </c>
      <c r="H478" s="256">
        <f t="shared" si="56"/>
        <v>0</v>
      </c>
      <c r="I478" s="740"/>
      <c r="AF478" s="360">
        <f t="shared" si="55"/>
        <v>0</v>
      </c>
      <c r="AG478" s="60">
        <f>H476</f>
        <v>0</v>
      </c>
      <c r="AH478" s="60">
        <f t="shared" si="59"/>
        <v>0</v>
      </c>
      <c r="AI478" s="59"/>
      <c r="AJ478" s="59"/>
      <c r="AK478" s="182" t="str">
        <f>"1st loop of "&amp;S.Staff.Program.Mgr.FirstName&amp;"'s approval of response to DAS denial"</f>
        <v>1st loop of Leah's approval of response to DAS denial</v>
      </c>
      <c r="AL478" s="76"/>
      <c r="AM478"/>
    </row>
    <row r="479" spans="1:39" ht="14.1" hidden="1" customHeight="1" outlineLevel="1" thickBot="1">
      <c r="A479" s="145"/>
      <c r="B479" s="358" t="str">
        <f t="shared" si="57"/>
        <v>2nd loop of Leah's approval of response to DAS denial</v>
      </c>
      <c r="C479" s="477" t="s">
        <v>205</v>
      </c>
      <c r="D479" s="283"/>
      <c r="E479" s="283"/>
      <c r="F479" s="261">
        <f>NETWORKDAYS(G479,H479,S.DDL_DEQClosed)</f>
        <v>0</v>
      </c>
      <c r="G479" s="256">
        <f t="shared" si="58"/>
        <v>0</v>
      </c>
      <c r="H479" s="256">
        <f t="shared" si="56"/>
        <v>0</v>
      </c>
      <c r="I479" s="740"/>
      <c r="AF479" s="360">
        <f>IF(AND(S.Fee.ApproveDASdenialResponseLoop1="Y",S.Fee.Involved="Y",S.Fee.DASApprovalRequired="Y"),1,0)</f>
        <v>0</v>
      </c>
      <c r="AG479" s="60">
        <f>IF(S.Fee.ApproveDASdenialResponseLoop1="N",,H478)</f>
        <v>0</v>
      </c>
      <c r="AH479" s="60">
        <f t="shared" si="59"/>
        <v>0</v>
      </c>
      <c r="AI479" s="59"/>
      <c r="AJ479" s="59"/>
      <c r="AK479" s="182" t="str">
        <f>"2nd loop of "&amp;S.Staff.Program.Mgr.FirstName&amp;"'s approval of response to DAS denial"</f>
        <v>2nd loop of Leah's approval of response to DAS denial</v>
      </c>
      <c r="AL479" s="76"/>
      <c r="AM479"/>
    </row>
    <row r="480" spans="1:39" ht="14.1" hidden="1" customHeight="1" outlineLevel="1" thickBot="1">
      <c r="A480" s="145"/>
      <c r="B480" s="338" t="str">
        <f t="shared" si="57"/>
        <v>3rd loop of Leah's approval of response to DAS denial</v>
      </c>
      <c r="C480" s="477" t="s">
        <v>205</v>
      </c>
      <c r="D480" s="283"/>
      <c r="E480" s="283"/>
      <c r="F480" s="261">
        <f>NETWORKDAYS(G480,H480,S.DDL_DEQClosed)</f>
        <v>0</v>
      </c>
      <c r="G480" s="256">
        <f t="shared" si="58"/>
        <v>0</v>
      </c>
      <c r="H480" s="256">
        <f t="shared" si="56"/>
        <v>0</v>
      </c>
      <c r="I480" s="740"/>
      <c r="AF480" s="360">
        <f>IF(AND(S.Fee.ApproveDASdenialResponseLoop2="Y",S.Fee.Involved="Y",S.Fee.DASApprovalRequired="Y"),1,0)</f>
        <v>0</v>
      </c>
      <c r="AG480" s="60">
        <f>IF(S.Fee.ApproveDASdenialResponseLoop2="N",,H479)</f>
        <v>0</v>
      </c>
      <c r="AH480" s="60">
        <f t="shared" si="59"/>
        <v>0</v>
      </c>
      <c r="AI480" s="59"/>
      <c r="AJ480" s="59"/>
      <c r="AK480" s="182" t="str">
        <f>"3rd loop of "&amp;S.Staff.Program.Mgr.FirstName&amp;"'s approval of response to DAS denial"</f>
        <v>3rd loop of Leah's approval of response to DAS denial</v>
      </c>
      <c r="AL480" s="76"/>
      <c r="AM480"/>
    </row>
    <row r="481" spans="1:39" ht="14.1" hidden="1" customHeight="1" outlineLevel="1" thickBot="1">
      <c r="A481" s="145"/>
      <c r="B481" s="439" t="str">
        <f t="shared" si="57"/>
        <v>4th loop of Leah's approval of response to DAS denial</v>
      </c>
      <c r="C481" s="477" t="s">
        <v>205</v>
      </c>
      <c r="D481" s="283"/>
      <c r="E481" s="283"/>
      <c r="F481" s="261">
        <f>NETWORKDAYS(G481,H481,S.DDL_DEQClosed)</f>
        <v>0</v>
      </c>
      <c r="G481" s="256">
        <f t="shared" si="58"/>
        <v>0</v>
      </c>
      <c r="H481" s="256">
        <f t="shared" si="56"/>
        <v>0</v>
      </c>
      <c r="I481" s="740"/>
      <c r="AF481" s="360">
        <f>IF(AND(S.Fee.ApproveDASdenialResponseLoop4="Y",S.Fee.Involved="Y",S.Fee.DASApprovalRequired="Y"),1,0)</f>
        <v>0</v>
      </c>
      <c r="AG481" s="60">
        <f>IF(S.Fee.ApproveDASdenialResponseLoop4="N",,H480)</f>
        <v>0</v>
      </c>
      <c r="AH481" s="60">
        <f t="shared" si="59"/>
        <v>0</v>
      </c>
      <c r="AI481" s="59"/>
      <c r="AJ481" s="59"/>
      <c r="AK481" s="182" t="str">
        <f>"4th loop of "&amp;S.Staff.Program.Mgr.FirstName&amp;"'s approval of response to DAS denial"</f>
        <v>4th loop of Leah's approval of response to DAS denial</v>
      </c>
      <c r="AL481" s="76"/>
      <c r="AM481"/>
    </row>
    <row r="482" spans="1:39" s="23" customFormat="1" ht="14.1" hidden="1" customHeight="1" outlineLevel="1">
      <c r="A482" s="145"/>
      <c r="B482" s="276" t="str">
        <f t="shared" si="57"/>
        <v>If approved, Jerry scans and files DAS.PART1.pdf</v>
      </c>
      <c r="C482" s="282" t="s">
        <v>0</v>
      </c>
      <c r="D482" s="283"/>
      <c r="E482" s="745"/>
      <c r="F482"/>
      <c r="G482" s="554">
        <f t="shared" si="58"/>
        <v>0</v>
      </c>
      <c r="H482" s="265">
        <f t="shared" si="56"/>
        <v>0</v>
      </c>
      <c r="I482" s="740"/>
      <c r="J482"/>
      <c r="K482"/>
      <c r="L482"/>
      <c r="M482"/>
      <c r="N482"/>
      <c r="O482"/>
      <c r="P482"/>
      <c r="Q482"/>
      <c r="R482"/>
      <c r="S482"/>
      <c r="T482"/>
      <c r="U482"/>
      <c r="X482"/>
      <c r="AB482"/>
      <c r="AC482"/>
      <c r="AF482" s="360">
        <f>IF(AND(S.Fee.Involved="Y",S.Fee.DASApprovalRequired="Y"),1,0)</f>
        <v>0</v>
      </c>
      <c r="AG482" s="60">
        <f>H476</f>
        <v>0</v>
      </c>
      <c r="AH482" s="60">
        <f t="shared" si="59"/>
        <v>0</v>
      </c>
      <c r="AI482" s="59"/>
      <c r="AJ482" s="59"/>
      <c r="AK482" s="63" t="str">
        <f>"If approved, "&amp;S.Staff.Subject.Expert.FirstName&amp;" scans and files DAS.PART1.pdf"</f>
        <v>If approved, Jerry scans and files DAS.PART1.pdf</v>
      </c>
      <c r="AL482" s="76"/>
    </row>
    <row r="483" spans="1:39" s="23" customFormat="1" ht="14.1" hidden="1" customHeight="1" outlineLevel="1">
      <c r="A483" s="145"/>
      <c r="B483" s="273" t="s">
        <v>126</v>
      </c>
      <c r="C483" s="268" t="s">
        <v>0</v>
      </c>
      <c r="D483" s="274"/>
      <c r="E483" s="274"/>
      <c r="F483" s="257" t="s">
        <v>0</v>
      </c>
      <c r="G483" s="258"/>
      <c r="H483" s="258"/>
      <c r="I483" s="740"/>
      <c r="J483"/>
      <c r="K483"/>
      <c r="L483"/>
      <c r="M483"/>
      <c r="N483"/>
      <c r="O483"/>
      <c r="P483"/>
      <c r="Q483"/>
      <c r="R483"/>
      <c r="S483"/>
      <c r="T483"/>
      <c r="U483"/>
      <c r="X483"/>
      <c r="AB483"/>
      <c r="AC483"/>
      <c r="AF483" s="360">
        <f>IF(AND(S.Fee.Involved="Y",S.Fee.DASApprovalRequired="Y"),1,0)</f>
        <v>0</v>
      </c>
      <c r="AG483" s="58" t="s">
        <v>0</v>
      </c>
      <c r="AH483" s="58"/>
      <c r="AI483" s="58"/>
      <c r="AJ483" s="66"/>
      <c r="AK483" s="44"/>
      <c r="AL483" s="76"/>
    </row>
    <row r="484" spans="1:39" s="23" customFormat="1" ht="14.1" hidden="1" customHeight="1" outlineLevel="1">
      <c r="A484" s="145"/>
      <c r="B484" s="205" t="str">
        <f>AK484</f>
        <v>Jerry gathers all fee emails for the Rule Record and saves as:</v>
      </c>
      <c r="C484" s="505" t="str">
        <f>HYPERLINK("\\deqhq1\Rule_Development\Currrent Plan","i")</f>
        <v>i</v>
      </c>
      <c r="D484" s="283"/>
      <c r="E484" s="283"/>
      <c r="F484" s="261">
        <f>NETWORKDAYS(G484,H484,S.DDL_DEQClosed)</f>
        <v>0</v>
      </c>
      <c r="G484" s="256">
        <f>AG484</f>
        <v>0</v>
      </c>
      <c r="H484" s="256">
        <f>AH484</f>
        <v>0</v>
      </c>
      <c r="I484" s="740"/>
      <c r="J484"/>
      <c r="K484"/>
      <c r="L484"/>
      <c r="M484"/>
      <c r="N484"/>
      <c r="O484"/>
      <c r="P484"/>
      <c r="Q484"/>
      <c r="R484"/>
      <c r="S484"/>
      <c r="T484"/>
      <c r="U484"/>
      <c r="X484"/>
      <c r="AB484"/>
      <c r="AC484"/>
      <c r="AF484" s="360">
        <f>IF(AND(S.Fee.Involved="Y",S.Fee.DASApprovalRequired="Y"),1,0)</f>
        <v>0</v>
      </c>
      <c r="AG484" s="60">
        <f>H478</f>
        <v>0</v>
      </c>
      <c r="AH484" s="60">
        <f>G484</f>
        <v>0</v>
      </c>
      <c r="AI484" s="58"/>
      <c r="AJ484" s="66"/>
      <c r="AK484" s="63" t="str">
        <f>S.Staff.Subject.Expert.FirstName&amp;" gathers all fee emails for the Rule Record and saves as:"</f>
        <v>Jerry gathers all fee emails for the Rule Record and saves as:</v>
      </c>
      <c r="AL484" s="76"/>
    </row>
    <row r="485" spans="1:39" s="23" customFormat="1" ht="14.1" hidden="1" customHeight="1" outlineLevel="1">
      <c r="A485" s="145"/>
      <c r="B485" s="277" t="s">
        <v>133</v>
      </c>
      <c r="C485" s="268"/>
      <c r="D485" s="268"/>
      <c r="E485" s="268"/>
      <c r="F485" s="262"/>
      <c r="G485" s="258"/>
      <c r="H485" s="258"/>
      <c r="I485" s="740"/>
      <c r="J485"/>
      <c r="K485"/>
      <c r="L485"/>
      <c r="M485"/>
      <c r="N485"/>
      <c r="O485"/>
      <c r="P485"/>
      <c r="Q485"/>
      <c r="R485"/>
      <c r="S485"/>
      <c r="T485"/>
      <c r="U485"/>
      <c r="X485"/>
      <c r="AB485"/>
      <c r="AC485"/>
      <c r="AF485" s="360">
        <f>IF(S.Fee.Involved="Y",1,0)</f>
        <v>0</v>
      </c>
      <c r="AG485" s="58"/>
      <c r="AH485" s="58"/>
      <c r="AI485" s="58"/>
      <c r="AJ485" s="44"/>
      <c r="AK485" s="58" t="s">
        <v>0</v>
      </c>
      <c r="AL485" s="76"/>
    </row>
    <row r="486" spans="1:39" ht="6" customHeight="1" collapsed="1">
      <c r="A486" s="145"/>
      <c r="B486" s="120"/>
      <c r="C486" s="100"/>
      <c r="D486" s="121"/>
      <c r="E486" s="121"/>
      <c r="F486" s="83"/>
      <c r="G486" s="122"/>
      <c r="H486" s="123"/>
      <c r="I486" s="740"/>
      <c r="AF486" s="360" t="s">
        <v>0</v>
      </c>
      <c r="AG486" s="47"/>
      <c r="AH486" s="47"/>
      <c r="AI486" s="59"/>
      <c r="AJ486" s="59"/>
      <c r="AK486" s="62"/>
      <c r="AL486" s="76"/>
      <c r="AM486"/>
    </row>
    <row r="487" spans="1:39" s="23" customFormat="1" ht="20.25" hidden="1" customHeight="1">
      <c r="A487" s="145"/>
      <c r="B487" s="1014" t="str">
        <f>AK22</f>
        <v>Public Notice - not required for TEMPORARY rules - APA</v>
      </c>
      <c r="C487" s="1014"/>
      <c r="D487" s="1014"/>
      <c r="E487" s="1014"/>
      <c r="F487" s="1014"/>
      <c r="G487" s="1014"/>
      <c r="H487" s="1014"/>
      <c r="I487" s="740"/>
      <c r="J487"/>
      <c r="K487"/>
      <c r="L487"/>
      <c r="M487"/>
      <c r="N487"/>
      <c r="O487"/>
      <c r="P487"/>
      <c r="Q487"/>
      <c r="R487"/>
      <c r="S487"/>
      <c r="T487"/>
      <c r="U487"/>
      <c r="X487"/>
      <c r="AB487"/>
      <c r="AC487"/>
      <c r="AF487" s="360" t="s">
        <v>0</v>
      </c>
      <c r="AG487" s="76"/>
      <c r="AH487" s="76"/>
      <c r="AI487" s="59"/>
      <c r="AJ487" s="68"/>
      <c r="AK487" s="58"/>
      <c r="AL487" s="76"/>
    </row>
    <row r="488" spans="1:39" s="23" customFormat="1" ht="14.1" hidden="1" customHeight="1">
      <c r="A488" s="145"/>
      <c r="B488" s="969" t="str">
        <f>S.General.CodeName</f>
        <v>GHGTemp</v>
      </c>
      <c r="C488" s="86" t="s">
        <v>0</v>
      </c>
      <c r="D488" s="171"/>
      <c r="E488" s="171"/>
      <c r="F488" s="171"/>
      <c r="G488" s="374" t="s">
        <v>56</v>
      </c>
      <c r="H488" s="374" t="s">
        <v>171</v>
      </c>
      <c r="I488" s="740"/>
      <c r="J488"/>
      <c r="K488"/>
      <c r="L488"/>
      <c r="M488"/>
      <c r="N488"/>
      <c r="O488"/>
      <c r="P488"/>
      <c r="Q488"/>
      <c r="R488"/>
      <c r="S488"/>
      <c r="T488"/>
      <c r="U488"/>
      <c r="X488"/>
      <c r="AB488"/>
      <c r="AC488"/>
      <c r="AF488" s="360" t="s">
        <v>0</v>
      </c>
      <c r="AG488" s="76"/>
      <c r="AH488" s="76"/>
      <c r="AI488" s="59"/>
      <c r="AJ488" s="68"/>
      <c r="AK488" s="58"/>
      <c r="AL488" s="76"/>
    </row>
    <row r="489" spans="1:39" ht="14.1" hidden="1" customHeight="1">
      <c r="A489" s="145"/>
      <c r="B489" s="1004" t="s">
        <v>0</v>
      </c>
      <c r="C489" s="1004"/>
      <c r="D489" s="1004"/>
      <c r="E489" s="1004"/>
      <c r="F489" s="1004"/>
      <c r="G489" s="175">
        <f>AG489</f>
        <v>0</v>
      </c>
      <c r="H489" s="126">
        <f>AH489</f>
        <v>0</v>
      </c>
      <c r="I489" s="740"/>
      <c r="AF489" s="360">
        <f>IF(S.Notice.Involved="Y",1,0)</f>
        <v>0</v>
      </c>
      <c r="AG489" s="60">
        <f>S.Notice.BANNER.Begin</f>
        <v>0</v>
      </c>
      <c r="AH489" s="60">
        <f>S.Notice.BANNER.End</f>
        <v>0</v>
      </c>
      <c r="AI489" s="59"/>
      <c r="AJ489" s="59"/>
      <c r="AK489" s="62"/>
      <c r="AL489" s="76"/>
      <c r="AM489"/>
    </row>
    <row r="490" spans="1:39" ht="6" hidden="1" customHeight="1">
      <c r="A490" s="145">
        <v>111</v>
      </c>
      <c r="B490" s="124"/>
      <c r="C490" s="98"/>
      <c r="D490" s="687"/>
      <c r="E490" s="687"/>
      <c r="F490" s="99"/>
      <c r="G490" s="98"/>
      <c r="H490" s="98"/>
      <c r="I490" s="740"/>
      <c r="AF490" s="360" t="s">
        <v>0</v>
      </c>
      <c r="AG490" s="47"/>
      <c r="AH490" s="47"/>
      <c r="AI490" s="47"/>
      <c r="AJ490" s="44"/>
      <c r="AK490" s="44"/>
      <c r="AL490" s="76"/>
      <c r="AM490"/>
    </row>
    <row r="491" spans="1:39" s="23" customFormat="1" ht="14.1" hidden="1" customHeight="1">
      <c r="A491" s="145"/>
      <c r="B491" s="534" t="s">
        <v>776</v>
      </c>
      <c r="C491" s="508" t="str">
        <f>HYPERLINK("\\deqhq1\Rule_Resources\i\0-VersionHistory.pdf","i")</f>
        <v>i</v>
      </c>
      <c r="D491" s="688"/>
      <c r="E491" s="688"/>
      <c r="F491" s="83"/>
      <c r="G491" s="82"/>
      <c r="H491" s="82"/>
      <c r="I491" s="740"/>
      <c r="J491"/>
      <c r="K491"/>
      <c r="L491"/>
      <c r="M491"/>
      <c r="N491"/>
      <c r="O491"/>
      <c r="P491"/>
      <c r="Q491"/>
      <c r="R491"/>
      <c r="S491"/>
      <c r="T491"/>
      <c r="U491"/>
      <c r="X491"/>
      <c r="AB491"/>
      <c r="AC491"/>
      <c r="AF491" s="361" t="s">
        <v>0</v>
      </c>
      <c r="AG491" s="47"/>
      <c r="AH491" s="59"/>
      <c r="AI491" s="69"/>
      <c r="AJ491" s="69"/>
      <c r="AK491" s="35"/>
      <c r="AL491" s="76"/>
    </row>
    <row r="492" spans="1:39" s="23" customFormat="1" ht="20.25" hidden="1" customHeight="1" thickBot="1">
      <c r="A492" s="145"/>
      <c r="B492" s="518" t="s">
        <v>569</v>
      </c>
      <c r="D492" s="701"/>
      <c r="E492" s="701"/>
      <c r="I492" s="740"/>
      <c r="AF492" s="360">
        <f t="shared" ref="AF492:AF510" si="60">IF(S.Notice.Involved="Y",1,0)</f>
        <v>0</v>
      </c>
      <c r="AG492" s="59"/>
      <c r="AH492" s="59"/>
      <c r="AI492" s="59"/>
      <c r="AJ492" s="62"/>
      <c r="AK492" s="345"/>
      <c r="AL492" s="76"/>
    </row>
    <row r="493" spans="1:39" ht="14.1" hidden="1" customHeight="1">
      <c r="A493" s="145"/>
      <c r="B493" s="221" t="str">
        <f>AK493</f>
        <v>Jerry leads drafting of Notice Packet with core team</v>
      </c>
      <c r="C493" s="541" t="s">
        <v>0</v>
      </c>
      <c r="D493" s="710"/>
      <c r="E493" s="881"/>
      <c r="F493" s="23"/>
      <c r="G493" s="933">
        <f>AG493</f>
        <v>0</v>
      </c>
      <c r="H493" s="934">
        <f>AH493</f>
        <v>0</v>
      </c>
      <c r="I493" s="740"/>
      <c r="AF493" s="360">
        <f t="shared" si="60"/>
        <v>0</v>
      </c>
      <c r="AG493" s="562">
        <f>IF(AF493=0,,S.Notice.BANNER.Begin)</f>
        <v>0</v>
      </c>
      <c r="AH493" s="562">
        <f>IF(AF493=0,,WORKDAY(S.Notice.Submit.ToSponsoringMgr-1,-1,S.DDL_DEQClosed))</f>
        <v>0</v>
      </c>
      <c r="AI493" s="47"/>
      <c r="AJ493" s="44"/>
      <c r="AK493" s="182" t="str">
        <f>S.Staff.Subject.Expert.FirstName&amp;" leads drafting of Notice Packet with core team"</f>
        <v>Jerry leads drafting of Notice Packet with core team</v>
      </c>
      <c r="AL493" s="76"/>
      <c r="AM493"/>
    </row>
    <row r="494" spans="1:39" s="23" customFormat="1" ht="14.1" hidden="1" customHeight="1" outlineLevel="1">
      <c r="A494" s="145"/>
      <c r="B494" s="746" t="s">
        <v>570</v>
      </c>
      <c r="D494" s="701"/>
      <c r="E494" s="701"/>
      <c r="G494" s="935"/>
      <c r="H494" s="936"/>
      <c r="I494" s="740"/>
      <c r="AF494" s="360">
        <f t="shared" si="60"/>
        <v>0</v>
      </c>
      <c r="AG494" s="59"/>
      <c r="AH494" s="59"/>
      <c r="AI494" s="59"/>
      <c r="AJ494" s="62"/>
      <c r="AK494" s="345"/>
      <c r="AL494" s="76"/>
    </row>
    <row r="495" spans="1:39" s="23" customFormat="1" ht="14.1" hidden="1" customHeight="1" outlineLevel="1">
      <c r="A495" s="145"/>
      <c r="B495" s="423" t="s">
        <v>588</v>
      </c>
      <c r="D495" s="701"/>
      <c r="E495" s="701"/>
      <c r="G495" s="935"/>
      <c r="H495" s="936"/>
      <c r="I495" s="740"/>
      <c r="AF495" s="360">
        <f t="shared" si="60"/>
        <v>0</v>
      </c>
      <c r="AG495" s="59"/>
      <c r="AH495" s="59"/>
      <c r="AI495" s="59"/>
      <c r="AJ495" s="62"/>
      <c r="AK495" s="345"/>
      <c r="AL495" s="76"/>
    </row>
    <row r="496" spans="1:39" s="23" customFormat="1" ht="14.1" hidden="1" customHeight="1" outlineLevel="1">
      <c r="A496" s="145"/>
      <c r="B496" s="220" t="s">
        <v>576</v>
      </c>
      <c r="C496" s="541" t="s">
        <v>0</v>
      </c>
      <c r="D496"/>
      <c r="F496"/>
      <c r="G496" s="935"/>
      <c r="H496" s="936"/>
      <c r="I496" s="740"/>
      <c r="AF496" s="360">
        <f t="shared" si="60"/>
        <v>0</v>
      </c>
      <c r="AG496" s="58"/>
      <c r="AH496" s="58"/>
      <c r="AI496" s="59"/>
      <c r="AJ496" s="59"/>
      <c r="AK496" s="345"/>
      <c r="AL496" s="76"/>
    </row>
    <row r="497" spans="1:38" s="23" customFormat="1" ht="14.1" hidden="1" customHeight="1" outlineLevel="1">
      <c r="A497" s="145"/>
      <c r="B497" s="302" t="s">
        <v>577</v>
      </c>
      <c r="C497" s="538"/>
      <c r="D497"/>
      <c r="F497"/>
      <c r="G497" s="935"/>
      <c r="H497" s="936"/>
      <c r="I497" s="740"/>
      <c r="AF497" s="360">
        <f t="shared" si="60"/>
        <v>0</v>
      </c>
      <c r="AG497" s="58"/>
      <c r="AH497" s="58"/>
      <c r="AI497" s="59"/>
      <c r="AJ497" s="59"/>
      <c r="AK497" s="44"/>
      <c r="AL497" s="76"/>
    </row>
    <row r="498" spans="1:38" s="23" customFormat="1" ht="14.1" hidden="1" customHeight="1" outlineLevel="1">
      <c r="A498" s="145"/>
      <c r="B498" s="766" t="s">
        <v>613</v>
      </c>
      <c r="C498" s="282" t="s">
        <v>0</v>
      </c>
      <c r="D498"/>
      <c r="G498" s="935"/>
      <c r="H498" s="936"/>
      <c r="I498" s="740"/>
      <c r="AF498" s="360">
        <f t="shared" si="60"/>
        <v>0</v>
      </c>
      <c r="AG498" s="58"/>
      <c r="AH498" s="58"/>
      <c r="AI498" s="59"/>
      <c r="AJ498" s="59"/>
      <c r="AK498" s="44"/>
      <c r="AL498" s="76"/>
    </row>
    <row r="499" spans="1:38" s="23" customFormat="1" ht="14.1" hidden="1" customHeight="1" outlineLevel="1">
      <c r="A499" s="145"/>
      <c r="B499" s="766" t="s">
        <v>614</v>
      </c>
      <c r="C499" s="282" t="s">
        <v>0</v>
      </c>
      <c r="D499"/>
      <c r="G499" s="935"/>
      <c r="H499" s="936"/>
      <c r="I499" s="740"/>
      <c r="AF499" s="360">
        <f t="shared" si="60"/>
        <v>0</v>
      </c>
      <c r="AG499" s="58"/>
      <c r="AH499" s="58"/>
      <c r="AI499" s="59"/>
      <c r="AJ499" s="59"/>
      <c r="AK499" s="44"/>
      <c r="AL499" s="76"/>
    </row>
    <row r="500" spans="1:38" s="23" customFormat="1" ht="14.1" hidden="1" customHeight="1" outlineLevel="1">
      <c r="A500" s="145"/>
      <c r="B500" s="766" t="s">
        <v>615</v>
      </c>
      <c r="C500" s="282" t="s">
        <v>0</v>
      </c>
      <c r="D500"/>
      <c r="G500" s="935"/>
      <c r="H500" s="936"/>
      <c r="I500" s="740"/>
      <c r="AF500" s="360">
        <f t="shared" si="60"/>
        <v>0</v>
      </c>
      <c r="AG500" s="58"/>
      <c r="AH500" s="58"/>
      <c r="AI500" s="59"/>
      <c r="AJ500" s="59"/>
      <c r="AK500" s="44"/>
      <c r="AL500" s="76"/>
    </row>
    <row r="501" spans="1:38" s="23" customFormat="1" ht="14.1" hidden="1" customHeight="1" outlineLevel="1">
      <c r="A501" s="145"/>
      <c r="B501" s="766" t="s">
        <v>616</v>
      </c>
      <c r="C501" s="282" t="s">
        <v>0</v>
      </c>
      <c r="G501" s="935"/>
      <c r="H501" s="936"/>
      <c r="I501" s="740"/>
      <c r="AF501" s="360">
        <f t="shared" si="60"/>
        <v>0</v>
      </c>
      <c r="AG501" s="58"/>
      <c r="AH501" s="58"/>
      <c r="AI501" s="59"/>
      <c r="AJ501" s="59"/>
      <c r="AK501" s="44"/>
      <c r="AL501" s="76"/>
    </row>
    <row r="502" spans="1:38" s="23" customFormat="1" ht="14.1" hidden="1" customHeight="1" outlineLevel="1">
      <c r="A502" s="145"/>
      <c r="B502" s="766" t="s">
        <v>617</v>
      </c>
      <c r="C502" s="282" t="s">
        <v>0</v>
      </c>
      <c r="G502" s="935"/>
      <c r="H502" s="936"/>
      <c r="I502" s="740"/>
      <c r="AF502" s="360">
        <f t="shared" si="60"/>
        <v>0</v>
      </c>
      <c r="AG502" s="58"/>
      <c r="AH502" s="58"/>
      <c r="AI502" s="59"/>
      <c r="AJ502" s="59"/>
      <c r="AK502" s="44"/>
      <c r="AL502" s="76"/>
    </row>
    <row r="503" spans="1:38" s="23" customFormat="1" ht="14.1" hidden="1" customHeight="1" outlineLevel="1">
      <c r="A503" s="145"/>
      <c r="B503" s="766" t="s">
        <v>618</v>
      </c>
      <c r="C503" s="282" t="s">
        <v>0</v>
      </c>
      <c r="D503"/>
      <c r="G503" s="935"/>
      <c r="H503" s="936"/>
      <c r="I503" s="740"/>
      <c r="AF503" s="360">
        <f t="shared" si="60"/>
        <v>0</v>
      </c>
      <c r="AG503" s="58"/>
      <c r="AH503" s="58"/>
      <c r="AI503" s="59"/>
      <c r="AJ503" s="59"/>
      <c r="AK503" s="44"/>
      <c r="AL503" s="76"/>
    </row>
    <row r="504" spans="1:38" s="23" customFormat="1" ht="14.1" hidden="1" customHeight="1" outlineLevel="1">
      <c r="A504" s="145"/>
      <c r="B504" s="766" t="s">
        <v>619</v>
      </c>
      <c r="C504" s="282" t="s">
        <v>0</v>
      </c>
      <c r="D504"/>
      <c r="G504" s="935"/>
      <c r="H504" s="936"/>
      <c r="I504" s="740"/>
      <c r="AF504" s="360">
        <f t="shared" si="60"/>
        <v>0</v>
      </c>
      <c r="AG504" s="58"/>
      <c r="AH504" s="562">
        <f>S.Notice.Submit.ToRG</f>
        <v>0</v>
      </c>
      <c r="AI504" s="59"/>
      <c r="AJ504" s="59"/>
      <c r="AK504" s="44"/>
      <c r="AL504" s="76"/>
    </row>
    <row r="505" spans="1:38" s="23" customFormat="1" ht="14.1" hidden="1" customHeight="1" outlineLevel="1">
      <c r="A505" s="145"/>
      <c r="B505" s="767" t="s">
        <v>620</v>
      </c>
      <c r="C505" s="282" t="s">
        <v>0</v>
      </c>
      <c r="D505"/>
      <c r="G505" s="935"/>
      <c r="H505" s="936"/>
      <c r="I505" s="740"/>
      <c r="AF505" s="360">
        <f t="shared" si="60"/>
        <v>0</v>
      </c>
      <c r="AG505" s="58"/>
      <c r="AH505" s="58"/>
      <c r="AI505" s="59"/>
      <c r="AJ505" s="59"/>
      <c r="AK505" s="44"/>
      <c r="AL505" s="76"/>
    </row>
    <row r="506" spans="1:38" s="23" customFormat="1" ht="14.1" hidden="1" customHeight="1" outlineLevel="1">
      <c r="A506" s="145"/>
      <c r="B506" s="220" t="s">
        <v>578</v>
      </c>
      <c r="C506" s="541" t="s">
        <v>0</v>
      </c>
      <c r="D506"/>
      <c r="F506"/>
      <c r="G506" s="935"/>
      <c r="H506" s="936"/>
      <c r="I506" s="740"/>
      <c r="AF506" s="360">
        <f t="shared" si="60"/>
        <v>0</v>
      </c>
      <c r="AG506" s="58"/>
      <c r="AH506" s="58"/>
      <c r="AI506" s="59"/>
      <c r="AJ506" s="59"/>
      <c r="AK506" s="44"/>
      <c r="AL506" s="76"/>
    </row>
    <row r="507" spans="1:38" s="23" customFormat="1" ht="14.1" hidden="1" customHeight="1" collapsed="1">
      <c r="A507" s="145"/>
      <c r="B507" s="267" t="str">
        <f>AK507</f>
        <v xml:space="preserve">Jerry asks RESOURCES for help and input, especially: </v>
      </c>
      <c r="C507" s="268"/>
      <c r="D507" s="710"/>
      <c r="E507" s="881"/>
      <c r="F507"/>
      <c r="G507" s="937">
        <f t="shared" ref="G507:G520" si="61">AG507</f>
        <v>0</v>
      </c>
      <c r="H507" s="938">
        <f t="shared" ref="H507:H520" si="62">AH507</f>
        <v>0</v>
      </c>
      <c r="I507" s="740"/>
      <c r="AF507" s="360">
        <f t="shared" si="60"/>
        <v>0</v>
      </c>
      <c r="AG507" s="562">
        <f>IF(AF507=0,,S.Notice.BANNER.Begin)</f>
        <v>0</v>
      </c>
      <c r="AH507" s="562">
        <f>IF(AF507=0,,WORKDAY(S.Notice.Submit.ToSponsoringMgr-1,-1,S.DDL_DEQClosed))</f>
        <v>0</v>
      </c>
      <c r="AI507" s="58"/>
      <c r="AJ507" s="44"/>
      <c r="AK507" s="182" t="str">
        <f>S.Staff.Subject.Expert.FirstName&amp;" asks RESOURCES for help and input, especially: "</f>
        <v xml:space="preserve">Jerry asks RESOURCES for help and input, especially: </v>
      </c>
      <c r="AL507" s="76"/>
    </row>
    <row r="508" spans="1:38" s="23" customFormat="1" ht="14.1" hidden="1" customHeight="1">
      <c r="A508" s="145"/>
      <c r="B508" s="799" t="s">
        <v>610</v>
      </c>
      <c r="C508" s="282" t="s">
        <v>0</v>
      </c>
      <c r="G508" s="939"/>
      <c r="H508" s="940"/>
      <c r="I508" s="740"/>
      <c r="AF508" s="360">
        <f t="shared" si="60"/>
        <v>0</v>
      </c>
      <c r="AG508" s="58"/>
      <c r="AH508" s="58"/>
      <c r="AI508" s="59"/>
      <c r="AJ508" s="59"/>
      <c r="AK508" s="44"/>
      <c r="AL508" s="76"/>
    </row>
    <row r="509" spans="1:38" s="23" customFormat="1" ht="14.1" hidden="1" customHeight="1">
      <c r="A509" s="145"/>
      <c r="B509" s="737" t="str">
        <f>AK509</f>
        <v>* Advisory Commiitee not involved</v>
      </c>
      <c r="C509" s="282" t="s">
        <v>0</v>
      </c>
      <c r="D509" s="709"/>
      <c r="E509" s="882"/>
      <c r="F509"/>
      <c r="G509" s="941">
        <f t="shared" si="61"/>
        <v>0</v>
      </c>
      <c r="H509" s="942">
        <f t="shared" si="62"/>
        <v>0</v>
      </c>
      <c r="I509" s="740"/>
      <c r="J509"/>
      <c r="K509"/>
      <c r="L509"/>
      <c r="M509"/>
      <c r="N509"/>
      <c r="O509"/>
      <c r="P509"/>
      <c r="Q509"/>
      <c r="R509"/>
      <c r="S509"/>
      <c r="T509"/>
      <c r="U509"/>
      <c r="X509"/>
      <c r="AB509"/>
      <c r="AC509"/>
      <c r="AF509" s="360">
        <f t="shared" si="60"/>
        <v>0</v>
      </c>
      <c r="AG509" s="562">
        <f>$G$507</f>
        <v>0</v>
      </c>
      <c r="AH509" s="562">
        <f>$H$507</f>
        <v>0</v>
      </c>
      <c r="AI509" s="59"/>
      <c r="AJ509" s="59"/>
      <c r="AK509" s="67" t="str">
        <f>IF(S.AC.CommitteeInvolved="Y","* Advisory Committee-for fiscal impact","* Advisory Commiitee not involved")</f>
        <v>* Advisory Commiitee not involved</v>
      </c>
      <c r="AL509" s="76"/>
    </row>
    <row r="510" spans="1:38" s="23" customFormat="1" ht="14.1" hidden="1" customHeight="1">
      <c r="A510" s="145"/>
      <c r="B510" s="320" t="s">
        <v>621</v>
      </c>
      <c r="C510" s="282" t="s">
        <v>0</v>
      </c>
      <c r="D510" s="709"/>
      <c r="E510" s="882"/>
      <c r="F510"/>
      <c r="G510" s="941">
        <f t="shared" si="61"/>
        <v>0</v>
      </c>
      <c r="H510" s="942">
        <f t="shared" si="62"/>
        <v>0</v>
      </c>
      <c r="I510" s="740"/>
      <c r="J510"/>
      <c r="K510"/>
      <c r="L510"/>
      <c r="M510"/>
      <c r="N510"/>
      <c r="O510"/>
      <c r="P510"/>
      <c r="Q510"/>
      <c r="R510"/>
      <c r="S510"/>
      <c r="T510"/>
      <c r="U510"/>
      <c r="X510"/>
      <c r="AB510"/>
      <c r="AC510"/>
      <c r="AF510" s="360">
        <f t="shared" si="60"/>
        <v>0</v>
      </c>
      <c r="AG510" s="562">
        <f>$G$507</f>
        <v>0</v>
      </c>
      <c r="AH510" s="562">
        <f>$H$507</f>
        <v>0</v>
      </c>
      <c r="AI510" s="59"/>
      <c r="AJ510" s="59"/>
      <c r="AK510" s="44"/>
      <c r="AL510" s="76"/>
    </row>
    <row r="511" spans="1:38" s="23" customFormat="1" ht="14.1" hidden="1" customHeight="1">
      <c r="A511" s="145"/>
      <c r="B511" s="320" t="str">
        <f>AK511</f>
        <v>* SIP not involved</v>
      </c>
      <c r="C511" s="541" t="s">
        <v>0</v>
      </c>
      <c r="D511" s="709"/>
      <c r="E511" s="882"/>
      <c r="F511"/>
      <c r="G511" s="941">
        <f t="shared" si="61"/>
        <v>0</v>
      </c>
      <c r="H511" s="942">
        <f t="shared" si="62"/>
        <v>0</v>
      </c>
      <c r="I511" s="740"/>
      <c r="J511"/>
      <c r="K511"/>
      <c r="L511"/>
      <c r="M511"/>
      <c r="N511"/>
      <c r="O511"/>
      <c r="P511"/>
      <c r="Q511"/>
      <c r="R511"/>
      <c r="S511"/>
      <c r="T511"/>
      <c r="U511"/>
      <c r="X511"/>
      <c r="AB511"/>
      <c r="AC511"/>
      <c r="AF511" s="360">
        <f>IF(AND(S.SIP.Involved="Y",S.Notice.Involved="Y"),1,0)</f>
        <v>0</v>
      </c>
      <c r="AG511" s="562">
        <f>$G$507</f>
        <v>0</v>
      </c>
      <c r="AH511" s="562">
        <f>$H$507</f>
        <v>0</v>
      </c>
      <c r="AI511" s="59"/>
      <c r="AJ511" s="59"/>
      <c r="AK511" s="67" t="str">
        <f>IF(S.SIP.Involved="Y","* "&amp;S.Staff.SIPCo&amp;", for SIP consultation","* SIP not involved")</f>
        <v>* SIP not involved</v>
      </c>
      <c r="AL511" s="76"/>
    </row>
    <row r="512" spans="1:38" s="23" customFormat="1" ht="14.1" hidden="1" customHeight="1">
      <c r="A512" s="145"/>
      <c r="B512" s="220" t="str">
        <f>AK512</f>
        <v>* Leah for direction and subject consultation, especially to ensure drafts:</v>
      </c>
      <c r="C512" s="541" t="s">
        <v>0</v>
      </c>
      <c r="D512" s="710"/>
      <c r="E512" s="881"/>
      <c r="F512"/>
      <c r="G512" s="941">
        <f t="shared" si="61"/>
        <v>0</v>
      </c>
      <c r="H512" s="942">
        <f t="shared" si="62"/>
        <v>0</v>
      </c>
      <c r="I512" s="740"/>
      <c r="AF512" s="360">
        <f t="shared" ref="AF512:AF538" si="63">IF(S.Notice.Involved="Y",1,0)</f>
        <v>0</v>
      </c>
      <c r="AG512" s="562">
        <f>$G$507</f>
        <v>0</v>
      </c>
      <c r="AH512" s="562">
        <f>$H$507</f>
        <v>0</v>
      </c>
      <c r="AI512" s="47"/>
      <c r="AJ512" s="44"/>
      <c r="AK512" s="182" t="str">
        <f>"* "&amp;S.Staff.Program.Mgr.FirstName&amp;" for direction and subject consultation, especially to ensure drafts:"</f>
        <v>* Leah for direction and subject consultation, especially to ensure drafts:</v>
      </c>
      <c r="AL512" s="76"/>
    </row>
    <row r="513" spans="1:38" s="23" customFormat="1" ht="14.1" hidden="1" customHeight="1">
      <c r="A513" s="145"/>
      <c r="B513" s="426" t="s">
        <v>626</v>
      </c>
      <c r="C513" s="282" t="s">
        <v>0</v>
      </c>
      <c r="D513"/>
      <c r="F513"/>
      <c r="G513" s="939"/>
      <c r="H513" s="940"/>
      <c r="I513" s="740"/>
      <c r="AF513" s="360">
        <f t="shared" si="63"/>
        <v>0</v>
      </c>
      <c r="AG513" s="59"/>
      <c r="AH513" s="59"/>
      <c r="AI513" s="59"/>
      <c r="AJ513" s="59"/>
      <c r="AK513" s="44"/>
      <c r="AL513" s="76"/>
    </row>
    <row r="514" spans="1:38" s="23" customFormat="1" ht="14.1" hidden="1" customHeight="1">
      <c r="A514" s="145"/>
      <c r="B514" s="426" t="s">
        <v>627</v>
      </c>
      <c r="C514" s="282" t="s">
        <v>0</v>
      </c>
      <c r="D514"/>
      <c r="F514"/>
      <c r="G514" s="939"/>
      <c r="H514" s="940"/>
      <c r="I514" s="740"/>
      <c r="AF514" s="360">
        <f t="shared" si="63"/>
        <v>0</v>
      </c>
      <c r="AG514" s="59"/>
      <c r="AH514" s="59"/>
      <c r="AI514" s="59"/>
      <c r="AJ514" s="59"/>
      <c r="AK514" s="44"/>
      <c r="AL514" s="76"/>
    </row>
    <row r="515" spans="1:38" s="23" customFormat="1" ht="14.1" hidden="1" customHeight="1">
      <c r="A515" s="145"/>
      <c r="B515" s="269" t="str">
        <f>AK515</f>
        <v>* AndreaG for rulemaking best practices consultation</v>
      </c>
      <c r="C515" s="268"/>
      <c r="D515" s="710"/>
      <c r="E515" s="881"/>
      <c r="F515"/>
      <c r="G515" s="941">
        <f t="shared" si="61"/>
        <v>0</v>
      </c>
      <c r="H515" s="942">
        <f t="shared" si="62"/>
        <v>0</v>
      </c>
      <c r="I515" s="740"/>
      <c r="AF515" s="360">
        <f t="shared" si="63"/>
        <v>0</v>
      </c>
      <c r="AG515" s="562">
        <f t="shared" ref="AG515:AG530" si="64">$G$507</f>
        <v>0</v>
      </c>
      <c r="AH515" s="562">
        <f t="shared" ref="AH515:AH530" si="65">$H$507</f>
        <v>0</v>
      </c>
      <c r="AI515" s="58"/>
      <c r="AJ515" s="44"/>
      <c r="AK515" s="182" t="str">
        <f>"* "&amp;S.Staff.RG.Lead.FirstName&amp;" for rulemaking best practices consultation"</f>
        <v>* AndreaG for rulemaking best practices consultation</v>
      </c>
      <c r="AL515" s="76"/>
    </row>
    <row r="516" spans="1:38" s="23" customFormat="1" ht="14.1" hidden="1" customHeight="1">
      <c r="A516" s="145"/>
      <c r="B516" s="269" t="str">
        <f>AK516</f>
        <v>-blank-</v>
      </c>
      <c r="C516" s="268"/>
      <c r="D516" s="710"/>
      <c r="E516" s="881"/>
      <c r="F516"/>
      <c r="G516" s="941">
        <f t="shared" si="61"/>
        <v>0</v>
      </c>
      <c r="H516" s="942">
        <f t="shared" si="62"/>
        <v>0</v>
      </c>
      <c r="I516" s="740"/>
      <c r="AF516" s="360">
        <f t="shared" si="63"/>
        <v>0</v>
      </c>
      <c r="AG516" s="562">
        <f t="shared" si="64"/>
        <v>0</v>
      </c>
      <c r="AH516" s="562">
        <f t="shared" si="65"/>
        <v>0</v>
      </c>
      <c r="AI516" s="58"/>
      <c r="AJ516" s="44"/>
      <c r="AK516" s="182" t="str">
        <f>IF(S.PublicInformartionOfficer.Involved="Y","* "&amp;S.Staff.PublicAffairsOfficer&amp;" for updates to communication plan, message map, news release","-blank-")</f>
        <v>-blank-</v>
      </c>
      <c r="AL516" s="76"/>
    </row>
    <row r="517" spans="1:38" s="23" customFormat="1" ht="14.1" hidden="1" customHeight="1">
      <c r="A517" s="145"/>
      <c r="B517" s="320" t="str">
        <f>AK517</f>
        <v>* PaulG, if needed for legal consultation</v>
      </c>
      <c r="C517" s="541" t="s">
        <v>0</v>
      </c>
      <c r="D517" s="709"/>
      <c r="E517" s="882"/>
      <c r="F517"/>
      <c r="G517" s="941">
        <f t="shared" si="61"/>
        <v>0</v>
      </c>
      <c r="H517" s="942">
        <f t="shared" si="62"/>
        <v>0</v>
      </c>
      <c r="I517" s="740"/>
      <c r="AF517" s="360">
        <f t="shared" si="63"/>
        <v>0</v>
      </c>
      <c r="AG517" s="562">
        <f t="shared" si="64"/>
        <v>0</v>
      </c>
      <c r="AH517" s="562">
        <f t="shared" si="65"/>
        <v>0</v>
      </c>
      <c r="AI517" s="59"/>
      <c r="AJ517" s="59"/>
      <c r="AK517" s="67" t="str">
        <f>"* "&amp;S.Staff.AAG&amp;", if needed for legal consultation"</f>
        <v>* PaulG, if needed for legal consultation</v>
      </c>
      <c r="AL517" s="76"/>
    </row>
    <row r="518" spans="1:38" s="23" customFormat="1" ht="14.1" hidden="1" customHeight="1" outlineLevel="1">
      <c r="A518" s="145"/>
      <c r="B518" s="738" t="s">
        <v>571</v>
      </c>
      <c r="C518" s="541" t="s">
        <v>0</v>
      </c>
      <c r="D518" s="709"/>
      <c r="E518" s="882"/>
      <c r="F518"/>
      <c r="G518" s="941">
        <f t="shared" si="61"/>
        <v>0</v>
      </c>
      <c r="H518" s="942">
        <f t="shared" si="62"/>
        <v>0</v>
      </c>
      <c r="I518" s="740"/>
      <c r="J518"/>
      <c r="K518"/>
      <c r="L518"/>
      <c r="M518"/>
      <c r="N518"/>
      <c r="O518"/>
      <c r="P518"/>
      <c r="Q518"/>
      <c r="R518"/>
      <c r="S518"/>
      <c r="T518"/>
      <c r="U518"/>
      <c r="X518"/>
      <c r="AB518"/>
      <c r="AC518"/>
      <c r="AF518" s="360">
        <f t="shared" si="63"/>
        <v>0</v>
      </c>
      <c r="AG518" s="562">
        <f t="shared" si="64"/>
        <v>0</v>
      </c>
      <c r="AH518" s="562">
        <f t="shared" si="65"/>
        <v>0</v>
      </c>
      <c r="AI518" s="59"/>
      <c r="AJ518" s="59"/>
      <c r="AK518" s="44"/>
      <c r="AL518" s="76"/>
    </row>
    <row r="519" spans="1:38" s="23" customFormat="1" ht="14.1" hidden="1" customHeight="1" outlineLevel="1">
      <c r="A519" s="145"/>
      <c r="B519" s="738" t="s">
        <v>571</v>
      </c>
      <c r="C519" s="541" t="s">
        <v>0</v>
      </c>
      <c r="D519" s="709"/>
      <c r="E519" s="882"/>
      <c r="F519"/>
      <c r="G519" s="941">
        <f t="shared" si="61"/>
        <v>0</v>
      </c>
      <c r="H519" s="942">
        <f t="shared" si="62"/>
        <v>0</v>
      </c>
      <c r="I519" s="740"/>
      <c r="J519"/>
      <c r="K519"/>
      <c r="L519"/>
      <c r="M519"/>
      <c r="N519"/>
      <c r="O519"/>
      <c r="P519"/>
      <c r="Q519"/>
      <c r="R519"/>
      <c r="S519"/>
      <c r="T519"/>
      <c r="U519"/>
      <c r="X519"/>
      <c r="AB519"/>
      <c r="AC519"/>
      <c r="AF519" s="360">
        <f t="shared" si="63"/>
        <v>0</v>
      </c>
      <c r="AG519" s="562">
        <f t="shared" si="64"/>
        <v>0</v>
      </c>
      <c r="AH519" s="562">
        <f t="shared" si="65"/>
        <v>0</v>
      </c>
      <c r="AI519" s="59"/>
      <c r="AJ519" s="59"/>
      <c r="AK519" s="44"/>
      <c r="AL519" s="76"/>
    </row>
    <row r="520" spans="1:38" s="23" customFormat="1" ht="14.1" hidden="1" customHeight="1" outlineLevel="1">
      <c r="A520" s="145"/>
      <c r="B520" s="738" t="s">
        <v>571</v>
      </c>
      <c r="C520" s="541" t="s">
        <v>0</v>
      </c>
      <c r="D520" s="709"/>
      <c r="E520" s="882"/>
      <c r="F520"/>
      <c r="G520" s="941">
        <f t="shared" si="61"/>
        <v>0</v>
      </c>
      <c r="H520" s="942">
        <f t="shared" si="62"/>
        <v>0</v>
      </c>
      <c r="I520" s="740"/>
      <c r="J520"/>
      <c r="K520"/>
      <c r="L520"/>
      <c r="M520"/>
      <c r="N520"/>
      <c r="O520"/>
      <c r="P520"/>
      <c r="Q520"/>
      <c r="R520"/>
      <c r="S520"/>
      <c r="T520"/>
      <c r="U520"/>
      <c r="X520"/>
      <c r="AB520"/>
      <c r="AC520"/>
      <c r="AF520" s="360">
        <f t="shared" si="63"/>
        <v>0</v>
      </c>
      <c r="AG520" s="562">
        <f t="shared" si="64"/>
        <v>0</v>
      </c>
      <c r="AH520" s="562">
        <f t="shared" si="65"/>
        <v>0</v>
      </c>
      <c r="AI520" s="59"/>
      <c r="AJ520" s="59"/>
      <c r="AK520" s="44"/>
      <c r="AL520" s="76"/>
    </row>
    <row r="521" spans="1:38" s="23" customFormat="1" ht="14.1" hidden="1" customHeight="1" collapsed="1" thickBot="1">
      <c r="A521" s="145"/>
      <c r="B521" s="267" t="str">
        <f>AK521</f>
        <v>Jerry continually refines draft Notice Packet to consider RESOURCES input</v>
      </c>
      <c r="C521" s="268"/>
      <c r="D521" s="710"/>
      <c r="E521" s="881"/>
      <c r="F521"/>
      <c r="G521" s="943">
        <f>AG521</f>
        <v>0</v>
      </c>
      <c r="H521" s="944">
        <f>AH521</f>
        <v>0</v>
      </c>
      <c r="I521" s="740"/>
      <c r="AF521" s="360">
        <f t="shared" ref="AF521:AF531" si="66">IF(S.Notice.Involved="Y",1,0)</f>
        <v>0</v>
      </c>
      <c r="AG521" s="562">
        <f t="shared" si="64"/>
        <v>0</v>
      </c>
      <c r="AH521" s="562">
        <f t="shared" si="65"/>
        <v>0</v>
      </c>
      <c r="AI521" s="58"/>
      <c r="AJ521" s="44"/>
      <c r="AK521" s="182" t="str">
        <f>S.Staff.Subject.Expert.FirstName&amp;" continually refines draft Notice Packet to consider RESOURCES input"</f>
        <v>Jerry continually refines draft Notice Packet to consider RESOURCES input</v>
      </c>
      <c r="AL521" s="76"/>
    </row>
    <row r="522" spans="1:38" s="23" customFormat="1" ht="14.1" hidden="1" customHeight="1" outlineLevel="1">
      <c r="A522" s="145"/>
      <c r="B522" s="320" t="s">
        <v>645</v>
      </c>
      <c r="C522" s="282" t="s">
        <v>0</v>
      </c>
      <c r="D522" s="282" t="s">
        <v>0</v>
      </c>
      <c r="E522" s="282"/>
      <c r="I522" s="740"/>
      <c r="AF522" s="360">
        <f t="shared" si="66"/>
        <v>0</v>
      </c>
      <c r="AG522" s="59"/>
      <c r="AH522" s="59"/>
      <c r="AI522" s="59"/>
      <c r="AJ522" s="59"/>
      <c r="AK522" s="44"/>
      <c r="AL522" s="76"/>
    </row>
    <row r="523" spans="1:38" s="23" customFormat="1" ht="14.1" hidden="1" customHeight="1" outlineLevel="1">
      <c r="A523" s="145"/>
      <c r="B523" s="320" t="str">
        <f>AK523</f>
        <v>* verifies/adjusts prevously scheduled briefing &amp; review with Lydia</v>
      </c>
      <c r="C523" s="282" t="s">
        <v>0</v>
      </c>
      <c r="D523" s="282" t="s">
        <v>0</v>
      </c>
      <c r="E523" s="282"/>
      <c r="F523"/>
      <c r="G523"/>
      <c r="H523"/>
      <c r="I523" s="740"/>
      <c r="J523"/>
      <c r="K523"/>
      <c r="L523"/>
      <c r="M523"/>
      <c r="N523"/>
      <c r="O523"/>
      <c r="P523"/>
      <c r="Q523"/>
      <c r="R523"/>
      <c r="S523"/>
      <c r="T523"/>
      <c r="U523"/>
      <c r="X523"/>
      <c r="AB523"/>
      <c r="AC523"/>
      <c r="AF523" s="360">
        <f t="shared" si="66"/>
        <v>0</v>
      </c>
      <c r="AG523" s="59"/>
      <c r="AH523" s="59"/>
      <c r="AI523" s="59"/>
      <c r="AJ523" s="59"/>
      <c r="AK523" s="182" t="str">
        <f>"* verifies/adjusts prevously scheduled briefing &amp; review with "&amp;S.Staff.Assistant.DA.ShortName</f>
        <v>* verifies/adjusts prevously scheduled briefing &amp; review with Lydia</v>
      </c>
      <c r="AL523" s="76"/>
    </row>
    <row r="524" spans="1:38" s="23" customFormat="1" ht="14.1" hidden="1" customHeight="1" outlineLevel="1">
      <c r="A524" s="145"/>
      <c r="B524" s="269" t="str">
        <f>AK524</f>
        <v>* asks PaulG for legal sufficiency if warranted</v>
      </c>
      <c r="C524" s="268"/>
      <c r="D524" s="282" t="s">
        <v>0</v>
      </c>
      <c r="E524" s="282"/>
      <c r="F524"/>
      <c r="I524" s="740"/>
      <c r="AF524" s="360">
        <f t="shared" si="66"/>
        <v>0</v>
      </c>
      <c r="AG524" s="59"/>
      <c r="AH524" s="59"/>
      <c r="AI524" s="58"/>
      <c r="AJ524" s="44"/>
      <c r="AK524" s="182" t="str">
        <f>"* asks "&amp;S.Staff.AAG&amp;" for legal sufficiency if warranted"</f>
        <v>* asks PaulG for legal sufficiency if warranted</v>
      </c>
      <c r="AL524" s="76"/>
    </row>
    <row r="525" spans="1:38" s="23" customFormat="1" ht="14.1" hidden="1" customHeight="1" outlineLevel="1">
      <c r="A525" s="145"/>
      <c r="B525" s="269" t="str">
        <f>AK525</f>
        <v>* addresses PaulG concerns and discusses with Leah as needed</v>
      </c>
      <c r="C525" s="268"/>
      <c r="D525" s="282" t="s">
        <v>0</v>
      </c>
      <c r="E525" s="282"/>
      <c r="F525"/>
      <c r="I525" s="740"/>
      <c r="AF525" s="360">
        <f t="shared" si="66"/>
        <v>0</v>
      </c>
      <c r="AG525" s="59"/>
      <c r="AH525" s="59"/>
      <c r="AI525" s="58"/>
      <c r="AJ525" s="44"/>
      <c r="AK525" s="182" t="str">
        <f>"* addresses "&amp;S.Staff.AAG&amp;" concerns and discusses with "&amp;S.Staff.Program.Mgr.FirstName&amp;" as needed"</f>
        <v>* addresses PaulG concerns and discusses with Leah as needed</v>
      </c>
      <c r="AL525" s="76"/>
    </row>
    <row r="526" spans="1:38" s="23" customFormat="1" ht="14.1" hidden="1" customHeight="1" outlineLevel="1">
      <c r="A526" s="145"/>
      <c r="B526" s="220" t="str">
        <f>AK526</f>
        <v>* informs Leah about the approach, issues and potential delays</v>
      </c>
      <c r="C526" s="541" t="s">
        <v>0</v>
      </c>
      <c r="I526" s="740"/>
      <c r="AF526" s="360">
        <f t="shared" si="66"/>
        <v>0</v>
      </c>
      <c r="AG526" s="59"/>
      <c r="AH526" s="59"/>
      <c r="AI526" s="47"/>
      <c r="AJ526" s="44"/>
      <c r="AK526" s="182" t="str">
        <f>"* informs "&amp;S.Staff.Program.Mgr.FirstName&amp;" about the approach, issues and potential delays"</f>
        <v>* informs Leah about the approach, issues and potential delays</v>
      </c>
      <c r="AL526" s="76"/>
    </row>
    <row r="527" spans="1:38" s="23" customFormat="1" ht="14.1" hidden="1" customHeight="1" outlineLevel="1">
      <c r="A527" s="145"/>
      <c r="B527" s="220" t="s">
        <v>647</v>
      </c>
      <c r="C527" s="220"/>
      <c r="D527" s="220"/>
      <c r="E527" s="220"/>
      <c r="F527" s="220"/>
      <c r="G527" s="40"/>
      <c r="I527" s="740"/>
      <c r="AF527" s="360">
        <f t="shared" si="66"/>
        <v>0</v>
      </c>
      <c r="AG527" s="59"/>
      <c r="AH527" s="59"/>
      <c r="AI527" s="47"/>
      <c r="AJ527" s="44"/>
      <c r="AK527" s="44"/>
      <c r="AL527" s="76"/>
    </row>
    <row r="528" spans="1:38" s="23" customFormat="1" ht="14.1" hidden="1" customHeight="1" outlineLevel="1">
      <c r="A528" s="145"/>
      <c r="B528" s="220" t="s">
        <v>648</v>
      </c>
      <c r="C528" s="220"/>
      <c r="D528" s="220"/>
      <c r="E528" s="220"/>
      <c r="F528" s="220"/>
      <c r="G528" s="40"/>
      <c r="H528" s="40"/>
      <c r="I528" s="740"/>
      <c r="AF528" s="360">
        <f t="shared" si="66"/>
        <v>0</v>
      </c>
      <c r="AG528" s="59"/>
      <c r="AH528" s="59"/>
      <c r="AI528" s="47"/>
      <c r="AJ528" s="44"/>
      <c r="AK528" s="44"/>
      <c r="AL528" s="76"/>
    </row>
    <row r="529" spans="1:38" s="23" customFormat="1" ht="14.1" hidden="1" customHeight="1" outlineLevel="1">
      <c r="A529" s="145"/>
      <c r="B529" s="269" t="str">
        <f>AK529</f>
        <v>* informs AndreaG about potential delays for and develop contingency, if needed</v>
      </c>
      <c r="C529" s="268"/>
      <c r="D529" s="282" t="s">
        <v>0</v>
      </c>
      <c r="E529" s="282"/>
      <c r="I529" s="740"/>
      <c r="AF529" s="360">
        <f t="shared" si="66"/>
        <v>0</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hidden="1" customHeight="1" thickBot="1">
      <c r="A530" s="145"/>
      <c r="B530" s="774" t="str">
        <f>AK530</f>
        <v>Jerry asks subject contributors, including Leah for consensus on</v>
      </c>
      <c r="C530" s="282" t="s">
        <v>0</v>
      </c>
      <c r="D530" s="710"/>
      <c r="E530" s="881"/>
      <c r="G530" s="943">
        <f>AG530</f>
        <v>0</v>
      </c>
      <c r="H530" s="944">
        <f>AH530</f>
        <v>0</v>
      </c>
      <c r="I530" s="740"/>
      <c r="AF530" s="360">
        <f t="shared" si="66"/>
        <v>0</v>
      </c>
      <c r="AG530" s="562">
        <f t="shared" si="64"/>
        <v>0</v>
      </c>
      <c r="AH530" s="562">
        <f t="shared" si="65"/>
        <v>0</v>
      </c>
      <c r="AI530" s="59"/>
      <c r="AJ530" s="59"/>
      <c r="AK530" s="182" t="str">
        <f>S.Staff.Subject.Expert.FirstName&amp;" asks subject contributors, including "&amp;S.Staff.Program.Mgr.FirstName&amp;" for consensus on"</f>
        <v>Jerry asks subject contributors, including Leah for consensus on</v>
      </c>
      <c r="AL530" s="76"/>
    </row>
    <row r="531" spans="1:38" s="23" customFormat="1" ht="14.1" hidden="1" customHeight="1">
      <c r="A531" s="145"/>
      <c r="B531" s="207" t="s">
        <v>759</v>
      </c>
      <c r="C531" s="220"/>
      <c r="D531" s="220"/>
      <c r="E531" s="220"/>
      <c r="F531" s="220"/>
      <c r="G531" s="40"/>
      <c r="I531" s="740"/>
      <c r="AF531" s="360">
        <f t="shared" si="66"/>
        <v>0</v>
      </c>
      <c r="AG531" s="47"/>
      <c r="AH531" s="47"/>
      <c r="AI531" s="47"/>
      <c r="AJ531" s="44"/>
      <c r="AK531" s="44"/>
      <c r="AL531" s="76"/>
    </row>
    <row r="532" spans="1:38" s="23" customFormat="1" ht="14.1" hidden="1" customHeight="1">
      <c r="A532" s="145"/>
      <c r="B532" s="267" t="str">
        <f>AK532</f>
        <v>Jerry verifies draft rules to ensure:</v>
      </c>
      <c r="C532" s="268"/>
      <c r="D532"/>
      <c r="F532"/>
      <c r="G532"/>
      <c r="H532"/>
      <c r="I532" s="740"/>
      <c r="J532"/>
      <c r="K532"/>
      <c r="L532"/>
      <c r="M532"/>
      <c r="N532"/>
      <c r="O532"/>
      <c r="P532"/>
      <c r="Q532"/>
      <c r="R532"/>
      <c r="S532"/>
      <c r="T532"/>
      <c r="U532"/>
      <c r="X532"/>
      <c r="AB532"/>
      <c r="AC532"/>
      <c r="AF532" s="360">
        <f t="shared" si="63"/>
        <v>0</v>
      </c>
      <c r="AG532" s="58"/>
      <c r="AH532" s="58"/>
      <c r="AI532" s="58"/>
      <c r="AJ532" s="44"/>
      <c r="AK532" s="182" t="str">
        <f>S.Staff.Subject.Expert.FirstName&amp;" verifies draft rules to ensure:"</f>
        <v>Jerry verifies draft rules to ensure:</v>
      </c>
      <c r="AL532" s="76"/>
    </row>
    <row r="533" spans="1:38" s="23" customFormat="1" ht="14.1" hidden="1" customHeight="1" outlineLevel="1">
      <c r="A533" s="145"/>
      <c r="B533" s="302" t="s">
        <v>589</v>
      </c>
      <c r="C533" s="506" t="str">
        <f>HYPERLINK("http://arcweb.sos.state.or.us/pages/rules/oars_300/oar_340/340_tofc.html","i")</f>
        <v>i</v>
      </c>
      <c r="D533" s="283"/>
      <c r="E533" s="745"/>
      <c r="F533"/>
      <c r="G533"/>
      <c r="H533"/>
      <c r="I533" s="740"/>
      <c r="J533"/>
      <c r="K533"/>
      <c r="L533"/>
      <c r="M533"/>
      <c r="N533"/>
      <c r="O533"/>
      <c r="P533"/>
      <c r="Q533"/>
      <c r="R533"/>
      <c r="S533"/>
      <c r="T533"/>
      <c r="U533"/>
      <c r="X533"/>
      <c r="AB533"/>
      <c r="AC533"/>
      <c r="AF533" s="360">
        <f t="shared" si="63"/>
        <v>0</v>
      </c>
      <c r="AG533" s="58"/>
      <c r="AH533" s="58"/>
      <c r="AI533" s="59"/>
      <c r="AJ533" s="59"/>
      <c r="AK533" s="44"/>
      <c r="AL533" s="76"/>
    </row>
    <row r="534" spans="1:38" s="23" customFormat="1" ht="14.1" hidden="1" customHeight="1" outlineLevel="1">
      <c r="A534" s="145"/>
      <c r="B534" s="302" t="s">
        <v>590</v>
      </c>
      <c r="C534" s="538"/>
      <c r="D534" s="283"/>
      <c r="E534" s="745"/>
      <c r="F534"/>
      <c r="I534" s="740"/>
      <c r="AF534" s="360">
        <f t="shared" si="63"/>
        <v>0</v>
      </c>
      <c r="AG534" s="58"/>
      <c r="AH534" s="58"/>
      <c r="AI534" s="59"/>
      <c r="AJ534" s="59"/>
      <c r="AK534" s="44"/>
      <c r="AL534" s="76"/>
    </row>
    <row r="535" spans="1:38" s="23" customFormat="1" ht="14.1" hidden="1" customHeight="1" outlineLevel="1">
      <c r="A535" s="145"/>
      <c r="B535" s="302" t="s">
        <v>572</v>
      </c>
      <c r="C535" s="538"/>
      <c r="D535" s="283"/>
      <c r="E535" s="745"/>
      <c r="F535"/>
      <c r="G535"/>
      <c r="H535"/>
      <c r="I535" s="740"/>
      <c r="J535"/>
      <c r="K535"/>
      <c r="L535"/>
      <c r="M535"/>
      <c r="N535"/>
      <c r="O535"/>
      <c r="P535"/>
      <c r="Q535"/>
      <c r="R535"/>
      <c r="S535"/>
      <c r="T535"/>
      <c r="U535"/>
      <c r="X535"/>
      <c r="AB535"/>
      <c r="AC535"/>
      <c r="AF535" s="360">
        <f t="shared" si="63"/>
        <v>0</v>
      </c>
      <c r="AG535" s="58"/>
      <c r="AH535" s="58"/>
      <c r="AI535" s="59"/>
      <c r="AJ535" s="59"/>
      <c r="AK535" s="44"/>
      <c r="AL535" s="76"/>
    </row>
    <row r="536" spans="1:38" s="23" customFormat="1" ht="14.1" hidden="1" customHeight="1" outlineLevel="1">
      <c r="A536" s="145"/>
      <c r="B536" s="302" t="s">
        <v>573</v>
      </c>
      <c r="C536" s="538"/>
      <c r="D536" s="283"/>
      <c r="E536" s="745"/>
      <c r="F536"/>
      <c r="G536"/>
      <c r="H536"/>
      <c r="I536" s="740"/>
      <c r="J536"/>
      <c r="K536"/>
      <c r="L536"/>
      <c r="M536"/>
      <c r="N536"/>
      <c r="O536"/>
      <c r="P536"/>
      <c r="Q536"/>
      <c r="R536"/>
      <c r="S536"/>
      <c r="T536"/>
      <c r="U536"/>
      <c r="X536"/>
      <c r="AB536"/>
      <c r="AC536"/>
      <c r="AF536" s="360">
        <f t="shared" si="63"/>
        <v>0</v>
      </c>
      <c r="AG536" s="58"/>
      <c r="AH536" s="58"/>
      <c r="AI536" s="59"/>
      <c r="AJ536" s="59"/>
      <c r="AK536" s="44"/>
      <c r="AL536" s="76"/>
    </row>
    <row r="537" spans="1:38" s="23" customFormat="1" ht="14.1" hidden="1" customHeight="1" outlineLevel="1">
      <c r="A537" s="145"/>
      <c r="B537" s="736" t="str">
        <f>AK537</f>
        <v>* SIP rules are not involved</v>
      </c>
      <c r="C537" s="538"/>
      <c r="D537" s="283"/>
      <c r="E537" s="745"/>
      <c r="F537"/>
      <c r="G537"/>
      <c r="H537"/>
      <c r="I537" s="740"/>
      <c r="J537"/>
      <c r="K537"/>
      <c r="L537"/>
      <c r="M537"/>
      <c r="N537"/>
      <c r="O537"/>
      <c r="P537"/>
      <c r="Q537"/>
      <c r="R537"/>
      <c r="S537"/>
      <c r="T537"/>
      <c r="U537"/>
      <c r="X537"/>
      <c r="AB537"/>
      <c r="AC537"/>
      <c r="AF537" s="360">
        <f>IF(AND(S.SIP.Involved="Y",S.Notice.Involved="Y"),1,0)</f>
        <v>0</v>
      </c>
      <c r="AG537" s="58"/>
      <c r="AH537" s="58"/>
      <c r="AI537" s="59"/>
      <c r="AJ537" s="59"/>
      <c r="AK537" s="182" t="str">
        <f>IF(S.SIP.Involved="Y","* SIP note is at bottom of all SIP rules","* SIP rules are not involved")</f>
        <v>* SIP rules are not involved</v>
      </c>
      <c r="AL537" s="76"/>
    </row>
    <row r="538" spans="1:38" s="23" customFormat="1" ht="20.25" hidden="1" customHeight="1">
      <c r="A538" s="145"/>
      <c r="B538" s="518" t="s">
        <v>575</v>
      </c>
      <c r="C538" s="282"/>
      <c r="I538" s="740"/>
      <c r="AF538" s="360">
        <f t="shared" si="63"/>
        <v>0</v>
      </c>
      <c r="AG538" s="58"/>
      <c r="AH538" s="58"/>
      <c r="AI538" s="59"/>
      <c r="AJ538" s="59"/>
      <c r="AK538" s="44"/>
      <c r="AL538" s="76"/>
    </row>
    <row r="539" spans="1:38" s="23" customFormat="1" ht="14.1" hidden="1" customHeight="1">
      <c r="A539" s="145"/>
      <c r="B539" s="284" t="str">
        <f t="shared" ref="B539:B546" si="67">AK539</f>
        <v>Jerry asks Carol to schedule future time on Lydia's calendar for:</v>
      </c>
      <c r="C539" s="1023" t="s">
        <v>624</v>
      </c>
      <c r="D539" s="1023"/>
      <c r="E539" s="1023"/>
      <c r="F539" s="1023"/>
      <c r="G539" s="1024"/>
      <c r="H539" s="256">
        <f>AH539</f>
        <v>0</v>
      </c>
      <c r="I539" s="740"/>
      <c r="J539"/>
      <c r="K539"/>
      <c r="L539"/>
      <c r="M539"/>
      <c r="N539"/>
      <c r="O539"/>
      <c r="P539"/>
      <c r="Q539"/>
      <c r="R539"/>
      <c r="S539"/>
      <c r="T539"/>
      <c r="U539"/>
      <c r="X539"/>
      <c r="AB539"/>
      <c r="AC539"/>
      <c r="AF539" s="360">
        <f t="shared" ref="AF539:AF546" si="68">IF(S.Notice.Involved="Y",1,0)</f>
        <v>0</v>
      </c>
      <c r="AG539" s="58"/>
      <c r="AH539" s="60">
        <f>IF(AF539=0,,WORKDAY(S.Notice.Submit.ToADA-59,-1,S.DDL_DEQClosed))</f>
        <v>0</v>
      </c>
      <c r="AI539" s="59"/>
      <c r="AJ539" s="59"/>
      <c r="AK539" s="182" t="str">
        <f>S.Staff.Subject.Expert.FirstName&amp;" asks "&amp;S.Staff.DA.Support.ForProgram.FirstName&amp;" to schedule future time on "&amp;S.Staff.Assistant.DA.ShortName&amp;"'s calendar for:"</f>
        <v>Jerry asks Carol to schedule future time on Lydia's calendar for:</v>
      </c>
      <c r="AL539" s="76"/>
    </row>
    <row r="540" spans="1:38" s="23" customFormat="1" ht="14.1" hidden="1" customHeight="1">
      <c r="A540" s="145"/>
      <c r="B540" s="320" t="str">
        <f t="shared" si="67"/>
        <v>* Lydia briefing meeting with Jerry, Leah and AndreaG</v>
      </c>
      <c r="C540" s="1023" t="s">
        <v>623</v>
      </c>
      <c r="D540" s="1025"/>
      <c r="E540" s="1025"/>
      <c r="F540" s="1025"/>
      <c r="G540" s="1026"/>
      <c r="H540" s="263">
        <f>AH540</f>
        <v>0</v>
      </c>
      <c r="I540" s="740"/>
      <c r="J540"/>
      <c r="K540"/>
      <c r="L540"/>
      <c r="M540"/>
      <c r="N540"/>
      <c r="O540"/>
      <c r="P540"/>
      <c r="Q540"/>
      <c r="R540"/>
      <c r="S540"/>
      <c r="T540"/>
      <c r="U540"/>
      <c r="X540"/>
      <c r="AB540"/>
      <c r="AC540"/>
      <c r="AF540" s="360">
        <f t="shared" si="68"/>
        <v>0</v>
      </c>
      <c r="AG540" s="58"/>
      <c r="AH540" s="60">
        <f>IF(AF540=0,,WORKDAY(S.Notice.Submit.ToADA,-1,S.DDL_DEQClosed))</f>
        <v>0</v>
      </c>
      <c r="AI540" s="59"/>
      <c r="AJ540" s="59"/>
      <c r="AK540" s="182" t="str">
        <f>"* "&amp;S.Staff.Assistant.DA.ShortName&amp;" briefing meeting with "&amp;S.Staff.Subject.Expert.FirstName&amp;", "&amp;S.Staff.Program.Mgr.FirstName&amp;" and "&amp;S.Staff.RG.Lead.FirstName</f>
        <v>* Lydia briefing meeting with Jerry, Leah and AndreaG</v>
      </c>
      <c r="AL540" s="76"/>
    </row>
    <row r="541" spans="1:38" s="23" customFormat="1" ht="14.1" hidden="1" customHeight="1">
      <c r="A541" s="145"/>
      <c r="B541" s="737" t="str">
        <f t="shared" si="67"/>
        <v>* time on Lydia's calendar to review Notice Packet during preview week</v>
      </c>
      <c r="C541" s="1023" t="s">
        <v>622</v>
      </c>
      <c r="D541" s="1023"/>
      <c r="E541" s="1023"/>
      <c r="F541" s="1023"/>
      <c r="G541" s="1024"/>
      <c r="H541" s="263">
        <f>AH541</f>
        <v>0</v>
      </c>
      <c r="I541" s="740"/>
      <c r="J541"/>
      <c r="K541"/>
      <c r="L541"/>
      <c r="M541"/>
      <c r="N541"/>
      <c r="O541"/>
      <c r="P541"/>
      <c r="Q541"/>
      <c r="R541"/>
      <c r="S541"/>
      <c r="T541"/>
      <c r="U541"/>
      <c r="X541"/>
      <c r="AB541"/>
      <c r="AC541"/>
      <c r="AF541" s="360">
        <f t="shared" si="68"/>
        <v>0</v>
      </c>
      <c r="AG541" s="58"/>
      <c r="AH541" s="60">
        <f>IF(AF541=0,,S.Notice.Submit.ToADA)</f>
        <v>0</v>
      </c>
      <c r="AI541" s="59"/>
      <c r="AJ541" s="59"/>
      <c r="AK541" s="182" t="str">
        <f>"* time on "&amp;S.Staff.Assistant.DA.ShortName&amp;"'s calendar to review Notice Packet during preview week"</f>
        <v>* time on Lydia's calendar to review Notice Packet during preview week</v>
      </c>
      <c r="AL541" s="76"/>
    </row>
    <row r="542" spans="1:38" s="23" customFormat="1" ht="14.1" hidden="1" customHeight="1">
      <c r="A542" s="145"/>
      <c r="B542" s="221" t="str">
        <f t="shared" si="67"/>
        <v>Jerry schedules time on Leah calendar to review Notice Packet</v>
      </c>
      <c r="C542" s="541" t="s">
        <v>0</v>
      </c>
      <c r="D542"/>
      <c r="F542"/>
      <c r="I542" s="740"/>
      <c r="AF542" s="360">
        <f t="shared" si="68"/>
        <v>0</v>
      </c>
      <c r="AG542" s="58"/>
      <c r="AH542" s="58"/>
      <c r="AI542" s="47"/>
      <c r="AJ542" s="44"/>
      <c r="AK542" s="182" t="str">
        <f>S.Staff.Subject.Expert.FirstName&amp;" schedules time on "&amp;S.Staff.Program.Mgr.FirstName&amp;" calendar to review Notice Packet"</f>
        <v>Jerry schedules time on Leah calendar to review Notice Packet</v>
      </c>
      <c r="AL542" s="76"/>
    </row>
    <row r="543" spans="1:38" s="23" customFormat="1" ht="14.1" hidden="1" customHeight="1">
      <c r="A543" s="145"/>
      <c r="B543" s="221" t="str">
        <f>AK543</f>
        <v>Jerry keeps Leah informed about progress</v>
      </c>
      <c r="C543" s="1023" t="s">
        <v>622</v>
      </c>
      <c r="D543" s="1023"/>
      <c r="E543" s="1023"/>
      <c r="F543" s="1023"/>
      <c r="G543" s="1024"/>
      <c r="H543" s="263">
        <f>AH543</f>
        <v>0</v>
      </c>
      <c r="I543" s="740"/>
      <c r="AF543" s="360">
        <f t="shared" si="68"/>
        <v>0</v>
      </c>
      <c r="AG543" s="58"/>
      <c r="AH543" s="60">
        <f>IF(AF543=0,,S.Notice.Submit.ToSponsoringMgr)</f>
        <v>0</v>
      </c>
      <c r="AI543" s="47"/>
      <c r="AJ543" s="44"/>
      <c r="AK543" s="182" t="str">
        <f>S.Staff.Subject.Expert.FirstName&amp;" keeps "&amp;S.Staff.Program.Mgr.FirstName&amp;" informed about progress"</f>
        <v>Jerry keeps Leah informed about progress</v>
      </c>
      <c r="AL543" s="76"/>
    </row>
    <row r="544" spans="1:38" s="23" customFormat="1" ht="14.1" hidden="1" customHeight="1">
      <c r="A544" s="145"/>
      <c r="B544" s="221" t="str">
        <f t="shared" si="67"/>
        <v>Leah keeps Lydia informed about progress</v>
      </c>
      <c r="C544" s="541" t="s">
        <v>0</v>
      </c>
      <c r="D544"/>
      <c r="F544"/>
      <c r="I544" s="740"/>
      <c r="AF544" s="360">
        <f t="shared" si="68"/>
        <v>0</v>
      </c>
      <c r="AG544" s="58"/>
      <c r="AH544" s="58"/>
      <c r="AI544" s="47"/>
      <c r="AJ544" s="44"/>
      <c r="AK544" s="182" t="str">
        <f>S.Staff.Program.Mgr.FirstName&amp;" keeps "&amp;S.Staff.Assistant.DA.ShortName&amp;" informed about progress"</f>
        <v>Leah keeps Lydia informed about progress</v>
      </c>
      <c r="AL544" s="76"/>
    </row>
    <row r="545" spans="1:38" s="23" customFormat="1" ht="14.1" hidden="1" customHeight="1">
      <c r="A545" s="145"/>
      <c r="B545" s="221" t="str">
        <f>AK545</f>
        <v>Lydia keeps Lydia informed about potential risks &amp; delays</v>
      </c>
      <c r="C545" s="541" t="s">
        <v>0</v>
      </c>
      <c r="F545"/>
      <c r="I545" s="740"/>
      <c r="AF545" s="360">
        <f t="shared" si="68"/>
        <v>0</v>
      </c>
      <c r="AG545" s="58"/>
      <c r="AH545" s="58"/>
      <c r="AI545" s="47"/>
      <c r="AJ545" s="44"/>
      <c r="AK545" s="182" t="str">
        <f>S.Staff.Assistant.DA.ShortName&amp;" keeps "&amp;S.Staff.DA.ForProgram.FirstName&amp;" informed about potential risks &amp; delays"</f>
        <v>Lydia keeps Lydia informed about potential risks &amp; delays</v>
      </c>
      <c r="AL545" s="76"/>
    </row>
    <row r="546" spans="1:38" s="23" customFormat="1" ht="14.1" hidden="1" customHeight="1">
      <c r="A546" s="145"/>
      <c r="B546" s="221" t="str">
        <f t="shared" si="67"/>
        <v>AndreaG keeps Lydia informed about risks &amp; progress</v>
      </c>
      <c r="C546" s="541" t="s">
        <v>0</v>
      </c>
      <c r="F546"/>
      <c r="I546" s="740"/>
      <c r="AF546" s="360">
        <f t="shared" si="68"/>
        <v>0</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c r="A547" s="145"/>
      <c r="B547" s="518" t="s">
        <v>591</v>
      </c>
      <c r="C547" s="282"/>
      <c r="F547"/>
      <c r="I547" s="740"/>
      <c r="AF547" s="360">
        <f>IF(AND(S.SIP.Involved="Y",S.Notice.Involved="Y"),1,0)</f>
        <v>0</v>
      </c>
      <c r="AG547" s="58"/>
      <c r="AH547" s="58"/>
      <c r="AI547" s="59"/>
      <c r="AJ547" s="59"/>
      <c r="AK547" s="44"/>
      <c r="AL547" s="76"/>
    </row>
    <row r="548" spans="1:38" s="23" customFormat="1" ht="14.1" hidden="1" customHeight="1" outlineLevel="1" thickBot="1">
      <c r="A548" s="145"/>
      <c r="B548" s="462" t="s">
        <v>280</v>
      </c>
      <c r="C548" s="414" t="s">
        <v>205</v>
      </c>
      <c r="D548" s="283"/>
      <c r="E548" s="745"/>
      <c r="F548"/>
      <c r="G548" s="291">
        <f t="shared" ref="G548:G559" si="69">AG548</f>
        <v>0</v>
      </c>
      <c r="H548" s="291">
        <f t="shared" ref="H548:H559" si="70">AH548</f>
        <v>0</v>
      </c>
      <c r="I548" s="740"/>
      <c r="J548"/>
      <c r="K548"/>
      <c r="L548"/>
      <c r="M548"/>
      <c r="N548"/>
      <c r="O548"/>
      <c r="P548"/>
      <c r="Q548"/>
      <c r="R548"/>
      <c r="S548"/>
      <c r="T548"/>
      <c r="U548"/>
      <c r="X548"/>
      <c r="AB548"/>
      <c r="AC548"/>
      <c r="AF548" s="360">
        <f>IF(S.Notice.CustomReviewLoop1="Y",1,0)</f>
        <v>0</v>
      </c>
      <c r="AG548" s="60">
        <f t="shared" ref="AG548:AG559" si="71">IF(AF548=0,,S.Notice.BANNER.Begin)</f>
        <v>0</v>
      </c>
      <c r="AH548" s="60">
        <f t="shared" ref="AH548:AH559" si="72">IF(AF548=0,,WORKDAY(S.Notice.ADABriefing,-1,S.DDL_DEQClosed))</f>
        <v>0</v>
      </c>
      <c r="AI548" s="59"/>
      <c r="AJ548" s="44"/>
      <c r="AK548" s="44"/>
      <c r="AL548" s="76"/>
    </row>
    <row r="549" spans="1:38" s="23" customFormat="1" ht="14.1" hidden="1" customHeight="1" outlineLevel="1">
      <c r="A549" s="145"/>
      <c r="B549" s="464" t="s">
        <v>241</v>
      </c>
      <c r="C549" s="541" t="s">
        <v>0</v>
      </c>
      <c r="D549" s="711"/>
      <c r="E549" s="883"/>
      <c r="F549"/>
      <c r="G549" s="291">
        <f t="shared" si="69"/>
        <v>0</v>
      </c>
      <c r="H549" s="291">
        <f t="shared" si="70"/>
        <v>0</v>
      </c>
      <c r="I549" s="740"/>
      <c r="J549"/>
      <c r="K549"/>
      <c r="L549"/>
      <c r="M549"/>
      <c r="N549"/>
      <c r="O549"/>
      <c r="P549"/>
      <c r="Q549"/>
      <c r="R549"/>
      <c r="S549"/>
      <c r="T549"/>
      <c r="U549"/>
      <c r="X549"/>
      <c r="AB549"/>
      <c r="AC549"/>
      <c r="AF549" s="360">
        <f>IF(S.Notice.CustomReviewLoop1="Y",1,0)</f>
        <v>0</v>
      </c>
      <c r="AG549" s="60">
        <f t="shared" si="71"/>
        <v>0</v>
      </c>
      <c r="AH549" s="60">
        <f t="shared" si="72"/>
        <v>0</v>
      </c>
      <c r="AI549" s="59"/>
      <c r="AJ549" s="159"/>
      <c r="AK549" s="44"/>
      <c r="AL549" s="76"/>
    </row>
    <row r="550" spans="1:38" s="23" customFormat="1" ht="14.1" hidden="1" customHeight="1" outlineLevel="1">
      <c r="A550" s="145"/>
      <c r="B550" s="464" t="s">
        <v>241</v>
      </c>
      <c r="C550" s="541" t="s">
        <v>0</v>
      </c>
      <c r="D550" s="711"/>
      <c r="E550" s="883"/>
      <c r="F550"/>
      <c r="G550" s="291">
        <f t="shared" si="69"/>
        <v>0</v>
      </c>
      <c r="H550" s="291">
        <f t="shared" si="70"/>
        <v>0</v>
      </c>
      <c r="I550" s="740"/>
      <c r="J550"/>
      <c r="K550"/>
      <c r="L550"/>
      <c r="M550"/>
      <c r="N550"/>
      <c r="O550"/>
      <c r="P550"/>
      <c r="Q550"/>
      <c r="R550"/>
      <c r="S550"/>
      <c r="T550"/>
      <c r="U550"/>
      <c r="X550"/>
      <c r="AB550"/>
      <c r="AC550"/>
      <c r="AF550" s="360">
        <f>IF(S.Notice.CustomReviewLoop1="Y",1,0)</f>
        <v>0</v>
      </c>
      <c r="AG550" s="60">
        <f t="shared" si="71"/>
        <v>0</v>
      </c>
      <c r="AH550" s="60">
        <f t="shared" si="72"/>
        <v>0</v>
      </c>
      <c r="AI550" s="59"/>
      <c r="AJ550" s="159"/>
      <c r="AK550" s="44"/>
      <c r="AL550" s="76"/>
    </row>
    <row r="551" spans="1:38" s="23" customFormat="1" ht="14.1" hidden="1" customHeight="1" outlineLevel="1" thickBot="1">
      <c r="A551" s="145"/>
      <c r="B551" s="464" t="s">
        <v>241</v>
      </c>
      <c r="C551" s="541" t="s">
        <v>0</v>
      </c>
      <c r="D551" s="711"/>
      <c r="E551" s="883"/>
      <c r="F551"/>
      <c r="G551" s="291">
        <f t="shared" si="69"/>
        <v>0</v>
      </c>
      <c r="H551" s="291">
        <f t="shared" si="70"/>
        <v>0</v>
      </c>
      <c r="I551" s="740"/>
      <c r="J551"/>
      <c r="K551"/>
      <c r="L551"/>
      <c r="M551"/>
      <c r="N551"/>
      <c r="O551"/>
      <c r="P551"/>
      <c r="Q551"/>
      <c r="R551"/>
      <c r="S551"/>
      <c r="T551"/>
      <c r="U551"/>
      <c r="X551"/>
      <c r="AB551"/>
      <c r="AC551"/>
      <c r="AF551" s="360">
        <f>IF(S.Notice.CustomReviewLoop1="Y",1,0)</f>
        <v>0</v>
      </c>
      <c r="AG551" s="60">
        <f t="shared" si="71"/>
        <v>0</v>
      </c>
      <c r="AH551" s="60">
        <f t="shared" si="72"/>
        <v>0</v>
      </c>
      <c r="AI551" s="59"/>
      <c r="AJ551" s="159"/>
      <c r="AK551" s="44"/>
      <c r="AL551" s="76"/>
    </row>
    <row r="552" spans="1:38" s="23" customFormat="1" ht="14.1" hidden="1" customHeight="1" outlineLevel="1" thickBot="1">
      <c r="A552" s="145"/>
      <c r="B552" s="465" t="s">
        <v>243</v>
      </c>
      <c r="C552" s="414" t="s">
        <v>205</v>
      </c>
      <c r="D552" s="283"/>
      <c r="E552" s="745"/>
      <c r="F552"/>
      <c r="G552" s="291">
        <f t="shared" si="69"/>
        <v>0</v>
      </c>
      <c r="H552" s="291">
        <f t="shared" si="70"/>
        <v>0</v>
      </c>
      <c r="I552" s="740"/>
      <c r="J552"/>
      <c r="K552"/>
      <c r="L552"/>
      <c r="M552"/>
      <c r="N552"/>
      <c r="O552"/>
      <c r="P552"/>
      <c r="Q552"/>
      <c r="R552"/>
      <c r="S552"/>
      <c r="T552"/>
      <c r="U552"/>
      <c r="X552"/>
      <c r="AB552"/>
      <c r="AC552"/>
      <c r="AF552" s="360">
        <f>IF(AND(S.Notice.CustomReviewLoop1="Y",S.Notice.CustomReviewLoop2="Y"),1,0)</f>
        <v>0</v>
      </c>
      <c r="AG552" s="60">
        <f t="shared" si="71"/>
        <v>0</v>
      </c>
      <c r="AH552" s="60">
        <f t="shared" si="72"/>
        <v>0</v>
      </c>
      <c r="AI552" s="59"/>
      <c r="AJ552" s="44"/>
      <c r="AK552" s="44"/>
      <c r="AL552" s="76"/>
    </row>
    <row r="553" spans="1:38" s="23" customFormat="1" ht="14.1" hidden="1" customHeight="1" outlineLevel="1">
      <c r="A553" s="145"/>
      <c r="B553" s="466" t="s">
        <v>241</v>
      </c>
      <c r="C553" s="541" t="s">
        <v>0</v>
      </c>
      <c r="D553" s="711"/>
      <c r="E553" s="883"/>
      <c r="F553"/>
      <c r="G553" s="291">
        <f t="shared" si="69"/>
        <v>0</v>
      </c>
      <c r="H553" s="291">
        <f t="shared" si="70"/>
        <v>0</v>
      </c>
      <c r="I553" s="740"/>
      <c r="J553"/>
      <c r="K553"/>
      <c r="L553"/>
      <c r="M553"/>
      <c r="N553"/>
      <c r="O553"/>
      <c r="P553"/>
      <c r="Q553"/>
      <c r="R553"/>
      <c r="S553"/>
      <c r="T553"/>
      <c r="U553"/>
      <c r="X553"/>
      <c r="AB553"/>
      <c r="AC553"/>
      <c r="AF553" s="360">
        <f>IF(AND(S.Notice.CustomReviewLoop1="Y",S.Notice.CustomReviewLoop2="Y"),1,0)</f>
        <v>0</v>
      </c>
      <c r="AG553" s="60">
        <f t="shared" si="71"/>
        <v>0</v>
      </c>
      <c r="AH553" s="60">
        <f t="shared" si="72"/>
        <v>0</v>
      </c>
      <c r="AI553" s="59"/>
      <c r="AJ553" s="159"/>
      <c r="AK553" s="44"/>
      <c r="AL553" s="76"/>
    </row>
    <row r="554" spans="1:38" s="23" customFormat="1" ht="14.1" hidden="1" customHeight="1" outlineLevel="1">
      <c r="A554" s="145"/>
      <c r="B554" s="466" t="s">
        <v>241</v>
      </c>
      <c r="C554" s="541" t="s">
        <v>0</v>
      </c>
      <c r="D554" s="711"/>
      <c r="E554" s="883"/>
      <c r="F554"/>
      <c r="G554" s="291">
        <f t="shared" si="69"/>
        <v>0</v>
      </c>
      <c r="H554" s="291">
        <f t="shared" si="70"/>
        <v>0</v>
      </c>
      <c r="I554" s="740"/>
      <c r="J554"/>
      <c r="K554"/>
      <c r="L554"/>
      <c r="M554"/>
      <c r="N554"/>
      <c r="O554"/>
      <c r="P554"/>
      <c r="Q554"/>
      <c r="R554"/>
      <c r="S554"/>
      <c r="T554"/>
      <c r="U554"/>
      <c r="X554"/>
      <c r="AB554"/>
      <c r="AC554"/>
      <c r="AF554" s="360">
        <f>IF(AND(S.Notice.CustomReviewLoop1="Y",S.Notice.CustomReviewLoop2="Y"),1,0)</f>
        <v>0</v>
      </c>
      <c r="AG554" s="60">
        <f t="shared" si="71"/>
        <v>0</v>
      </c>
      <c r="AH554" s="60">
        <f t="shared" si="72"/>
        <v>0</v>
      </c>
      <c r="AI554" s="59"/>
      <c r="AJ554" s="159"/>
      <c r="AK554" s="44"/>
      <c r="AL554" s="76"/>
    </row>
    <row r="555" spans="1:38" s="23" customFormat="1" ht="14.1" hidden="1" customHeight="1" outlineLevel="1" thickBot="1">
      <c r="A555" s="145"/>
      <c r="B555" s="466" t="s">
        <v>241</v>
      </c>
      <c r="C555" s="541" t="s">
        <v>0</v>
      </c>
      <c r="D555" s="711"/>
      <c r="E555" s="883"/>
      <c r="F555"/>
      <c r="G555" s="291">
        <f t="shared" si="69"/>
        <v>0</v>
      </c>
      <c r="H555" s="291">
        <f t="shared" si="70"/>
        <v>0</v>
      </c>
      <c r="I555" s="740"/>
      <c r="J555"/>
      <c r="K555"/>
      <c r="L555"/>
      <c r="M555"/>
      <c r="N555"/>
      <c r="O555"/>
      <c r="P555"/>
      <c r="Q555"/>
      <c r="R555"/>
      <c r="S555"/>
      <c r="T555"/>
      <c r="U555"/>
      <c r="X555"/>
      <c r="AB555"/>
      <c r="AC555"/>
      <c r="AF555" s="360">
        <f>IF(AND(S.Notice.CustomReviewLoop1="Y",S.Notice.CustomReviewLoop2="Y"),1,0)</f>
        <v>0</v>
      </c>
      <c r="AG555" s="60">
        <f t="shared" si="71"/>
        <v>0</v>
      </c>
      <c r="AH555" s="60">
        <f t="shared" si="72"/>
        <v>0</v>
      </c>
      <c r="AI555" s="59"/>
      <c r="AJ555" s="159"/>
      <c r="AK555" s="44"/>
      <c r="AL555" s="76"/>
    </row>
    <row r="556" spans="1:38" s="23" customFormat="1" ht="14.1" hidden="1" customHeight="1" outlineLevel="1" thickBot="1">
      <c r="A556" s="145"/>
      <c r="B556" s="467" t="s">
        <v>244</v>
      </c>
      <c r="C556" s="414" t="s">
        <v>205</v>
      </c>
      <c r="D556" s="283"/>
      <c r="E556" s="745"/>
      <c r="F556"/>
      <c r="G556" s="291">
        <f t="shared" si="69"/>
        <v>0</v>
      </c>
      <c r="H556" s="291">
        <f t="shared" si="70"/>
        <v>0</v>
      </c>
      <c r="I556" s="740"/>
      <c r="J556"/>
      <c r="K556"/>
      <c r="L556"/>
      <c r="M556"/>
      <c r="N556"/>
      <c r="O556"/>
      <c r="P556"/>
      <c r="Q556"/>
      <c r="R556"/>
      <c r="S556"/>
      <c r="T556"/>
      <c r="U556"/>
      <c r="X556"/>
      <c r="AB556"/>
      <c r="AC556"/>
      <c r="AF556" s="360">
        <f>IF(AND(S.Notice.CustomReviewLoop1="Y",S.Notice.CustomReviewLoop2="Y",S.Notice.CustomReviewLoop3="Y"),1,0)</f>
        <v>0</v>
      </c>
      <c r="AG556" s="60">
        <f t="shared" si="71"/>
        <v>0</v>
      </c>
      <c r="AH556" s="60">
        <f t="shared" si="72"/>
        <v>0</v>
      </c>
      <c r="AI556" s="59"/>
      <c r="AJ556" s="44"/>
      <c r="AK556" s="44"/>
      <c r="AL556" s="76"/>
    </row>
    <row r="557" spans="1:38" s="23" customFormat="1" ht="14.1" hidden="1" customHeight="1" outlineLevel="1">
      <c r="A557" s="145"/>
      <c r="B557" s="468" t="s">
        <v>241</v>
      </c>
      <c r="C557" s="541" t="s">
        <v>0</v>
      </c>
      <c r="D557" s="711"/>
      <c r="E557" s="883"/>
      <c r="F557"/>
      <c r="G557" s="291">
        <f t="shared" si="69"/>
        <v>0</v>
      </c>
      <c r="H557" s="291">
        <f t="shared" si="70"/>
        <v>0</v>
      </c>
      <c r="I557" s="740"/>
      <c r="J557"/>
      <c r="K557"/>
      <c r="L557"/>
      <c r="M557"/>
      <c r="N557"/>
      <c r="O557"/>
      <c r="P557"/>
      <c r="Q557"/>
      <c r="R557"/>
      <c r="S557"/>
      <c r="T557"/>
      <c r="U557"/>
      <c r="X557"/>
      <c r="AB557"/>
      <c r="AC557"/>
      <c r="AF557" s="360">
        <f>IF(AND(S.Notice.CustomReviewLoop1="Y",S.Notice.CustomReviewLoop2="Y",S.Notice.CustomReviewLoop3="Y"),1,0)</f>
        <v>0</v>
      </c>
      <c r="AG557" s="60">
        <f t="shared" si="71"/>
        <v>0</v>
      </c>
      <c r="AH557" s="60">
        <f t="shared" si="72"/>
        <v>0</v>
      </c>
      <c r="AI557" s="59"/>
      <c r="AJ557" s="159"/>
      <c r="AK557" s="44"/>
      <c r="AL557" s="76"/>
    </row>
    <row r="558" spans="1:38" s="23" customFormat="1" ht="14.1" hidden="1" customHeight="1" outlineLevel="1">
      <c r="A558" s="145"/>
      <c r="B558" s="468" t="s">
        <v>241</v>
      </c>
      <c r="C558" s="541" t="s">
        <v>0</v>
      </c>
      <c r="D558" s="711"/>
      <c r="E558" s="883"/>
      <c r="F558"/>
      <c r="G558" s="291">
        <f t="shared" si="69"/>
        <v>0</v>
      </c>
      <c r="H558" s="291">
        <f t="shared" si="70"/>
        <v>0</v>
      </c>
      <c r="I558" s="740"/>
      <c r="J558"/>
      <c r="K558"/>
      <c r="L558"/>
      <c r="M558"/>
      <c r="N558"/>
      <c r="O558"/>
      <c r="P558"/>
      <c r="Q558"/>
      <c r="R558"/>
      <c r="S558"/>
      <c r="T558"/>
      <c r="U558"/>
      <c r="X558"/>
      <c r="AB558"/>
      <c r="AC558"/>
      <c r="AF558" s="360">
        <f>IF(AND(S.Notice.CustomReviewLoop1="Y",S.Notice.CustomReviewLoop2="Y",S.Notice.CustomReviewLoop3="Y"),1,0)</f>
        <v>0</v>
      </c>
      <c r="AG558" s="60">
        <f t="shared" si="71"/>
        <v>0</v>
      </c>
      <c r="AH558" s="60">
        <f t="shared" si="72"/>
        <v>0</v>
      </c>
      <c r="AI558" s="59"/>
      <c r="AJ558" s="159"/>
      <c r="AK558" s="44"/>
      <c r="AL558" s="76"/>
    </row>
    <row r="559" spans="1:38" s="23" customFormat="1" ht="14.1" hidden="1" customHeight="1" outlineLevel="1">
      <c r="A559" s="145"/>
      <c r="B559" s="468" t="s">
        <v>241</v>
      </c>
      <c r="C559" s="541" t="s">
        <v>0</v>
      </c>
      <c r="D559" s="711"/>
      <c r="E559" s="883"/>
      <c r="F559"/>
      <c r="G559" s="291">
        <f t="shared" si="69"/>
        <v>0</v>
      </c>
      <c r="H559" s="291">
        <f t="shared" si="70"/>
        <v>0</v>
      </c>
      <c r="I559" s="740"/>
      <c r="J559"/>
      <c r="K559"/>
      <c r="L559"/>
      <c r="M559"/>
      <c r="N559"/>
      <c r="O559"/>
      <c r="P559"/>
      <c r="Q559"/>
      <c r="R559"/>
      <c r="S559"/>
      <c r="T559"/>
      <c r="U559"/>
      <c r="X559"/>
      <c r="AB559"/>
      <c r="AC559"/>
      <c r="AF559" s="360">
        <f>IF(AND(S.Notice.CustomReviewLoop1="Y",S.Notice.CustomReviewLoop2="Y",S.Notice.CustomReviewLoop3="Y"),1,0)</f>
        <v>0</v>
      </c>
      <c r="AG559" s="60">
        <f t="shared" si="71"/>
        <v>0</v>
      </c>
      <c r="AH559" s="60">
        <f t="shared" si="72"/>
        <v>0</v>
      </c>
      <c r="AI559" s="59"/>
      <c r="AJ559" s="159"/>
      <c r="AK559" s="44"/>
      <c r="AL559" s="76"/>
    </row>
    <row r="560" spans="1:38" s="23" customFormat="1" ht="14.1" hidden="1" customHeight="1" outlineLevel="1">
      <c r="A560" s="145"/>
      <c r="B560" s="468"/>
      <c r="C560" s="541"/>
      <c r="F560"/>
      <c r="I560" s="740"/>
      <c r="AF560" s="360">
        <f>IF(AND(S.SIP.Involved="Y",S.Notice.Involved="Y"),1,0)</f>
        <v>0</v>
      </c>
      <c r="AG560" s="58"/>
      <c r="AH560" s="58"/>
      <c r="AI560" s="59"/>
      <c r="AJ560" s="159"/>
      <c r="AK560" s="44"/>
      <c r="AL560" s="76"/>
    </row>
    <row r="561" spans="1:38" s="23" customFormat="1" ht="20.25" hidden="1" customHeight="1" collapsed="1" thickBot="1">
      <c r="A561" s="145"/>
      <c r="B561" s="518" t="s">
        <v>760</v>
      </c>
      <c r="C561" s="282"/>
      <c r="D561" s="40"/>
      <c r="E561" s="40"/>
      <c r="F561" s="40"/>
      <c r="G561" s="40"/>
      <c r="H561" s="40"/>
      <c r="I561" s="740"/>
      <c r="AF561" s="360">
        <f t="shared" ref="AF561:AF572" si="73">IF(S.Notice.Involved="Y",1,0)</f>
        <v>0</v>
      </c>
      <c r="AG561" s="58"/>
      <c r="AH561" s="58"/>
      <c r="AI561" s="59"/>
      <c r="AJ561" s="59"/>
      <c r="AK561" s="44"/>
      <c r="AL561" s="76"/>
    </row>
    <row r="562" spans="1:38" s="23" customFormat="1" ht="30" hidden="1" customHeight="1" thickTop="1">
      <c r="A562" s="145"/>
      <c r="B562" s="774" t="str">
        <f>AK562</f>
        <v>Leah looks at Notice Packet ensure:</v>
      </c>
      <c r="C562" s="282" t="s">
        <v>0</v>
      </c>
      <c r="D562" s="40"/>
      <c r="E562" s="40"/>
      <c r="F562" s="40"/>
      <c r="G562" s="1016" t="s">
        <v>683</v>
      </c>
      <c r="H562" s="1017"/>
      <c r="I562" s="740"/>
      <c r="AE562" s="853"/>
      <c r="AF562" s="360">
        <f t="shared" si="73"/>
        <v>0</v>
      </c>
      <c r="AG562" s="59"/>
      <c r="AH562" s="59"/>
      <c r="AI562" s="59"/>
      <c r="AJ562" s="59"/>
      <c r="AK562" s="182" t="str">
        <f>S.Staff.Program.Mgr.FirstName&amp;" looks at Notice Packet ensure:"</f>
        <v>Leah looks at Notice Packet ensure:</v>
      </c>
      <c r="AL562" s="76"/>
    </row>
    <row r="563" spans="1:38" s="23" customFormat="1" ht="14.1" hidden="1" customHeight="1">
      <c r="A563" s="145"/>
      <c r="B563" s="269" t="s">
        <v>753</v>
      </c>
      <c r="C563" s="282" t="s">
        <v>0</v>
      </c>
      <c r="D563" s="283"/>
      <c r="E563" s="745"/>
      <c r="F563" s="40"/>
      <c r="G563" s="927">
        <f>AG563</f>
        <v>0</v>
      </c>
      <c r="H563" s="928">
        <f>AH563</f>
        <v>0</v>
      </c>
      <c r="I563" s="740"/>
      <c r="AE563" s="853"/>
      <c r="AF563" s="360">
        <f t="shared" si="73"/>
        <v>0</v>
      </c>
      <c r="AG563" s="60">
        <f>S.Notice.Submit.ToSponsoringMgr</f>
        <v>0</v>
      </c>
      <c r="AH563" s="60">
        <f>H23</f>
        <v>0</v>
      </c>
      <c r="AI563" s="59"/>
      <c r="AJ563" s="59"/>
      <c r="AK563" s="44"/>
      <c r="AL563" s="76"/>
    </row>
    <row r="564" spans="1:38" s="23" customFormat="1" ht="14.1" hidden="1" customHeight="1">
      <c r="A564" s="145"/>
      <c r="B564" s="269" t="s">
        <v>754</v>
      </c>
      <c r="C564" s="282" t="s">
        <v>0</v>
      </c>
      <c r="G564" s="929" t="s">
        <v>752</v>
      </c>
      <c r="H564" s="930" t="s">
        <v>751</v>
      </c>
      <c r="I564" s="740"/>
      <c r="AE564" s="853"/>
      <c r="AF564" s="360">
        <f t="shared" si="73"/>
        <v>0</v>
      </c>
      <c r="AG564" s="59"/>
      <c r="AH564" s="59"/>
      <c r="AI564" s="59"/>
      <c r="AJ564" s="59"/>
      <c r="AK564" s="44"/>
      <c r="AL564" s="76"/>
    </row>
    <row r="565" spans="1:38" s="23" customFormat="1" ht="14.1" hidden="1" customHeight="1" thickBot="1">
      <c r="A565" s="145"/>
      <c r="B565" s="269" t="s">
        <v>747</v>
      </c>
      <c r="C565" s="282" t="s">
        <v>0</v>
      </c>
      <c r="D565"/>
      <c r="F565"/>
      <c r="G565" s="931" t="s">
        <v>0</v>
      </c>
      <c r="H565" s="932" t="s">
        <v>0</v>
      </c>
      <c r="I565" s="740"/>
      <c r="AE565" s="853"/>
      <c r="AF565" s="360">
        <f t="shared" si="73"/>
        <v>0</v>
      </c>
      <c r="AG565" s="59"/>
      <c r="AH565" s="59"/>
      <c r="AI565" s="59"/>
      <c r="AJ565" s="59"/>
      <c r="AK565" s="44"/>
      <c r="AL565" s="76"/>
    </row>
    <row r="566" spans="1:38" s="23" customFormat="1" ht="14.1" hidden="1" customHeight="1" thickTop="1">
      <c r="A566" s="145"/>
      <c r="B566" s="267" t="str">
        <f>AK566</f>
        <v>Leah:</v>
      </c>
      <c r="C566" s="282" t="s">
        <v>0</v>
      </c>
      <c r="H566" s="947"/>
      <c r="I566" s="740"/>
      <c r="AF566" s="360">
        <f t="shared" si="73"/>
        <v>0</v>
      </c>
      <c r="AG566" s="59"/>
      <c r="AH566" s="59"/>
      <c r="AI566" s="59"/>
      <c r="AJ566" s="59"/>
      <c r="AK566" s="182" t="str">
        <f>S.Staff.Program.Mgr.FirstName&amp;":"</f>
        <v>Leah:</v>
      </c>
      <c r="AL566" s="76"/>
    </row>
    <row r="567" spans="1:38" s="23" customFormat="1" ht="14.1" hidden="1" customHeight="1">
      <c r="A567" s="145"/>
      <c r="B567" s="269" t="s">
        <v>761</v>
      </c>
      <c r="C567" s="282" t="s">
        <v>0</v>
      </c>
      <c r="G567" s="40"/>
      <c r="H567" s="40"/>
      <c r="I567" s="740"/>
      <c r="AE567" s="40"/>
      <c r="AF567" s="360">
        <f t="shared" si="73"/>
        <v>0</v>
      </c>
      <c r="AG567" s="59"/>
      <c r="AH567" s="59"/>
      <c r="AI567" s="59"/>
      <c r="AJ567" s="59"/>
      <c r="AK567" s="44"/>
      <c r="AL567" s="76"/>
    </row>
    <row r="568" spans="1:38" s="23" customFormat="1" ht="14.1" hidden="1" customHeight="1">
      <c r="A568" s="145"/>
      <c r="B568" s="269" t="str">
        <f>AK568</f>
        <v>* notifies Jerry when complete</v>
      </c>
      <c r="C568" s="282" t="s">
        <v>0</v>
      </c>
      <c r="G568" s="40"/>
      <c r="H568" s="40"/>
      <c r="I568" s="740"/>
      <c r="AE568" s="40"/>
      <c r="AF568" s="360">
        <f t="shared" si="73"/>
        <v>0</v>
      </c>
      <c r="AG568" s="59"/>
      <c r="AH568" s="59"/>
      <c r="AI568" s="59"/>
      <c r="AJ568" s="59"/>
      <c r="AK568" s="182" t="str">
        <f>"* notifies "&amp;S.Staff.Subject.Expert.FirstName&amp;" when complete"</f>
        <v>* notifies Jerry when complete</v>
      </c>
      <c r="AL568" s="76"/>
    </row>
    <row r="569" spans="1:38" s="23" customFormat="1" ht="14.1" hidden="1" customHeight="1">
      <c r="A569" s="145"/>
      <c r="B569" s="774" t="str">
        <f>AK569</f>
        <v>Jerry:</v>
      </c>
      <c r="C569" s="282" t="s">
        <v>0</v>
      </c>
      <c r="D569" s="283"/>
      <c r="E569" s="745"/>
      <c r="G569" s="256">
        <f>AG569</f>
        <v>2</v>
      </c>
      <c r="H569" s="948">
        <f>AH569</f>
        <v>0</v>
      </c>
      <c r="I569" s="740"/>
      <c r="AF569" s="360">
        <f t="shared" si="73"/>
        <v>0</v>
      </c>
      <c r="AG569" s="60">
        <f>WORKDAY(H563,1,S.DDL_DEQClosed)</f>
        <v>2</v>
      </c>
      <c r="AH569" s="60">
        <f>IF(AF569=0,,WORKDAY(S.Notice.Submit.ToRG,-1,S.DDL_DEQClosed))</f>
        <v>0</v>
      </c>
      <c r="AI569" s="59"/>
      <c r="AJ569" s="59"/>
      <c r="AK569" s="182" t="str">
        <f>S.Staff.Subject.Expert.FirstName&amp;":"</f>
        <v>Jerry:</v>
      </c>
      <c r="AL569" s="76"/>
    </row>
    <row r="570" spans="1:38" s="23" customFormat="1" ht="14.1" hidden="1" customHeight="1">
      <c r="A570" s="145"/>
      <c r="B570" s="975" t="str">
        <f>AK570</f>
        <v>* addresses Leah's technical concerns</v>
      </c>
      <c r="C570" s="282" t="s">
        <v>0</v>
      </c>
      <c r="G570" s="40"/>
      <c r="H570" s="40"/>
      <c r="I570" s="740"/>
      <c r="AE570" s="40"/>
      <c r="AF570" s="360">
        <f t="shared" si="73"/>
        <v>0</v>
      </c>
      <c r="AG570" s="59"/>
      <c r="AH570" s="59"/>
      <c r="AI570" s="59"/>
      <c r="AJ570" s="59"/>
      <c r="AK570" s="182" t="str">
        <f>"* addresses "&amp;S.Staff.Program.Mgr.FirstName&amp;"'s technical concerns"</f>
        <v>* addresses Leah's technical concerns</v>
      </c>
      <c r="AL570" s="76"/>
    </row>
    <row r="571" spans="1:38" s="23" customFormat="1" ht="14.1" hidden="1" customHeight="1" thickBot="1">
      <c r="A571" s="145"/>
      <c r="B571" s="269" t="str">
        <f>AK571</f>
        <v>* submits Notice and Proposed Rules to Rule Publication (AndreaG)</v>
      </c>
      <c r="C571" s="282" t="s">
        <v>0</v>
      </c>
      <c r="G571" s="40"/>
      <c r="H571" s="777"/>
      <c r="I571" s="740"/>
      <c r="AE571" s="40"/>
      <c r="AF571" s="360">
        <f t="shared" si="73"/>
        <v>0</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hidden="1" customHeight="1" thickTop="1">
      <c r="A572" s="145"/>
      <c r="B572" s="774" t="str">
        <f>AK572</f>
        <v>AndreaG leads initial Rule Publication work that includes:</v>
      </c>
      <c r="C572" s="268"/>
      <c r="D572" s="40"/>
      <c r="E572" s="40"/>
      <c r="F572"/>
      <c r="G572" s="1012" t="s">
        <v>608</v>
      </c>
      <c r="H572" s="1013"/>
      <c r="I572" s="740"/>
      <c r="AF572" s="360">
        <f t="shared" si="73"/>
        <v>0</v>
      </c>
      <c r="AG572" s="59"/>
      <c r="AH572" s="59"/>
      <c r="AI572" s="58"/>
      <c r="AJ572" s="44"/>
      <c r="AK572" s="803" t="str">
        <f>S.Staff.RG.Lead.FirstName&amp;" leads initial Rule Publication work that includes:"</f>
        <v>AndreaG leads initial Rule Publication work that includes:</v>
      </c>
      <c r="AL572" s="76"/>
    </row>
    <row r="573" spans="1:38" s="23" customFormat="1" ht="14.1" hidden="1" customHeight="1">
      <c r="A573" s="145" t="s">
        <v>0</v>
      </c>
      <c r="B573" s="269" t="s">
        <v>679</v>
      </c>
      <c r="C573" s="268"/>
      <c r="D573" s="710"/>
      <c r="E573" s="881"/>
      <c r="F573"/>
      <c r="G573" s="945">
        <f>AG573</f>
        <v>0</v>
      </c>
      <c r="H573" s="928">
        <f>AH573</f>
        <v>0</v>
      </c>
      <c r="I573" s="740"/>
      <c r="AF573" s="360">
        <f t="shared" ref="AF573:AF580" si="74">IF(S.Notice.Involved="Y",1,0)</f>
        <v>0</v>
      </c>
      <c r="AG573" s="562">
        <f>S.Notice.Submit.ToRG</f>
        <v>0</v>
      </c>
      <c r="AH573" s="562">
        <f>H24</f>
        <v>0</v>
      </c>
      <c r="AI573" s="58"/>
      <c r="AJ573" s="44"/>
      <c r="AK573" s="44"/>
      <c r="AL573" s="76"/>
    </row>
    <row r="574" spans="1:38" s="23" customFormat="1" ht="14.1" hidden="1" customHeight="1" thickBot="1">
      <c r="A574" s="145"/>
      <c r="B574" s="269" t="s">
        <v>605</v>
      </c>
      <c r="C574" s="268"/>
      <c r="D574"/>
      <c r="F574"/>
      <c r="G574" s="953" t="s">
        <v>752</v>
      </c>
      <c r="H574" s="954" t="s">
        <v>751</v>
      </c>
      <c r="I574" s="740"/>
      <c r="AF574" s="360">
        <f t="shared" si="74"/>
        <v>0</v>
      </c>
      <c r="AG574" s="58"/>
      <c r="AH574" s="58"/>
      <c r="AI574" s="58"/>
      <c r="AJ574" s="44"/>
      <c r="AK574" s="44"/>
      <c r="AL574" s="76"/>
    </row>
    <row r="575" spans="1:38" s="23" customFormat="1" ht="14.1" hidden="1" customHeight="1" thickTop="1" thickBot="1">
      <c r="A575" s="145"/>
      <c r="B575" s="289" t="s">
        <v>756</v>
      </c>
      <c r="C575" s="357" t="str">
        <f>HYPERLINK("\\deqhq1\Rule_Resources\i\Final Review Checklist.docx","i")</f>
        <v>i</v>
      </c>
      <c r="D575" s="325"/>
      <c r="E575" s="325"/>
      <c r="F575" s="262"/>
      <c r="G575" s="258"/>
      <c r="H575" s="258"/>
      <c r="I575" s="740"/>
      <c r="AF575" s="360">
        <f t="shared" si="74"/>
        <v>0</v>
      </c>
      <c r="AG575" s="58"/>
      <c r="AH575" s="58"/>
      <c r="AI575" s="59"/>
      <c r="AJ575" s="59"/>
      <c r="AK575" s="74"/>
      <c r="AL575" s="76"/>
    </row>
    <row r="576" spans="1:38" s="23" customFormat="1" ht="14.1" hidden="1" customHeight="1">
      <c r="A576" s="145"/>
      <c r="B576" s="320" t="str">
        <f>AK576</f>
        <v>* obtaining/consolidating BrianW, StephanieC &amp; AndreaG edits as needed</v>
      </c>
      <c r="C576" s="282"/>
      <c r="D576"/>
      <c r="F576"/>
      <c r="G576" s="40"/>
      <c r="H576" s="40"/>
      <c r="I576" s="740"/>
      <c r="AF576" s="360">
        <f t="shared" si="74"/>
        <v>0</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hidden="1" customHeight="1">
      <c r="A577" s="145"/>
      <c r="B577" s="807" t="s">
        <v>666</v>
      </c>
      <c r="C577" s="282"/>
      <c r="G577" s="40"/>
      <c r="H577" s="40"/>
      <c r="I577" s="740"/>
      <c r="AF577" s="360">
        <f t="shared" si="74"/>
        <v>0</v>
      </c>
      <c r="AG577" s="59"/>
      <c r="AH577" s="59"/>
      <c r="AI577" s="59"/>
      <c r="AJ577" s="59"/>
      <c r="AK577" s="44"/>
      <c r="AL577" s="76"/>
    </row>
    <row r="578" spans="1:39" s="23" customFormat="1" ht="14.1" hidden="1" customHeight="1">
      <c r="A578" s="145"/>
      <c r="B578" s="320" t="s">
        <v>646</v>
      </c>
      <c r="C578" s="282"/>
      <c r="F578"/>
      <c r="G578" s="40"/>
      <c r="H578" s="40"/>
      <c r="I578" s="740"/>
      <c r="AF578" s="360">
        <f t="shared" si="74"/>
        <v>0</v>
      </c>
      <c r="AG578" s="59"/>
      <c r="AH578" s="59"/>
      <c r="AI578" s="59"/>
      <c r="AJ578" s="59"/>
      <c r="AK578" s="44"/>
      <c r="AL578" s="76"/>
    </row>
    <row r="579" spans="1:39" s="627" customFormat="1" ht="14.1" hidden="1" customHeight="1">
      <c r="A579" s="596"/>
      <c r="B579" s="768" t="str">
        <f t="shared" ref="B579:B584" si="75">AK579</f>
        <v>Jerry &amp; AndreaG prepare drafts for preview</v>
      </c>
      <c r="C579" s="268" t="s">
        <v>0</v>
      </c>
      <c r="D579" s="769"/>
      <c r="E579" s="884"/>
      <c r="F579"/>
      <c r="G579" s="256">
        <f t="shared" ref="G579:G584" si="76">AG579</f>
        <v>2</v>
      </c>
      <c r="H579" s="256">
        <f t="shared" ref="H579:H584" si="77">AH579</f>
        <v>5</v>
      </c>
      <c r="I579" s="925"/>
      <c r="AF579" s="360">
        <f t="shared" si="74"/>
        <v>0</v>
      </c>
      <c r="AG579" s="770">
        <f>WORKDAY(H573,1,S.DDL_DEQClosed)</f>
        <v>2</v>
      </c>
      <c r="AH579" s="770">
        <f>WORKDAY(G579,3,S.DDL_DEQClosed)</f>
        <v>5</v>
      </c>
      <c r="AI579" s="59"/>
      <c r="AJ579" s="59"/>
      <c r="AK579" s="771" t="str">
        <f>S.Staff.Subject.Expert.FirstName&amp;" &amp; "&amp;S.Staff.RG.Lead.FirstName&amp;" prepare drafts for preview"</f>
        <v>Jerry &amp; AndreaG prepare drafts for preview</v>
      </c>
      <c r="AL579" s="76"/>
    </row>
    <row r="580" spans="1:39" s="23" customFormat="1" ht="14.1" hidden="1" customHeight="1">
      <c r="A580" s="145"/>
      <c r="B580" s="267" t="str">
        <f t="shared" si="75"/>
        <v>Leah approves moving forward with Notice and Proposed Rules</v>
      </c>
      <c r="C580" s="268" t="s">
        <v>0</v>
      </c>
      <c r="D580" s="283"/>
      <c r="E580" s="745"/>
      <c r="G580" s="256">
        <f t="shared" si="76"/>
        <v>0</v>
      </c>
      <c r="H580" s="256">
        <f t="shared" si="77"/>
        <v>0</v>
      </c>
      <c r="I580" s="740"/>
      <c r="AF580" s="360">
        <f t="shared" si="74"/>
        <v>0</v>
      </c>
      <c r="AG580" s="60">
        <f>IF(AF580=0,,WORKDAY(H579,1,S.DDL_DEQClosed))</f>
        <v>0</v>
      </c>
      <c r="AH580" s="60">
        <f>IF(AF580=0,,WORKDAY(G580,1,S.DDL_DEQClosed))</f>
        <v>0</v>
      </c>
      <c r="AI580" s="59"/>
      <c r="AJ580" s="59"/>
      <c r="AK580" s="182" t="str">
        <f>S.Staff.Program.Mgr.FirstName&amp;" approves moving forward with Notice and Proposed Rules"</f>
        <v>Leah approves moving forward with Notice and Proposed Rules</v>
      </c>
      <c r="AL580" s="76"/>
    </row>
    <row r="581" spans="1:39" ht="14.1" hidden="1" customHeight="1" outlineLevel="1" thickBot="1">
      <c r="A581" s="145"/>
      <c r="B581" s="358" t="str">
        <f t="shared" si="75"/>
        <v>2nd loop of Leah's Notice Packet review and approval</v>
      </c>
      <c r="C581" s="477" t="s">
        <v>205</v>
      </c>
      <c r="D581" s="283"/>
      <c r="E581" s="745"/>
      <c r="F581"/>
      <c r="G581" s="256">
        <f t="shared" si="76"/>
        <v>0</v>
      </c>
      <c r="H581" s="256">
        <f t="shared" si="77"/>
        <v>0</v>
      </c>
      <c r="I581" s="740"/>
      <c r="AF581" s="360">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Leah's Notice Packet review and approval</v>
      </c>
      <c r="AL581" s="76"/>
      <c r="AM581"/>
    </row>
    <row r="582" spans="1:39" ht="14.1" hidden="1" customHeight="1" outlineLevel="1" thickBot="1">
      <c r="A582" s="145"/>
      <c r="B582" s="338" t="str">
        <f t="shared" si="75"/>
        <v>3rd loop of Leah's Notice Packet review and approval</v>
      </c>
      <c r="C582" s="477" t="s">
        <v>205</v>
      </c>
      <c r="D582" s="283"/>
      <c r="E582" s="745"/>
      <c r="F582"/>
      <c r="G582" s="256">
        <f t="shared" si="76"/>
        <v>0</v>
      </c>
      <c r="H582" s="256">
        <f t="shared" si="77"/>
        <v>0</v>
      </c>
      <c r="I582" s="740"/>
      <c r="AF582" s="360">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Leah's Notice Packet review and approval</v>
      </c>
      <c r="AL582" s="76"/>
      <c r="AM582"/>
    </row>
    <row r="583" spans="1:39" ht="14.1" hidden="1" customHeight="1" outlineLevel="1" thickBot="1">
      <c r="A583" s="145"/>
      <c r="B583" s="438" t="str">
        <f t="shared" si="75"/>
        <v>4th loop of Leah's Notice Packet review and approval</v>
      </c>
      <c r="C583" s="477" t="s">
        <v>205</v>
      </c>
      <c r="D583" s="283"/>
      <c r="E583" s="745"/>
      <c r="F583"/>
      <c r="G583" s="256">
        <f t="shared" si="76"/>
        <v>0</v>
      </c>
      <c r="H583" s="256">
        <f t="shared" si="77"/>
        <v>0</v>
      </c>
      <c r="I583" s="740"/>
      <c r="AF583" s="360">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Leah's Notice Packet review and approval</v>
      </c>
      <c r="AL583" s="76"/>
      <c r="AM583"/>
    </row>
    <row r="584" spans="1:39" s="23" customFormat="1" ht="14.1" hidden="1" customHeight="1" collapsed="1">
      <c r="A584" s="145"/>
      <c r="B584" s="267" t="str">
        <f t="shared" si="75"/>
        <v>Jerry &amp; AndreaG address any concerns that may block Leah's approval</v>
      </c>
      <c r="C584" s="282" t="s">
        <v>0</v>
      </c>
      <c r="D584" s="283"/>
      <c r="E584" s="745"/>
      <c r="F584"/>
      <c r="G584" s="256">
        <f t="shared" si="76"/>
        <v>6</v>
      </c>
      <c r="H584" s="256">
        <f t="shared" si="77"/>
        <v>0</v>
      </c>
      <c r="I584" s="740"/>
      <c r="AF584" s="360">
        <f t="shared" ref="AF584:AF592" si="78">IF(S.Notice.Involved="Y",1,0)</f>
        <v>0</v>
      </c>
      <c r="AG584" s="60">
        <f>WORKDAY(MAX(H562:H583),1,S.DDL_DEQClosed)</f>
        <v>6</v>
      </c>
      <c r="AH584" s="60">
        <f>IF(AF584=0,,WORKDAY(G584,1,S.DDL_DEQClosed))</f>
        <v>0</v>
      </c>
      <c r="AI584" s="59"/>
      <c r="AJ584" s="59"/>
      <c r="AK584" s="182" t="str">
        <f>S.Staff.Subject.Expert.FirstName&amp;" &amp; "&amp;S.Staff.RG.Lead.FirstName&amp;" address any concerns that may block "&amp;S.Staff.Program.Mgr.FirstName&amp;"'s approval"</f>
        <v>Jerry &amp; AndreaG address any concerns that may block Leah's approval</v>
      </c>
      <c r="AL584" s="76"/>
    </row>
    <row r="585" spans="1:39" s="23" customFormat="1" ht="20.25" hidden="1" customHeight="1">
      <c r="A585" s="145"/>
      <c r="B585" s="518" t="s">
        <v>765</v>
      </c>
      <c r="C585" s="537"/>
      <c r="D585" s="701"/>
      <c r="E585" s="701"/>
      <c r="F585"/>
      <c r="I585" s="740"/>
      <c r="AF585" s="360">
        <f t="shared" si="78"/>
        <v>0</v>
      </c>
      <c r="AG585" s="59"/>
      <c r="AH585" s="59"/>
      <c r="AI585" s="59"/>
      <c r="AJ585" s="59"/>
      <c r="AK585" s="44"/>
      <c r="AL585" s="76"/>
    </row>
    <row r="586" spans="1:39" s="23" customFormat="1" ht="14.1" hidden="1" customHeight="1">
      <c r="A586" s="145"/>
      <c r="B586" s="267" t="str">
        <f t="shared" ref="B586:B592" si="79">AK586</f>
        <v>AndreaG drafts EMAIL.PREVIEW - instructions in template:</v>
      </c>
      <c r="C586" s="505" t="str">
        <f>HYPERLINK("\\deqhq1\Rule_Resources\i\EMAIL.Preview.docx","i")</f>
        <v>i</v>
      </c>
      <c r="D586" s="283"/>
      <c r="E586" s="745"/>
      <c r="F586"/>
      <c r="H586" s="265">
        <f>AH586</f>
        <v>0</v>
      </c>
      <c r="I586" s="740"/>
      <c r="AF586" s="360">
        <f t="shared" si="78"/>
        <v>0</v>
      </c>
      <c r="AG586" s="59"/>
      <c r="AH586" s="60">
        <f>IF(AF586=0,,H584)</f>
        <v>0</v>
      </c>
      <c r="AI586" s="59"/>
      <c r="AJ586" s="59"/>
      <c r="AK586" s="182" t="str">
        <f>S.Staff.RG.Lead.FirstName&amp;" drafts EMAIL.PREVIEW - instructions in template:"</f>
        <v>AndreaG drafts EMAIL.PREVIEW - instructions in template:</v>
      </c>
      <c r="AL586" s="76"/>
    </row>
    <row r="587" spans="1:39" s="23" customFormat="1" ht="14.1" hidden="1" customHeight="1">
      <c r="A587" s="145"/>
      <c r="B587" s="320" t="str">
        <f t="shared" si="79"/>
        <v>* sends draft to Lydia before briefing, copies Jerry &amp; Leah</v>
      </c>
      <c r="C587" s="537" t="s">
        <v>0</v>
      </c>
      <c r="D587" s="701"/>
      <c r="E587" s="701"/>
      <c r="F587"/>
      <c r="I587" s="740"/>
      <c r="AF587" s="360">
        <f t="shared" si="78"/>
        <v>0</v>
      </c>
      <c r="AG587" s="59"/>
      <c r="AH587" s="59"/>
      <c r="AI587" s="59"/>
      <c r="AJ587" s="59"/>
      <c r="AK587" s="182" t="str">
        <f>"* sends draft to "&amp;S.Staff.Assistant.DA.ShortName&amp;" before briefing, copies "&amp;S.Staff.Subject.Expert.FirstName&amp;" &amp; "&amp;S.Staff.Program.Mgr.FirstName</f>
        <v>* sends draft to Lydia before briefing, copies Jerry &amp; Leah</v>
      </c>
      <c r="AL587" s="76"/>
    </row>
    <row r="588" spans="1:39" ht="14.1" hidden="1" customHeight="1">
      <c r="A588" s="145"/>
      <c r="B588" s="284" t="str">
        <f t="shared" si="79"/>
        <v>Jerry, Leah &amp; AndreaG:</v>
      </c>
      <c r="C588" s="537" t="s">
        <v>0</v>
      </c>
      <c r="D588" s="701"/>
      <c r="E588" s="701"/>
      <c r="F588"/>
      <c r="G588"/>
      <c r="H588"/>
      <c r="I588" s="740"/>
      <c r="AF588" s="360">
        <f t="shared" si="78"/>
        <v>0</v>
      </c>
      <c r="AG588" s="59"/>
      <c r="AH588" s="59"/>
      <c r="AI588" s="59"/>
      <c r="AJ588" s="59"/>
      <c r="AK588" s="182" t="str">
        <f>S.Staff.Subject.Expert.FirstName&amp;", "&amp;S.Staff.Program.Mgr.FirstName&amp;" &amp; "&amp;S.Staff.RG.Lead.FirstName&amp;":"</f>
        <v>Jerry, Leah &amp; AndreaG:</v>
      </c>
      <c r="AL588" s="76"/>
      <c r="AM588"/>
    </row>
    <row r="589" spans="1:39" s="23" customFormat="1" ht="14.1" hidden="1" customHeight="1">
      <c r="A589" s="145"/>
      <c r="B589" s="320" t="str">
        <f t="shared" si="79"/>
        <v>* brief Lydia</v>
      </c>
      <c r="C589" s="474" t="s">
        <v>0</v>
      </c>
      <c r="D589" s="283"/>
      <c r="E589" s="745"/>
      <c r="F589"/>
      <c r="G589" s="912" t="s">
        <v>750</v>
      </c>
      <c r="H589" s="256">
        <f>AH589</f>
        <v>0</v>
      </c>
      <c r="I589" s="740"/>
      <c r="J589"/>
      <c r="K589"/>
      <c r="L589"/>
      <c r="M589"/>
      <c r="N589"/>
      <c r="O589"/>
      <c r="P589"/>
      <c r="Q589"/>
      <c r="R589"/>
      <c r="S589"/>
      <c r="T589"/>
      <c r="U589"/>
      <c r="X589"/>
      <c r="AB589"/>
      <c r="AC589"/>
      <c r="AF589" s="360">
        <f t="shared" si="78"/>
        <v>0</v>
      </c>
      <c r="AG589" s="59"/>
      <c r="AH589" s="60">
        <f>IF(AF540=0,,WORKDAY(S.Notice.Submit.ToADA,-1,S.DDL_DEQClosed))</f>
        <v>0</v>
      </c>
      <c r="AI589" s="59" t="s">
        <v>0</v>
      </c>
      <c r="AJ589" s="59"/>
      <c r="AK589" s="182" t="str">
        <f>"* brief "&amp;S.Staff.Assistant.DA.ShortName</f>
        <v>* brief Lydia</v>
      </c>
      <c r="AL589" s="76"/>
    </row>
    <row r="590" spans="1:39" s="23" customFormat="1" ht="14.1" hidden="1" customHeight="1" thickBot="1">
      <c r="A590" s="145"/>
      <c r="B590" s="320" t="str">
        <f t="shared" si="79"/>
        <v>* remind Lydia this is also her review/approval period</v>
      </c>
      <c r="C590" s="537" t="s">
        <v>0</v>
      </c>
      <c r="D590" s="701"/>
      <c r="E590" s="701"/>
      <c r="F590"/>
      <c r="G590" s="777"/>
      <c r="H590" s="777"/>
      <c r="I590" s="740"/>
      <c r="J590"/>
      <c r="K590"/>
      <c r="L590"/>
      <c r="M590"/>
      <c r="N590"/>
      <c r="O590"/>
      <c r="P590"/>
      <c r="Q590"/>
      <c r="R590"/>
      <c r="S590"/>
      <c r="T590"/>
      <c r="U590"/>
      <c r="X590"/>
      <c r="AB590"/>
      <c r="AC590"/>
      <c r="AF590" s="360">
        <f t="shared" si="78"/>
        <v>0</v>
      </c>
      <c r="AG590" s="59"/>
      <c r="AH590" s="59"/>
      <c r="AI590" s="59"/>
      <c r="AJ590" s="59"/>
      <c r="AK590" s="182" t="str">
        <f>"* remind "&amp;S.Staff.Assistant.DA.ShortName&amp;" this is also "&amp;S.Staff.Assistant.DA.Pronoun&amp;" review/approval period"</f>
        <v>* remind Lydia this is also her review/approval period</v>
      </c>
      <c r="AL590" s="76"/>
    </row>
    <row r="591" spans="1:39" s="23" customFormat="1" ht="14.1" hidden="1" customHeight="1" thickTop="1">
      <c r="A591" s="145"/>
      <c r="B591" s="976" t="str">
        <f t="shared" si="79"/>
        <v xml:space="preserve">Lydia personalizes and sends EMAIL.PREVIEW </v>
      </c>
      <c r="C591" s="537"/>
      <c r="D591" s="697"/>
      <c r="E591" s="697"/>
      <c r="F591" s="776"/>
      <c r="G591" s="1027" t="s">
        <v>631</v>
      </c>
      <c r="H591" s="1028"/>
      <c r="I591" s="740"/>
      <c r="AE591" s="775"/>
      <c r="AF591" s="360">
        <f t="shared" si="78"/>
        <v>0</v>
      </c>
      <c r="AG591" s="59"/>
      <c r="AH591" s="59"/>
      <c r="AI591" s="59"/>
      <c r="AJ591" s="59"/>
      <c r="AK591" s="182" t="str">
        <f>S.Staff.Assistant.DA.ShortName&amp;" personalizes and sends EMAIL.PREVIEW "</f>
        <v xml:space="preserve">Lydia personalizes and sends EMAIL.PREVIEW </v>
      </c>
      <c r="AL591" s="76"/>
    </row>
    <row r="592" spans="1:39" s="23" customFormat="1" ht="14.1" hidden="1" customHeight="1">
      <c r="A592" s="145"/>
      <c r="B592" s="526" t="str">
        <f t="shared" si="79"/>
        <v>To… Dick, Lydia, Leadership Team &amp; StephanieC</v>
      </c>
      <c r="C592" s="537"/>
      <c r="D592" s="697"/>
      <c r="E592" s="697"/>
      <c r="F592" s="776"/>
      <c r="G592" s="949" t="s">
        <v>56</v>
      </c>
      <c r="H592" s="950" t="s">
        <v>171</v>
      </c>
      <c r="I592" s="740"/>
      <c r="AE592" s="775"/>
      <c r="AF592" s="360">
        <f t="shared" si="78"/>
        <v>0</v>
      </c>
      <c r="AG592" s="59"/>
      <c r="AH592" s="59"/>
      <c r="AI592" s="59"/>
      <c r="AJ592" s="59"/>
      <c r="AK592" s="182" t="str">
        <f>"To… "&amp;S.Staff.Director&amp;", "&amp;S.Staff.DA.ForProgram.FirstName&amp;", Leadership Team &amp; "&amp;S.Staff.EQCAssistant</f>
        <v>To… Dick, Lydia, Leadership Team &amp; StephanieC</v>
      </c>
      <c r="AL592" s="76"/>
    </row>
    <row r="593" spans="1:39" s="23" customFormat="1" ht="14.1" hidden="1" customHeight="1">
      <c r="A593" s="145"/>
      <c r="B593" s="526" t="s">
        <v>766</v>
      </c>
      <c r="C593" s="537" t="s">
        <v>0</v>
      </c>
      <c r="D593" s="265"/>
      <c r="E593" s="885"/>
      <c r="F593" s="776"/>
      <c r="G593" s="951">
        <f>AG593</f>
        <v>0</v>
      </c>
      <c r="H593" s="952">
        <f>AH593</f>
        <v>0</v>
      </c>
      <c r="I593" s="740"/>
      <c r="J593"/>
      <c r="K593"/>
      <c r="L593"/>
      <c r="M593"/>
      <c r="N593"/>
      <c r="O593"/>
      <c r="P593"/>
      <c r="Q593"/>
      <c r="R593"/>
      <c r="S593"/>
      <c r="T593"/>
      <c r="U593"/>
      <c r="X593"/>
      <c r="AB593"/>
      <c r="AC593"/>
      <c r="AE593" s="775"/>
      <c r="AF593" s="360">
        <f t="shared" ref="AF593:AF602" si="80">IF(S.Notice.Involved="Y",1,0)</f>
        <v>0</v>
      </c>
      <c r="AG593" s="60">
        <f>IF(AF593=0,,WORKDAY(S.Notice.Submit.ToADA,1,S.DDL_DEQClosed))</f>
        <v>0</v>
      </c>
      <c r="AH593" s="60">
        <f>IF(AF593=0,,AH25)</f>
        <v>0</v>
      </c>
      <c r="AI593" s="59"/>
      <c r="AJ593" s="59"/>
      <c r="AK593" s="44"/>
      <c r="AL593" s="76"/>
    </row>
    <row r="594" spans="1:39" s="23" customFormat="1" ht="14.1" hidden="1" customHeight="1" thickBot="1">
      <c r="A594" s="145"/>
      <c r="C594" s="541" t="s">
        <v>0</v>
      </c>
      <c r="D594" s="579"/>
      <c r="E594" s="40"/>
      <c r="F594" s="776"/>
      <c r="G594" s="1029" t="s">
        <v>632</v>
      </c>
      <c r="H594" s="1030"/>
      <c r="I594" s="740"/>
      <c r="J594"/>
      <c r="K594"/>
      <c r="L594"/>
      <c r="M594"/>
      <c r="N594"/>
      <c r="O594"/>
      <c r="P594"/>
      <c r="Q594"/>
      <c r="R594"/>
      <c r="S594"/>
      <c r="T594"/>
      <c r="U594"/>
      <c r="X594"/>
      <c r="AB594"/>
      <c r="AC594"/>
      <c r="AE594" s="775"/>
      <c r="AF594" s="360">
        <f t="shared" si="80"/>
        <v>0</v>
      </c>
      <c r="AG594" s="59"/>
      <c r="AH594" s="58"/>
      <c r="AI594" s="59"/>
      <c r="AJ594" s="59"/>
      <c r="AK594" s="44"/>
      <c r="AL594" s="76"/>
    </row>
    <row r="595" spans="1:39" ht="6" hidden="1" customHeight="1" thickTop="1">
      <c r="A595" s="145"/>
      <c r="C595" s="306"/>
      <c r="D595" s="40"/>
      <c r="E595" s="40"/>
      <c r="F595" s="40"/>
      <c r="G595"/>
      <c r="H595"/>
      <c r="I595" s="740"/>
      <c r="AF595" s="360">
        <f t="shared" si="80"/>
        <v>0</v>
      </c>
      <c r="AG595" s="58"/>
      <c r="AH595" s="58"/>
      <c r="AI595" s="59"/>
      <c r="AJ595" s="59"/>
      <c r="AK595" s="44"/>
      <c r="AL595" s="76"/>
      <c r="AM595"/>
    </row>
    <row r="596" spans="1:39" s="23" customFormat="1" ht="14.1" hidden="1" customHeight="1">
      <c r="A596" s="145"/>
      <c r="B596" s="267" t="str">
        <f>AK596</f>
        <v>Jerry:</v>
      </c>
      <c r="C596" s="268"/>
      <c r="D596" s="283"/>
      <c r="E596" s="745"/>
      <c r="F596"/>
      <c r="G596" s="265">
        <f>AG596</f>
        <v>0</v>
      </c>
      <c r="H596" s="265">
        <f>AH596</f>
        <v>0</v>
      </c>
      <c r="I596" s="740"/>
      <c r="J596"/>
      <c r="K596"/>
      <c r="L596"/>
      <c r="M596"/>
      <c r="N596"/>
      <c r="O596"/>
      <c r="P596"/>
      <c r="Q596"/>
      <c r="R596"/>
      <c r="S596"/>
      <c r="T596"/>
      <c r="U596"/>
      <c r="X596"/>
      <c r="AB596"/>
      <c r="AC596"/>
      <c r="AF596" s="360">
        <f t="shared" si="80"/>
        <v>0</v>
      </c>
      <c r="AG596" s="60">
        <f>IF(AF596=0,,S.Notice.PreviewBegin)</f>
        <v>0</v>
      </c>
      <c r="AH596" s="60">
        <f>IF(AF596=0,,WORKDAY(AH593+6,-1,S.DDL_DEQClosed))</f>
        <v>0</v>
      </c>
      <c r="AI596" s="58"/>
      <c r="AJ596" s="44"/>
      <c r="AK596" s="182" t="str">
        <f>S.Staff.Subject.Expert.FirstName&amp;":"</f>
        <v>Jerry:</v>
      </c>
      <c r="AL596" s="76"/>
    </row>
    <row r="597" spans="1:39" s="23" customFormat="1" ht="14.1" hidden="1" customHeight="1">
      <c r="A597" s="145"/>
      <c r="B597" s="289" t="s">
        <v>233</v>
      </c>
      <c r="C597" s="505" t="str">
        <f>HYPERLINK("\\deqhq1\Rule_Development\Currrent Plan","i")</f>
        <v>i</v>
      </c>
      <c r="D597" s="283"/>
      <c r="E597" s="745"/>
      <c r="I597" s="740"/>
      <c r="J597"/>
      <c r="K597"/>
      <c r="L597"/>
      <c r="M597"/>
      <c r="N597"/>
      <c r="O597"/>
      <c r="P597"/>
      <c r="Q597"/>
      <c r="R597"/>
      <c r="S597"/>
      <c r="T597"/>
      <c r="U597"/>
      <c r="X597"/>
      <c r="AB597"/>
      <c r="AC597"/>
      <c r="AF597" s="360">
        <f t="shared" si="80"/>
        <v>0</v>
      </c>
      <c r="AG597" s="58"/>
      <c r="AH597" s="58"/>
      <c r="AI597" s="58"/>
      <c r="AJ597" s="59"/>
      <c r="AK597" s="44"/>
      <c r="AL597" s="76"/>
    </row>
    <row r="598" spans="1:39" ht="14.1" hidden="1" customHeight="1">
      <c r="A598" s="145"/>
      <c r="B598" s="289" t="str">
        <f>AK598</f>
        <v>* talks with Leah, decides how to address any feedback from preview</v>
      </c>
      <c r="C598" s="541" t="s">
        <v>0</v>
      </c>
      <c r="D598" s="283"/>
      <c r="E598" s="745"/>
      <c r="F598"/>
      <c r="G598"/>
      <c r="H598"/>
      <c r="I598" s="740"/>
      <c r="AF598" s="360">
        <f t="shared" si="80"/>
        <v>0</v>
      </c>
      <c r="AG598" s="58"/>
      <c r="AH598" s="58"/>
      <c r="AI598" s="59"/>
      <c r="AJ598" s="59"/>
      <c r="AK598" s="182" t="str">
        <f>"* talks with "&amp; S.Staff.Program.Mgr.FirstName&amp;", decides how to address any feedback from preview"</f>
        <v>* talks with Leah, decides how to address any feedback from preview</v>
      </c>
      <c r="AL598" s="76"/>
      <c r="AM598"/>
    </row>
    <row r="599" spans="1:39" s="23" customFormat="1" ht="14.1" hidden="1" customHeight="1">
      <c r="A599" s="145"/>
      <c r="B599" s="289" t="s">
        <v>201</v>
      </c>
      <c r="C599" s="541" t="s">
        <v>0</v>
      </c>
      <c r="D599" s="283"/>
      <c r="E599" s="745"/>
      <c r="F599"/>
      <c r="I599" s="740"/>
      <c r="J599"/>
      <c r="K599"/>
      <c r="L599"/>
      <c r="M599"/>
      <c r="N599"/>
      <c r="O599"/>
      <c r="P599"/>
      <c r="Q599"/>
      <c r="R599"/>
      <c r="S599"/>
      <c r="T599"/>
      <c r="U599"/>
      <c r="X599"/>
      <c r="AB599"/>
      <c r="AC599"/>
      <c r="AF599" s="360">
        <f t="shared" si="80"/>
        <v>0</v>
      </c>
      <c r="AG599" s="58"/>
      <c r="AH599" s="58"/>
      <c r="AI599" s="59"/>
      <c r="AJ599" s="59"/>
      <c r="AK599" s="44"/>
      <c r="AL599" s="76"/>
    </row>
    <row r="600" spans="1:39" ht="14.1" hidden="1" customHeight="1">
      <c r="A600" s="145"/>
      <c r="B600" s="220" t="s">
        <v>633</v>
      </c>
      <c r="C600" s="541" t="s">
        <v>0</v>
      </c>
      <c r="D600" s="283"/>
      <c r="E600" s="745"/>
      <c r="F600"/>
      <c r="G600" s="23"/>
      <c r="H600" s="23"/>
      <c r="I600" s="740"/>
      <c r="AF600" s="360">
        <f t="shared" si="80"/>
        <v>0</v>
      </c>
      <c r="AG600" s="58"/>
      <c r="AH600" s="58"/>
      <c r="AI600" s="59"/>
      <c r="AJ600" s="59"/>
      <c r="AK600" s="44"/>
      <c r="AL600" s="76"/>
      <c r="AM600"/>
    </row>
    <row r="601" spans="1:39" ht="14.1" hidden="1" customHeight="1">
      <c r="A601" s="145"/>
      <c r="B601" s="298" t="str">
        <f t="shared" ref="B601:B606" si="81">AK601</f>
        <v>* finalizes Notice Packet with Leah</v>
      </c>
      <c r="C601" s="537" t="s">
        <v>0</v>
      </c>
      <c r="D601" s="283"/>
      <c r="E601" s="745"/>
      <c r="F601"/>
      <c r="G601" s="40"/>
      <c r="H601" s="23"/>
      <c r="I601" s="740"/>
      <c r="AF601" s="360">
        <f t="shared" si="80"/>
        <v>0</v>
      </c>
      <c r="AG601" s="58"/>
      <c r="AH601" s="58"/>
      <c r="AI601" s="59"/>
      <c r="AJ601" s="59"/>
      <c r="AK601" s="182" t="str">
        <f>"* finalizes Notice Packet with "&amp;S.Staff.Program.Mgr.FirstName</f>
        <v>* finalizes Notice Packet with Leah</v>
      </c>
      <c r="AL601" s="76"/>
      <c r="AM601"/>
    </row>
    <row r="602" spans="1:39" s="23" customFormat="1" ht="14.1" hidden="1" customHeight="1" thickBot="1">
      <c r="A602" s="145"/>
      <c r="B602" s="525" t="str">
        <f t="shared" si="81"/>
        <v>Leah:</v>
      </c>
      <c r="F602"/>
      <c r="I602" s="740"/>
      <c r="J602"/>
      <c r="K602"/>
      <c r="L602"/>
      <c r="M602"/>
      <c r="N602"/>
      <c r="O602"/>
      <c r="P602"/>
      <c r="Q602"/>
      <c r="R602"/>
      <c r="S602"/>
      <c r="T602"/>
      <c r="U602"/>
      <c r="X602"/>
      <c r="AB602"/>
      <c r="AC602"/>
      <c r="AF602" s="360">
        <f t="shared" si="80"/>
        <v>0</v>
      </c>
      <c r="AG602" s="58"/>
      <c r="AH602" s="58"/>
      <c r="AI602" s="59"/>
      <c r="AJ602" s="59"/>
      <c r="AK602" s="182" t="str">
        <f>S.Staff.Program.Mgr.FirstName&amp;":"</f>
        <v>Leah:</v>
      </c>
      <c r="AL602" s="76"/>
    </row>
    <row r="603" spans="1:39" s="23" customFormat="1" ht="14.1" hidden="1" customHeight="1" thickBot="1">
      <c r="A603" s="145"/>
      <c r="B603" s="298" t="str">
        <f t="shared" si="81"/>
        <v>* determines whether Lydia needs a second review    'Y' if 2nd review needed&gt;</v>
      </c>
      <c r="C603" s="477" t="s">
        <v>16</v>
      </c>
      <c r="D603" s="283"/>
      <c r="E603" s="745"/>
      <c r="F603"/>
      <c r="G603" s="265">
        <f>AG603</f>
        <v>0</v>
      </c>
      <c r="H603" s="265">
        <f>AH603</f>
        <v>0</v>
      </c>
      <c r="I603" s="740"/>
      <c r="J603"/>
      <c r="K603"/>
      <c r="L603"/>
      <c r="M603"/>
      <c r="N603"/>
      <c r="O603"/>
      <c r="P603"/>
      <c r="Q603"/>
      <c r="R603"/>
      <c r="S603"/>
      <c r="T603"/>
      <c r="U603"/>
      <c r="X603"/>
      <c r="AB603"/>
      <c r="AC603"/>
      <c r="AF603" s="360">
        <f>IF(AND(C603="Y",S.Notice.Involved="Y"),1,0)</f>
        <v>0</v>
      </c>
      <c r="AG603" s="60">
        <f>IF(AF603=0,,AH593)</f>
        <v>0</v>
      </c>
      <c r="AH603" s="60">
        <f>H596</f>
        <v>0</v>
      </c>
      <c r="AI603" s="59"/>
      <c r="AJ603" s="59"/>
      <c r="AK603" s="182" t="str">
        <f>"* determines whether "&amp;S.Staff.Assistant.DA.ShortName&amp;" needs a second review    'Y' if 2nd review needed&gt;"</f>
        <v>* determines whether Lydia needs a second review    'Y' if 2nd review needed&gt;</v>
      </c>
      <c r="AL603" s="76"/>
    </row>
    <row r="604" spans="1:39" s="23" customFormat="1" ht="14.1" hidden="1" customHeight="1">
      <c r="A604" s="145"/>
      <c r="B604" s="298" t="str">
        <f t="shared" si="81"/>
        <v>* manages Lydia's 2nd review and approval</v>
      </c>
      <c r="C604" s="537" t="s">
        <v>0</v>
      </c>
      <c r="D604" s="701"/>
      <c r="E604" s="701"/>
      <c r="F604"/>
      <c r="G604"/>
      <c r="H604"/>
      <c r="I604" s="740"/>
      <c r="J604"/>
      <c r="K604"/>
      <c r="L604"/>
      <c r="M604"/>
      <c r="N604"/>
      <c r="O604"/>
      <c r="P604"/>
      <c r="Q604"/>
      <c r="R604"/>
      <c r="S604"/>
      <c r="T604"/>
      <c r="U604"/>
      <c r="X604"/>
      <c r="AB604"/>
      <c r="AC604"/>
      <c r="AF604" s="360">
        <f>IF(AND(C603="Y",S.Notice.Involved="Y"),1,0)</f>
        <v>0</v>
      </c>
      <c r="AG604" s="59"/>
      <c r="AH604" s="59"/>
      <c r="AI604" s="59"/>
      <c r="AJ604" s="59"/>
      <c r="AK604" s="182" t="str">
        <f>"* manages "&amp;S.Staff.Assistant.DA.ShortName&amp;"'s 2nd review and approval"</f>
        <v>* manages Lydia's 2nd review and approval</v>
      </c>
      <c r="AL604" s="76"/>
    </row>
    <row r="605" spans="1:39" s="23" customFormat="1" ht="14.1" hidden="1" customHeight="1">
      <c r="A605" s="145"/>
      <c r="B605" s="289" t="str">
        <f t="shared" si="81"/>
        <v>* emails approval to move forward with Notice to Jerry &amp; AndreaG</v>
      </c>
      <c r="C605" s="1037" t="s">
        <v>0</v>
      </c>
      <c r="D605" s="1037"/>
      <c r="E605" s="1037"/>
      <c r="F605" s="1037"/>
      <c r="G605" s="1037"/>
      <c r="H605" s="804" t="e">
        <f>AH605</f>
        <v>#NUM!</v>
      </c>
      <c r="I605" s="740"/>
      <c r="J605"/>
      <c r="K605"/>
      <c r="L605"/>
      <c r="M605"/>
      <c r="N605"/>
      <c r="O605"/>
      <c r="P605"/>
      <c r="Q605"/>
      <c r="R605"/>
      <c r="S605"/>
      <c r="T605"/>
      <c r="U605"/>
      <c r="X605"/>
      <c r="AB605"/>
      <c r="AC605"/>
      <c r="AF605" s="360">
        <f>IF(S.Notice.Involved="Y",1,0)</f>
        <v>0</v>
      </c>
      <c r="AG605" s="59"/>
      <c r="AH605" s="60" t="e">
        <f>WORKDAY(AH603+2,-1,S.DDL_DEQClosed)</f>
        <v>#NUM!</v>
      </c>
      <c r="AI605" s="59"/>
      <c r="AJ605" s="59"/>
      <c r="AK605" s="182" t="str">
        <f>"* emails approval to move forward with Notice to "&amp;S.Staff.Subject.Expert.FirstName&amp;" &amp; "&amp;S.Staff.RG.Lead.FirstName</f>
        <v>* emails approval to move forward with Notice to Jerry &amp; AndreaG</v>
      </c>
      <c r="AL605" s="76"/>
    </row>
    <row r="606" spans="1:39" s="23" customFormat="1" ht="14.1" hidden="1" customHeight="1">
      <c r="A606" s="145" t="s">
        <v>0</v>
      </c>
      <c r="B606" s="285" t="str">
        <f t="shared" si="81"/>
        <v>AndreaG, depending on input from preview, leads Rule Publication work that:</v>
      </c>
      <c r="C606" s="321"/>
      <c r="D606" s="474" t="s">
        <v>0</v>
      </c>
      <c r="E606" s="474"/>
      <c r="F606" s="474"/>
      <c r="G606" s="256" t="e">
        <f>AG606</f>
        <v>#NUM!</v>
      </c>
      <c r="I606" s="740"/>
      <c r="J606"/>
      <c r="K606"/>
      <c r="L606"/>
      <c r="M606"/>
      <c r="N606"/>
      <c r="O606"/>
      <c r="P606"/>
      <c r="Q606"/>
      <c r="R606"/>
      <c r="S606"/>
      <c r="T606"/>
      <c r="U606"/>
      <c r="X606"/>
      <c r="AB606"/>
      <c r="AC606"/>
      <c r="AF606" s="360">
        <f t="shared" ref="AF606:AF622" si="82">IF(S.Notice.Involved="Y",1,0)</f>
        <v>0</v>
      </c>
      <c r="AG606" s="60" t="e">
        <f>WORKDAY(S.Notice.MgrNoticeApproval,1,S.DDL_DEQClosed)</f>
        <v>#NUM!</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14.1" hidden="1" customHeight="1">
      <c r="A607" s="145" t="s">
        <v>0</v>
      </c>
      <c r="B607" s="289" t="s">
        <v>684</v>
      </c>
      <c r="C607" s="321"/>
      <c r="D607" s="712"/>
      <c r="E607" s="712"/>
      <c r="F607" s="287"/>
      <c r="G607" s="288"/>
      <c r="H607" s="288"/>
      <c r="I607" s="740"/>
      <c r="AF607" s="360">
        <f t="shared" si="82"/>
        <v>0</v>
      </c>
      <c r="AG607" s="58"/>
      <c r="AH607" s="58"/>
      <c r="AI607" s="59"/>
      <c r="AJ607" s="59"/>
      <c r="AK607" s="159" t="s">
        <v>0</v>
      </c>
      <c r="AL607" s="76"/>
    </row>
    <row r="608" spans="1:39" s="23" customFormat="1" ht="14.1" hidden="1" customHeight="1">
      <c r="A608" s="145"/>
      <c r="B608" s="977" t="s">
        <v>688</v>
      </c>
      <c r="C608" s="321"/>
      <c r="D608" s="712"/>
      <c r="E608" s="712"/>
      <c r="F608" s="287"/>
      <c r="G608" s="288"/>
      <c r="H608" s="288"/>
      <c r="I608" s="740"/>
      <c r="AF608" s="360">
        <f t="shared" si="82"/>
        <v>0</v>
      </c>
      <c r="AG608" s="58"/>
      <c r="AH608" s="58"/>
      <c r="AI608" s="59"/>
      <c r="AJ608" s="59"/>
      <c r="AK608" s="159" t="s">
        <v>0</v>
      </c>
      <c r="AL608" s="76"/>
    </row>
    <row r="609" spans="1:38" s="23" customFormat="1" ht="14.1" hidden="1" customHeight="1">
      <c r="A609" s="145"/>
      <c r="B609" s="977" t="str">
        <f>AK609</f>
        <v>* verifies/clarifies additional edits with Jerry &amp; Leah as warranted</v>
      </c>
      <c r="C609" s="321"/>
      <c r="D609" s="1031"/>
      <c r="E609" s="1031"/>
      <c r="F609" s="1031"/>
      <c r="G609" s="1031"/>
      <c r="I609" s="740"/>
      <c r="J609"/>
      <c r="K609"/>
      <c r="L609"/>
      <c r="M609"/>
      <c r="N609"/>
      <c r="O609"/>
      <c r="P609"/>
      <c r="Q609"/>
      <c r="R609"/>
      <c r="S609"/>
      <c r="T609"/>
      <c r="U609"/>
      <c r="X609"/>
      <c r="AB609"/>
      <c r="AC609"/>
      <c r="AF609" s="360">
        <f t="shared" si="82"/>
        <v>0</v>
      </c>
      <c r="AG609" s="58"/>
      <c r="AH609" s="58"/>
      <c r="AI609" s="59"/>
      <c r="AJ609" s="59"/>
      <c r="AK609" s="182" t="str">
        <f>"* verifies/clarifies additional edits with "&amp;S.Staff.Subject.Expert.FirstName&amp;" &amp; "&amp;S.Staff.Program.Mgr.FirstName&amp;" as warranted"</f>
        <v>* verifies/clarifies additional edits with Jerry &amp; Leah as warranted</v>
      </c>
      <c r="AL609" s="76"/>
    </row>
    <row r="610" spans="1:38" s="23" customFormat="1" ht="14.1" hidden="1" customHeight="1">
      <c r="A610" s="145"/>
      <c r="B610" s="525" t="str">
        <f>AK610</f>
        <v>Leah emails Jerry &amp; AndreaG approval to publish notice</v>
      </c>
      <c r="C610" s="1035" t="s">
        <v>686</v>
      </c>
      <c r="D610" s="1035"/>
      <c r="E610" s="1035"/>
      <c r="F610" s="1035"/>
      <c r="G610" s="1036"/>
      <c r="H610" s="256" t="e">
        <f>AH610</f>
        <v>#NUM!</v>
      </c>
      <c r="I610" s="740"/>
      <c r="AF610" s="360">
        <f t="shared" si="82"/>
        <v>0</v>
      </c>
      <c r="AG610" s="58"/>
      <c r="AH610" s="60" t="e">
        <f>WORKDAY(G606,2,S.DDL_DEQClosed)</f>
        <v>#NUM!</v>
      </c>
      <c r="AI610" s="59"/>
      <c r="AJ610" s="59"/>
      <c r="AK610" s="182" t="str">
        <f>S.Staff.Program.Mgr.FirstName&amp;" emails "&amp;S.Staff.Subject.Expert.FirstName&amp;" &amp; "&amp;S.Staff.RG.Lead.FirstName&amp;" approval to publish notice"</f>
        <v>Leah emails Jerry &amp; AndreaG approval to publish notice</v>
      </c>
      <c r="AL610" s="76"/>
    </row>
    <row r="611" spans="1:38" s="23" customFormat="1" ht="14.1" hidden="1" customHeight="1">
      <c r="A611" s="145"/>
      <c r="B611" s="267" t="str">
        <f>AK611</f>
        <v>Jerry:</v>
      </c>
      <c r="C611" s="268"/>
      <c r="D611" s="268"/>
      <c r="E611" s="268"/>
      <c r="F611" s="262"/>
      <c r="G611"/>
      <c r="H611" s="258"/>
      <c r="I611" s="740"/>
      <c r="J611"/>
      <c r="K611"/>
      <c r="L611"/>
      <c r="M611"/>
      <c r="N611"/>
      <c r="O611"/>
      <c r="P611"/>
      <c r="Q611"/>
      <c r="R611"/>
      <c r="S611"/>
      <c r="T611"/>
      <c r="U611"/>
      <c r="X611"/>
      <c r="AB611"/>
      <c r="AC611"/>
      <c r="AF611" s="360">
        <f>IF(S.Notice.Involved="Y",1,0)</f>
        <v>0</v>
      </c>
      <c r="AG611" s="58"/>
      <c r="AH611" s="58"/>
      <c r="AI611" s="58"/>
      <c r="AJ611" s="44"/>
      <c r="AK611" s="182" t="str">
        <f>S.Staff.Subject.Expert.FirstName&amp;":"</f>
        <v>Jerry:</v>
      </c>
      <c r="AL611" s="76"/>
    </row>
    <row r="612" spans="1:38" s="23" customFormat="1" ht="14.1" hidden="1" customHeight="1">
      <c r="A612" s="145"/>
      <c r="B612" s="298" t="s">
        <v>259</v>
      </c>
      <c r="C612" s="537" t="s">
        <v>0</v>
      </c>
      <c r="D612" s="283"/>
      <c r="E612" s="745"/>
      <c r="F612"/>
      <c r="G612"/>
      <c r="I612" s="740"/>
      <c r="J612"/>
      <c r="K612"/>
      <c r="L612"/>
      <c r="M612"/>
      <c r="N612"/>
      <c r="O612"/>
      <c r="P612"/>
      <c r="Q612"/>
      <c r="R612"/>
      <c r="S612"/>
      <c r="T612"/>
      <c r="U612"/>
      <c r="X612"/>
      <c r="AB612"/>
      <c r="AC612"/>
      <c r="AF612" s="360">
        <f>IF(S.Notice.Involved="Y",1,0)</f>
        <v>0</v>
      </c>
      <c r="AG612" s="47" t="s">
        <v>0</v>
      </c>
      <c r="AH612" s="59"/>
      <c r="AI612" s="59"/>
      <c r="AJ612" s="59"/>
      <c r="AK612" s="74" t="s">
        <v>0</v>
      </c>
      <c r="AL612" s="76"/>
    </row>
    <row r="613" spans="1:38" s="23" customFormat="1" ht="20.25" hidden="1" customHeight="1">
      <c r="A613" s="145"/>
      <c r="B613" s="518" t="s">
        <v>609</v>
      </c>
      <c r="C613" s="541"/>
      <c r="D613" s="701"/>
      <c r="E613" s="701"/>
      <c r="I613" s="740"/>
      <c r="AF613" s="360">
        <f>IF(AND(S.Notice.Involved="Y",S.Notice.AD.Involved="Y"),1,0)</f>
        <v>0</v>
      </c>
      <c r="AG613" s="59"/>
      <c r="AH613" s="59"/>
      <c r="AI613" s="59"/>
      <c r="AJ613" s="59"/>
      <c r="AK613" s="44"/>
      <c r="AL613" s="76"/>
    </row>
    <row r="614" spans="1:38" s="23" customFormat="1" ht="14.1" hidden="1" customHeight="1">
      <c r="A614" s="145"/>
      <c r="B614" s="267" t="str">
        <f>AK614</f>
        <v>Jerry:</v>
      </c>
      <c r="C614" s="268"/>
      <c r="D614" s="268"/>
      <c r="E614" s="268"/>
      <c r="F614" s="262"/>
      <c r="G614" s="258"/>
      <c r="H614" s="258"/>
      <c r="I614" s="740"/>
      <c r="AF614" s="360">
        <f>IF(S.Notice.Involved="Y",1,0)</f>
        <v>0</v>
      </c>
      <c r="AG614" s="58"/>
      <c r="AH614" s="58"/>
      <c r="AI614" s="58"/>
      <c r="AJ614" s="44"/>
      <c r="AK614" s="182" t="str">
        <f>S.Staff.Subject.Expert.FirstName&amp;":"</f>
        <v>Jerry:</v>
      </c>
      <c r="AL614" s="76"/>
    </row>
    <row r="615" spans="1:38" s="23" customFormat="1" ht="14.1" hidden="1" customHeight="1">
      <c r="A615" s="145"/>
      <c r="B615" s="298" t="s">
        <v>687</v>
      </c>
      <c r="C615" s="541" t="s">
        <v>0</v>
      </c>
      <c r="D615" s="283"/>
      <c r="E615" s="745"/>
      <c r="H615" s="256" t="e">
        <f>AH615</f>
        <v>#NUM!</v>
      </c>
      <c r="I615" s="740"/>
      <c r="AF615" s="360">
        <f>IF(S.SIP.Involved="Y",1,0)</f>
        <v>0</v>
      </c>
      <c r="AG615" s="48"/>
      <c r="AH615" s="60" t="e">
        <f>S.Notice.OK.ToPublish</f>
        <v>#NUM!</v>
      </c>
      <c r="AI615" s="59"/>
      <c r="AJ615" s="59"/>
      <c r="AK615" s="74"/>
      <c r="AL615" s="76"/>
    </row>
    <row r="616" spans="1:38" s="23" customFormat="1" ht="14.1" hidden="1" customHeight="1">
      <c r="A616" s="145" t="s">
        <v>0</v>
      </c>
      <c r="B616" s="285" t="str">
        <f>AK616</f>
        <v>AndreaG works with Rule Publication to:</v>
      </c>
      <c r="C616" s="321"/>
      <c r="D616" s="474" t="s">
        <v>0</v>
      </c>
      <c r="E616" s="474"/>
      <c r="F616" s="474"/>
      <c r="G616" s="256" t="e">
        <f>AG616</f>
        <v>#NUM!</v>
      </c>
      <c r="I616" s="740"/>
      <c r="AF616" s="360">
        <f t="shared" si="82"/>
        <v>0</v>
      </c>
      <c r="AG616" s="60" t="e">
        <f>WORKDAY(S.Notice.MgrNoticeApproval,1,S.DDL_DEQClosed)</f>
        <v>#NUM!</v>
      </c>
      <c r="AH616" s="58"/>
      <c r="AI616" s="59"/>
      <c r="AJ616" s="59"/>
      <c r="AK616" s="182" t="str">
        <f>S.Staff.RG.Lead.FirstName&amp;" works with Rule Publication to:"</f>
        <v>AndreaG works with Rule Publication to:</v>
      </c>
      <c r="AL616" s="76"/>
    </row>
    <row r="617" spans="1:38" s="23" customFormat="1" ht="14.1" hidden="1" customHeight="1" thickBot="1">
      <c r="A617" s="145"/>
      <c r="B617" s="289" t="str">
        <f>AK617</f>
        <v>* establishes Outlook comment box for University students with Jerry as owner</v>
      </c>
      <c r="C617" s="321"/>
      <c r="D617" s="712"/>
      <c r="E617" s="712"/>
      <c r="F617" s="287"/>
      <c r="G617" s="288"/>
      <c r="H617" s="288"/>
      <c r="I617" s="740"/>
      <c r="J617"/>
      <c r="K617"/>
      <c r="L617"/>
      <c r="M617"/>
      <c r="N617"/>
      <c r="O617"/>
      <c r="P617"/>
      <c r="Q617"/>
      <c r="R617"/>
      <c r="S617"/>
      <c r="T617"/>
      <c r="U617"/>
      <c r="X617"/>
      <c r="AB617"/>
      <c r="AC617"/>
      <c r="AF617" s="360">
        <f t="shared" si="82"/>
        <v>0</v>
      </c>
      <c r="AG617" s="58"/>
      <c r="AH617" s="58"/>
      <c r="AI617" s="59"/>
      <c r="AJ617" s="59"/>
      <c r="AK617" s="182" t="str">
        <f>"* establishes Outlook comment box for University students with "&amp;S.Staff.Subject.Expert.FirstName&amp;" as owner"</f>
        <v>* establishes Outlook comment box for University students with Jerry as owner</v>
      </c>
      <c r="AL617" s="76"/>
    </row>
    <row r="618" spans="1:38" s="23" customFormat="1" ht="14.1" hidden="1" customHeight="1" thickBot="1">
      <c r="A618" s="145"/>
      <c r="B618" s="805" t="s">
        <v>650</v>
      </c>
      <c r="C618" s="357" t="s">
        <v>48</v>
      </c>
      <c r="D618" s="325"/>
      <c r="E618" s="325"/>
      <c r="F618" s="262"/>
      <c r="G618" s="258"/>
      <c r="H618" s="258"/>
      <c r="I618" s="740"/>
      <c r="J618"/>
      <c r="K618"/>
      <c r="L618"/>
      <c r="M618"/>
      <c r="N618"/>
      <c r="O618"/>
      <c r="P618"/>
      <c r="Q618"/>
      <c r="R618"/>
      <c r="S618"/>
      <c r="T618"/>
      <c r="U618"/>
      <c r="X618"/>
      <c r="AB618"/>
      <c r="AC618"/>
      <c r="AF618" s="360">
        <f t="shared" si="82"/>
        <v>0</v>
      </c>
      <c r="AG618" s="58"/>
      <c r="AH618" s="58"/>
      <c r="AI618" s="59"/>
      <c r="AJ618" s="59"/>
      <c r="AK618" s="74"/>
      <c r="AL618" s="76"/>
    </row>
    <row r="619" spans="1:38" s="23" customFormat="1" ht="14.1" hidden="1" customHeight="1" thickBot="1">
      <c r="A619" s="145"/>
      <c r="B619" s="289" t="s">
        <v>651</v>
      </c>
      <c r="C619" s="538"/>
      <c r="D619" s="325"/>
      <c r="E619" s="325"/>
      <c r="F619" s="262"/>
      <c r="G619" s="258"/>
      <c r="H619" s="258"/>
      <c r="I619" s="740"/>
      <c r="J619"/>
      <c r="K619"/>
      <c r="L619"/>
      <c r="M619"/>
      <c r="N619"/>
      <c r="O619"/>
      <c r="P619"/>
      <c r="Q619"/>
      <c r="R619"/>
      <c r="S619"/>
      <c r="T619"/>
      <c r="U619"/>
      <c r="X619"/>
      <c r="AB619"/>
      <c r="AC619"/>
      <c r="AF619" s="360">
        <f t="shared" si="82"/>
        <v>0</v>
      </c>
      <c r="AG619" s="58"/>
      <c r="AH619" s="58"/>
      <c r="AI619" s="59"/>
      <c r="AJ619" s="59"/>
      <c r="AK619" s="74"/>
      <c r="AL619" s="76"/>
    </row>
    <row r="620" spans="1:38" s="23" customFormat="1" ht="14.1" hidden="1" customHeight="1" thickBot="1">
      <c r="A620" s="145"/>
      <c r="B620" s="289" t="s">
        <v>755</v>
      </c>
      <c r="C620" s="357" t="str">
        <f>HYPERLINK("\\deqhq1\Rule_Resources\i\Final Review Checklist.docx","i")</f>
        <v>i</v>
      </c>
      <c r="D620" s="325"/>
      <c r="E620" s="325"/>
      <c r="F620" s="262"/>
      <c r="G620" s="258"/>
      <c r="H620" s="258"/>
      <c r="I620" s="740"/>
      <c r="AF620" s="360">
        <f t="shared" si="82"/>
        <v>0</v>
      </c>
      <c r="AG620" s="58"/>
      <c r="AH620" s="58"/>
      <c r="AI620" s="59"/>
      <c r="AJ620" s="59"/>
      <c r="AK620" s="74"/>
      <c r="AL620" s="76"/>
    </row>
    <row r="621" spans="1:38" s="23" customFormat="1" ht="14.1" hidden="1" customHeight="1" thickBot="1">
      <c r="A621" s="145"/>
      <c r="B621" s="289" t="s">
        <v>655</v>
      </c>
      <c r="C621" s="538"/>
      <c r="D621" s="325"/>
      <c r="E621" s="325"/>
      <c r="F621" s="262"/>
      <c r="G621" s="258"/>
      <c r="H621" s="258"/>
      <c r="I621" s="740"/>
      <c r="AF621" s="360">
        <f t="shared" si="82"/>
        <v>0</v>
      </c>
      <c r="AG621" s="58"/>
      <c r="AH621" s="58"/>
      <c r="AI621" s="59"/>
      <c r="AJ621" s="59"/>
      <c r="AK621" s="74"/>
      <c r="AL621" s="76"/>
    </row>
    <row r="622" spans="1:38" s="23" customFormat="1" ht="14.1" hidden="1" customHeight="1" thickBot="1">
      <c r="A622" s="145"/>
      <c r="B622" s="289" t="str">
        <f>"* submits notice to SOS for publication in Oregon Bulletin"</f>
        <v>* submits notice to SOS for publication in Oregon Bulletin</v>
      </c>
      <c r="C622" s="357" t="str">
        <f>HYPERLINK("http://oarnoticefilings.sos.state.or.us","i")</f>
        <v>i</v>
      </c>
      <c r="D622" s="713"/>
      <c r="E622" s="713"/>
      <c r="F622"/>
      <c r="G622"/>
      <c r="H622"/>
      <c r="I622" s="740"/>
      <c r="J622"/>
      <c r="K622"/>
      <c r="L622"/>
      <c r="M622"/>
      <c r="N622"/>
      <c r="O622"/>
      <c r="P622"/>
      <c r="Q622"/>
      <c r="R622"/>
      <c r="S622"/>
      <c r="T622"/>
      <c r="U622"/>
      <c r="X622"/>
      <c r="AB622"/>
      <c r="AC622"/>
      <c r="AF622" s="360">
        <f t="shared" si="82"/>
        <v>0</v>
      </c>
      <c r="AG622" s="59"/>
      <c r="AH622" s="59"/>
      <c r="AI622" s="59"/>
      <c r="AJ622" s="59"/>
      <c r="AK622" s="74"/>
      <c r="AL622" s="76"/>
    </row>
    <row r="623" spans="1:38" s="23" customFormat="1" ht="14.1" hidden="1" customHeight="1" thickBot="1">
      <c r="A623" s="145" t="s">
        <v>0</v>
      </c>
      <c r="B623" s="289" t="s">
        <v>653</v>
      </c>
      <c r="C623" s="541" t="s">
        <v>0</v>
      </c>
      <c r="D623" s="713"/>
      <c r="E623" s="713"/>
      <c r="F623"/>
      <c r="G623"/>
      <c r="H623"/>
      <c r="I623" s="740"/>
      <c r="J623"/>
      <c r="K623"/>
      <c r="L623"/>
      <c r="M623"/>
      <c r="N623"/>
      <c r="O623"/>
      <c r="P623"/>
      <c r="Q623"/>
      <c r="R623"/>
      <c r="S623"/>
      <c r="T623"/>
      <c r="U623"/>
      <c r="X623"/>
      <c r="AB623"/>
      <c r="AC623"/>
      <c r="AF623" s="360">
        <f>IF(AND(S.Notice.DASNotification=TRUE,S.Notice.Involved="Y"),1,0)</f>
        <v>0</v>
      </c>
      <c r="AG623" s="48"/>
      <c r="AH623" s="48"/>
      <c r="AI623" s="59"/>
      <c r="AJ623" s="59"/>
      <c r="AK623" s="74"/>
      <c r="AL623" s="76"/>
    </row>
    <row r="624" spans="1:38" s="23" customFormat="1" ht="14.1" hidden="1" customHeight="1" thickBot="1">
      <c r="A624" s="145"/>
      <c r="B624" s="289" t="s">
        <v>654</v>
      </c>
      <c r="C624" s="357" t="str">
        <f>HYPERLINK("\\deqhq1\Rule_Development\Currrent Plan","i")</f>
        <v>i</v>
      </c>
      <c r="D624" s="713"/>
      <c r="E624" s="713"/>
      <c r="I624" s="740"/>
      <c r="AF624" s="360">
        <f>IF(S.Notice.Involved="Y",1,0)</f>
        <v>0</v>
      </c>
      <c r="AG624" s="59"/>
      <c r="AH624" s="59"/>
      <c r="AI624" s="59"/>
      <c r="AJ624" s="59"/>
      <c r="AK624" s="74"/>
      <c r="AL624" s="76"/>
    </row>
    <row r="625" spans="1:39" s="23" customFormat="1" ht="14.1" hidden="1" customHeight="1">
      <c r="A625" s="145"/>
      <c r="B625" s="748" t="str">
        <f>AK625</f>
        <v>Jerry leads:</v>
      </c>
      <c r="C625" s="544"/>
      <c r="D625"/>
      <c r="F625" s="40"/>
      <c r="I625" s="740"/>
      <c r="AF625" s="360">
        <f>IF(AND(S.Notice.Involved="Y",S.Notice.AD.Involved="Y"),1,0)</f>
        <v>0</v>
      </c>
      <c r="AG625" s="59"/>
      <c r="AH625" s="59"/>
      <c r="AI625" s="59"/>
      <c r="AJ625" s="59"/>
      <c r="AK625" s="182" t="str">
        <f>S.Staff.Subject.Expert.FirstName&amp;" leads:"</f>
        <v>Jerry leads:</v>
      </c>
      <c r="AL625" s="76"/>
    </row>
    <row r="626" spans="1:39" s="23" customFormat="1" ht="14.1" hidden="1" customHeight="1" thickBot="1">
      <c r="A626" s="145"/>
      <c r="B626" s="289" t="s">
        <v>681</v>
      </c>
      <c r="C626" s="541" t="s">
        <v>0</v>
      </c>
      <c r="D626" s="1019" t="s">
        <v>649</v>
      </c>
      <c r="E626" s="1019"/>
      <c r="F626" s="1019"/>
      <c r="G626" s="1020"/>
      <c r="H626" s="968">
        <f>AH626</f>
        <v>0</v>
      </c>
      <c r="I626" s="740"/>
      <c r="AF626" s="360">
        <f>IF(AND(S.Notice.AD.Involved="Y",S.Notice.Involved="Y"),1,0)</f>
        <v>0</v>
      </c>
      <c r="AG626" s="59"/>
      <c r="AH626" s="60">
        <f>IF(AF626=0,,S.Notice.AD.ToContractServices)</f>
        <v>0</v>
      </c>
      <c r="AI626" s="59"/>
      <c r="AJ626" s="59"/>
      <c r="AK626" s="182" t="str">
        <f>"* modifies documents as needed"</f>
        <v>* modifies documents as needed</v>
      </c>
      <c r="AL626" s="76"/>
    </row>
    <row r="627" spans="1:39" s="23" customFormat="1" ht="14.1" hidden="1" customHeight="1" thickBot="1">
      <c r="A627" s="145"/>
      <c r="B627" s="289" t="s">
        <v>656</v>
      </c>
      <c r="C627" s="357" t="s">
        <v>48</v>
      </c>
      <c r="D627" s="283"/>
      <c r="E627" s="745"/>
      <c r="F627" s="262"/>
      <c r="G627" s="258"/>
      <c r="H627"/>
      <c r="I627" s="740"/>
      <c r="J627"/>
      <c r="K627"/>
      <c r="L627"/>
      <c r="M627"/>
      <c r="N627"/>
      <c r="O627"/>
      <c r="P627"/>
      <c r="Q627"/>
      <c r="R627"/>
      <c r="S627"/>
      <c r="T627"/>
      <c r="U627"/>
      <c r="X627"/>
      <c r="AB627"/>
      <c r="AC627"/>
      <c r="AF627" s="360">
        <f t="shared" ref="AF627:AF633" si="83">IF(S.Notice.Involved="Y",1,0)</f>
        <v>0</v>
      </c>
      <c r="AG627" s="58"/>
      <c r="AH627" s="58"/>
      <c r="AI627" s="59"/>
      <c r="AJ627" s="59"/>
      <c r="AK627" s="74"/>
      <c r="AL627" s="76"/>
    </row>
    <row r="628" spans="1:39" s="23" customFormat="1" ht="14.1" hidden="1" customHeight="1" thickBot="1">
      <c r="A628" s="145"/>
      <c r="B628" s="298" t="s">
        <v>658</v>
      </c>
      <c r="C628" s="496" t="s">
        <v>48</v>
      </c>
      <c r="D628" s="283"/>
      <c r="E628" s="745"/>
      <c r="F628"/>
      <c r="G628"/>
      <c r="H628"/>
      <c r="I628" s="740"/>
      <c r="J628"/>
      <c r="K628"/>
      <c r="L628"/>
      <c r="M628"/>
      <c r="N628"/>
      <c r="O628"/>
      <c r="P628"/>
      <c r="Q628"/>
      <c r="R628"/>
      <c r="S628"/>
      <c r="T628"/>
      <c r="U628"/>
      <c r="X628"/>
      <c r="AB628"/>
      <c r="AC628"/>
      <c r="AF628" s="360">
        <f t="shared" si="83"/>
        <v>0</v>
      </c>
      <c r="AG628" s="48"/>
      <c r="AH628" s="58"/>
      <c r="AI628" s="59"/>
      <c r="AJ628" s="59"/>
      <c r="AK628" s="74"/>
      <c r="AL628" s="76"/>
    </row>
    <row r="629" spans="1:39" s="23" customFormat="1" ht="14.1" hidden="1" customHeight="1">
      <c r="A629" s="145"/>
      <c r="B629" s="289" t="s">
        <v>657</v>
      </c>
      <c r="C629" s="538"/>
      <c r="D629" s="283"/>
      <c r="E629" s="745"/>
      <c r="F629" s="262"/>
      <c r="G629" s="258"/>
      <c r="H629" s="258"/>
      <c r="I629" s="740"/>
      <c r="AF629" s="360">
        <f t="shared" si="83"/>
        <v>0</v>
      </c>
      <c r="AG629" s="58"/>
      <c r="AH629" s="58"/>
      <c r="AI629" s="59"/>
      <c r="AJ629" s="59"/>
      <c r="AK629" s="182" t="str">
        <f>"* validates Web page, comment form, hearing date accuracy with "&amp;S.Staff.Subject.Expert.FirstName</f>
        <v>* validates Web page, comment form, hearing date accuracy with Jerry</v>
      </c>
      <c r="AL629" s="76"/>
    </row>
    <row r="630" spans="1:39" ht="14.1" hidden="1" customHeight="1">
      <c r="A630" s="145"/>
      <c r="B630" s="289" t="s">
        <v>685</v>
      </c>
      <c r="C630" s="541" t="s">
        <v>0</v>
      </c>
      <c r="D630" s="1018" t="s">
        <v>0</v>
      </c>
      <c r="E630" s="1019"/>
      <c r="F630" s="1019"/>
      <c r="G630" s="1020"/>
      <c r="H630" s="263">
        <f>AH630</f>
        <v>0</v>
      </c>
      <c r="I630" s="740"/>
      <c r="AF630" s="360">
        <f t="shared" si="83"/>
        <v>0</v>
      </c>
      <c r="AG630" s="59"/>
      <c r="AH630" s="60">
        <f>IF(AF630=0,,S.Notice.OpenComment)</f>
        <v>0</v>
      </c>
      <c r="AI630" s="59"/>
      <c r="AJ630" s="59"/>
      <c r="AK630" s="74"/>
      <c r="AL630" s="76"/>
      <c r="AM630"/>
    </row>
    <row r="631" spans="1:39" s="23" customFormat="1" ht="14.1" hidden="1" customHeight="1">
      <c r="A631" s="145"/>
      <c r="B631" s="422" t="s">
        <v>179</v>
      </c>
      <c r="C631" s="541" t="s">
        <v>0</v>
      </c>
      <c r="D631" s="283"/>
      <c r="E631" s="886"/>
      <c r="F631" s="806"/>
      <c r="G631" s="40"/>
      <c r="H631"/>
      <c r="I631" s="740"/>
      <c r="J631"/>
      <c r="K631"/>
      <c r="L631"/>
      <c r="M631"/>
      <c r="N631"/>
      <c r="O631"/>
      <c r="P631"/>
      <c r="Q631"/>
      <c r="R631"/>
      <c r="S631"/>
      <c r="T631"/>
      <c r="U631"/>
      <c r="X631"/>
      <c r="AB631"/>
      <c r="AC631"/>
      <c r="AF631" s="360">
        <f t="shared" si="83"/>
        <v>0</v>
      </c>
      <c r="AG631" s="59"/>
      <c r="AH631" s="59" t="s">
        <v>0</v>
      </c>
      <c r="AI631" s="59"/>
      <c r="AJ631" s="59"/>
      <c r="AK631" s="159" t="s">
        <v>0</v>
      </c>
      <c r="AL631" s="76"/>
    </row>
    <row r="632" spans="1:39" s="23" customFormat="1" ht="14.1" hidden="1" customHeight="1">
      <c r="A632" s="145"/>
      <c r="B632" s="422" t="s">
        <v>187</v>
      </c>
      <c r="C632" s="541" t="s">
        <v>0</v>
      </c>
      <c r="D632" s="283"/>
      <c r="E632" s="745"/>
      <c r="F632"/>
      <c r="G632"/>
      <c r="H632"/>
      <c r="I632" s="740"/>
      <c r="J632"/>
      <c r="K632"/>
      <c r="L632"/>
      <c r="M632"/>
      <c r="N632"/>
      <c r="O632"/>
      <c r="P632"/>
      <c r="Q632"/>
      <c r="R632"/>
      <c r="S632"/>
      <c r="T632"/>
      <c r="U632"/>
      <c r="X632"/>
      <c r="AB632"/>
      <c r="AC632"/>
      <c r="AF632" s="360">
        <f t="shared" si="83"/>
        <v>0</v>
      </c>
      <c r="AG632" s="59"/>
      <c r="AH632" s="59" t="s">
        <v>0</v>
      </c>
      <c r="AI632" s="59"/>
      <c r="AJ632" s="59"/>
      <c r="AK632" s="159" t="s">
        <v>0</v>
      </c>
      <c r="AL632" s="76"/>
    </row>
    <row r="633" spans="1:39" s="23" customFormat="1" ht="14.1" hidden="1" customHeight="1">
      <c r="A633" s="145"/>
      <c r="B633" s="422" t="s">
        <v>188</v>
      </c>
      <c r="C633" s="541" t="s">
        <v>0</v>
      </c>
      <c r="D633" s="283"/>
      <c r="E633" s="745"/>
      <c r="F633"/>
      <c r="G633"/>
      <c r="H633"/>
      <c r="I633" s="740"/>
      <c r="J633"/>
      <c r="K633"/>
      <c r="L633"/>
      <c r="M633"/>
      <c r="N633"/>
      <c r="O633"/>
      <c r="P633"/>
      <c r="Q633"/>
      <c r="R633"/>
      <c r="S633"/>
      <c r="T633"/>
      <c r="U633"/>
      <c r="X633"/>
      <c r="AB633"/>
      <c r="AC633"/>
      <c r="AF633" s="360">
        <f t="shared" si="83"/>
        <v>0</v>
      </c>
      <c r="AG633" s="59"/>
      <c r="AH633" s="59" t="s">
        <v>0</v>
      </c>
      <c r="AI633" s="59"/>
      <c r="AJ633" s="59"/>
      <c r="AK633" s="159" t="s">
        <v>0</v>
      </c>
      <c r="AL633" s="76"/>
    </row>
    <row r="634" spans="1:39" s="23" customFormat="1" ht="14.1" hidden="1" customHeight="1">
      <c r="A634" s="145"/>
      <c r="B634" s="289" t="s">
        <v>662</v>
      </c>
      <c r="C634" s="541" t="s">
        <v>0</v>
      </c>
      <c r="D634" s="283"/>
      <c r="E634" s="745"/>
      <c r="F634"/>
      <c r="G634"/>
      <c r="H634"/>
      <c r="I634" s="740"/>
      <c r="J634"/>
      <c r="K634"/>
      <c r="L634"/>
      <c r="M634"/>
      <c r="N634"/>
      <c r="O634"/>
      <c r="P634"/>
      <c r="Q634"/>
      <c r="R634"/>
      <c r="S634"/>
      <c r="T634"/>
      <c r="U634"/>
      <c r="X634"/>
      <c r="AB634"/>
      <c r="AC634"/>
      <c r="AF634" s="360">
        <f>IF(AND(S.Notice.AD.Involved="Y",S.Notice.Involved="Y"),1,0)</f>
        <v>0</v>
      </c>
      <c r="AG634" s="59" t="s">
        <v>0</v>
      </c>
      <c r="AH634" s="59" t="s">
        <v>0</v>
      </c>
      <c r="AI634" s="59"/>
      <c r="AJ634" s="59"/>
      <c r="AK634" s="58" t="s">
        <v>0</v>
      </c>
      <c r="AL634" s="76"/>
    </row>
    <row r="635" spans="1:39" s="23" customFormat="1" ht="14.1" hidden="1" customHeight="1" thickBot="1">
      <c r="A635" s="145"/>
      <c r="B635" s="289" t="s">
        <v>663</v>
      </c>
      <c r="C635" s="541" t="s">
        <v>0</v>
      </c>
      <c r="D635" s="283"/>
      <c r="E635" s="745"/>
      <c r="F635"/>
      <c r="G635"/>
      <c r="H635"/>
      <c r="I635" s="740"/>
      <c r="J635"/>
      <c r="K635"/>
      <c r="L635"/>
      <c r="M635"/>
      <c r="N635"/>
      <c r="O635"/>
      <c r="P635"/>
      <c r="Q635"/>
      <c r="R635"/>
      <c r="S635"/>
      <c r="T635"/>
      <c r="U635"/>
      <c r="X635"/>
      <c r="AB635"/>
      <c r="AC635"/>
      <c r="AF635" s="360">
        <f>IF(AND(S.Notice.AD.Involved="Y",S.Notice.Involved="Y"),1,0)</f>
        <v>0</v>
      </c>
      <c r="AG635" s="59" t="s">
        <v>0</v>
      </c>
      <c r="AH635" s="59" t="s">
        <v>0</v>
      </c>
      <c r="AI635" s="59"/>
      <c r="AJ635" s="59"/>
      <c r="AK635" s="44"/>
      <c r="AL635" s="76"/>
    </row>
    <row r="636" spans="1:39" s="23" customFormat="1" ht="14.1" hidden="1" customHeight="1" thickBot="1">
      <c r="A636" s="145"/>
      <c r="B636" s="289" t="s">
        <v>659</v>
      </c>
      <c r="C636" s="357" t="str">
        <f>HYPERLINK("http://oarnoticefilings.sos.state.or.us","i")</f>
        <v>i</v>
      </c>
      <c r="D636" s="713"/>
      <c r="E636" s="713"/>
      <c r="I636" s="740"/>
      <c r="AF636" s="360">
        <f t="shared" ref="AF636:AF647" si="84">IF(S.Notice.Involved="Y",1,0)</f>
        <v>0</v>
      </c>
      <c r="AG636" s="59"/>
      <c r="AH636" s="59"/>
      <c r="AI636" s="59"/>
      <c r="AJ636" s="59"/>
      <c r="AK636" s="74"/>
      <c r="AL636" s="76"/>
    </row>
    <row r="637" spans="1:39" s="23" customFormat="1" ht="14.1" hidden="1" customHeight="1">
      <c r="A637" s="145" t="s">
        <v>229</v>
      </c>
      <c r="B637" s="221" t="str">
        <f>AK637</f>
        <v>Jerry drafts EMAIL.NOTICE.TO.KEY.LEGISLATORS  - instruction in template:</v>
      </c>
      <c r="C637" s="507" t="str">
        <f>HYPERLINK("\\deqhq1\Rule_Resources\i\EMAIL.KeyLegislators.docx","i")</f>
        <v>i</v>
      </c>
      <c r="D637" s="283"/>
      <c r="E637" s="745"/>
      <c r="F637"/>
      <c r="H637" s="256">
        <f>AH637</f>
        <v>0</v>
      </c>
      <c r="I637" s="740"/>
      <c r="J637"/>
      <c r="K637"/>
      <c r="L637"/>
      <c r="M637"/>
      <c r="N637"/>
      <c r="O637"/>
      <c r="P637"/>
      <c r="Q637"/>
      <c r="R637"/>
      <c r="S637"/>
      <c r="T637"/>
      <c r="U637"/>
      <c r="X637"/>
      <c r="AB637"/>
      <c r="AC637"/>
      <c r="AF637" s="360">
        <f t="shared" si="84"/>
        <v>0</v>
      </c>
      <c r="AG637" s="60">
        <f>H251</f>
        <v>0</v>
      </c>
      <c r="AH637" s="60">
        <f>IF(AF637=0,,WORKDAY(S.Notice.OpenComment,-5,S.DDL_DEQClosed))</f>
        <v>0</v>
      </c>
      <c r="AI637" s="59"/>
      <c r="AJ637" s="59"/>
      <c r="AK637" s="182" t="str">
        <f>S.Staff.Subject.Expert.FirstName&amp;" drafts EMAIL.NOTICE.TO.KEY.LEGISLATORS  - instruction in template:"</f>
        <v>Jerry drafts EMAIL.NOTICE.TO.KEY.LEGISLATORS  - instruction in template:</v>
      </c>
      <c r="AL637" s="76"/>
    </row>
    <row r="638" spans="1:39" s="23" customFormat="1" ht="14.1" hidden="1" customHeight="1">
      <c r="A638" s="145"/>
      <c r="B638" s="269" t="str">
        <f>AK638</f>
        <v>* sends draft to MargaretO to:</v>
      </c>
      <c r="C638" s="538"/>
      <c r="D638" s="283"/>
      <c r="E638" s="745"/>
      <c r="F638"/>
      <c r="G638"/>
      <c r="H638"/>
      <c r="I638" s="740"/>
      <c r="J638"/>
      <c r="K638"/>
      <c r="L638"/>
      <c r="M638"/>
      <c r="N638"/>
      <c r="O638"/>
      <c r="P638"/>
      <c r="Q638"/>
      <c r="R638"/>
      <c r="S638"/>
      <c r="T638"/>
      <c r="U638"/>
      <c r="X638"/>
      <c r="AB638"/>
      <c r="AC638"/>
      <c r="AF638" s="360">
        <f t="shared" si="84"/>
        <v>0</v>
      </c>
      <c r="AG638" s="59"/>
      <c r="AH638" s="59"/>
      <c r="AI638" s="59"/>
      <c r="AJ638" s="59"/>
      <c r="AK638" s="182" t="str">
        <f>"* sends draft to "&amp;S.Staff.LegislativeLiason&amp;" to:"</f>
        <v>* sends draft to MargaretO to:</v>
      </c>
      <c r="AL638" s="76"/>
    </row>
    <row r="639" spans="1:39" s="23" customFormat="1" ht="14.1" hidden="1" customHeight="1">
      <c r="A639" s="145"/>
      <c r="B639" s="434" t="str">
        <f>AK639</f>
        <v>MargaretO:</v>
      </c>
      <c r="C639" s="258"/>
      <c r="D639" s="325"/>
      <c r="E639" s="325"/>
      <c r="F639" s="262"/>
      <c r="G639" s="258"/>
      <c r="H639" s="258"/>
      <c r="I639" s="740"/>
      <c r="J639"/>
      <c r="K639"/>
      <c r="L639"/>
      <c r="M639"/>
      <c r="N639"/>
      <c r="O639"/>
      <c r="P639"/>
      <c r="Q639"/>
      <c r="R639"/>
      <c r="S639"/>
      <c r="T639"/>
      <c r="U639"/>
      <c r="X639"/>
      <c r="AB639"/>
      <c r="AC639"/>
      <c r="AF639" s="360">
        <f t="shared" si="84"/>
        <v>0</v>
      </c>
      <c r="AG639" s="58"/>
      <c r="AH639" s="58"/>
      <c r="AI639" s="59"/>
      <c r="AJ639" s="59"/>
      <c r="AK639" s="182" t="str">
        <f>S.Staff.LegislativeLiason&amp;":"</f>
        <v>MargaretO:</v>
      </c>
      <c r="AL639" s="76"/>
    </row>
    <row r="640" spans="1:39" s="23" customFormat="1" ht="14.1" hidden="1" customHeight="1">
      <c r="A640" s="145"/>
      <c r="B640" s="269" t="s">
        <v>664</v>
      </c>
      <c r="C640" s="507" t="str">
        <f>HYPERLINK("http://www.oregonlaws.org/ors/183.335","i")</f>
        <v>i</v>
      </c>
      <c r="D640" s="283"/>
      <c r="E640" s="745"/>
      <c r="F640"/>
      <c r="G640"/>
      <c r="H640"/>
      <c r="I640" s="740"/>
      <c r="J640"/>
      <c r="K640"/>
      <c r="L640"/>
      <c r="M640"/>
      <c r="N640"/>
      <c r="O640"/>
      <c r="P640"/>
      <c r="Q640"/>
      <c r="R640"/>
      <c r="S640"/>
      <c r="T640"/>
      <c r="U640"/>
      <c r="X640"/>
      <c r="AB640"/>
      <c r="AC640"/>
      <c r="AF640" s="360">
        <f t="shared" si="84"/>
        <v>0</v>
      </c>
      <c r="AG640" s="59"/>
      <c r="AH640" s="59"/>
      <c r="AI640" s="59"/>
      <c r="AJ640" s="59"/>
      <c r="AK640" s="159" t="s">
        <v>0</v>
      </c>
      <c r="AL640" s="76"/>
    </row>
    <row r="641" spans="1:39" s="23" customFormat="1" ht="14.1" hidden="1" customHeight="1">
      <c r="A641" s="145"/>
      <c r="B641" s="269" t="s">
        <v>665</v>
      </c>
      <c r="C641" s="538"/>
      <c r="D641" s="283"/>
      <c r="E641" s="745"/>
      <c r="I641" s="740"/>
      <c r="AF641" s="360">
        <f t="shared" si="84"/>
        <v>0</v>
      </c>
      <c r="AG641" s="59"/>
      <c r="AH641" s="59"/>
      <c r="AI641" s="59"/>
      <c r="AJ641" s="59"/>
      <c r="AK641" s="159" t="s">
        <v>0</v>
      </c>
      <c r="AL641" s="76"/>
    </row>
    <row r="642" spans="1:39" s="23" customFormat="1" ht="14.1" hidden="1" customHeight="1">
      <c r="A642" s="145"/>
      <c r="B642" s="269" t="str">
        <f>AK642</f>
        <v>* emails to recipients with Return Receipt (redirects receipt to Jerry)</v>
      </c>
      <c r="C642" s="538"/>
      <c r="D642" s="283"/>
      <c r="E642" s="745"/>
      <c r="F642"/>
      <c r="H642" s="256">
        <f>AH642</f>
        <v>0</v>
      </c>
      <c r="I642" s="740"/>
      <c r="J642"/>
      <c r="K642"/>
      <c r="L642"/>
      <c r="M642"/>
      <c r="N642"/>
      <c r="O642"/>
      <c r="P642"/>
      <c r="Q642"/>
      <c r="R642"/>
      <c r="S642"/>
      <c r="T642"/>
      <c r="U642"/>
      <c r="X642"/>
      <c r="AB642"/>
      <c r="AC642"/>
      <c r="AF642" s="360">
        <f t="shared" si="84"/>
        <v>0</v>
      </c>
      <c r="AG642" s="60" t="s">
        <v>229</v>
      </c>
      <c r="AH642" s="60">
        <f>IF(AF642=0,,S.Notice.OpenComment)</f>
        <v>0</v>
      </c>
      <c r="AI642" s="59"/>
      <c r="AJ642" s="59"/>
      <c r="AK642" s="182" t="str">
        <f>"* emails to recipients with Return Receipt (redirects receipt to "&amp;S.Staff.Subject.Expert.FirstName&amp;")"</f>
        <v>* emails to recipients with Return Receipt (redirects receipt to Jerry)</v>
      </c>
      <c r="AL642" s="76"/>
    </row>
    <row r="643" spans="1:39" s="23" customFormat="1" ht="14.1" hidden="1" customHeight="1">
      <c r="A643" s="145"/>
      <c r="B643" s="220" t="str">
        <f>AK643</f>
        <v>* copies Jerry</v>
      </c>
      <c r="C643" s="541" t="s">
        <v>0</v>
      </c>
      <c r="D643" s="283"/>
      <c r="E643" s="745"/>
      <c r="F643"/>
      <c r="G643"/>
      <c r="H643"/>
      <c r="I643" s="740"/>
      <c r="J643"/>
      <c r="K643"/>
      <c r="L643"/>
      <c r="M643"/>
      <c r="N643"/>
      <c r="O643"/>
      <c r="P643"/>
      <c r="Q643"/>
      <c r="R643"/>
      <c r="S643"/>
      <c r="T643"/>
      <c r="U643"/>
      <c r="X643"/>
      <c r="AB643"/>
      <c r="AC643"/>
      <c r="AF643" s="360">
        <f t="shared" si="84"/>
        <v>0</v>
      </c>
      <c r="AG643" s="58"/>
      <c r="AH643" s="58"/>
      <c r="AI643" s="59"/>
      <c r="AJ643" s="59"/>
      <c r="AK643" s="182" t="str">
        <f>"* copies "&amp;S.Staff.Subject.Expert.FirstName</f>
        <v>* copies Jerry</v>
      </c>
      <c r="AL643" s="76"/>
    </row>
    <row r="644" spans="1:39" s="23" customFormat="1" ht="14.1" hidden="1" customHeight="1">
      <c r="A644" s="145"/>
      <c r="B644" s="220" t="s">
        <v>660</v>
      </c>
      <c r="C644" s="258"/>
      <c r="D644" s="283"/>
      <c r="E644" s="745"/>
      <c r="F644" s="262"/>
      <c r="G644" s="258"/>
      <c r="H644" s="258"/>
      <c r="I644" s="740"/>
      <c r="J644"/>
      <c r="K644"/>
      <c r="L644"/>
      <c r="M644"/>
      <c r="N644"/>
      <c r="O644"/>
      <c r="P644"/>
      <c r="Q644"/>
      <c r="R644"/>
      <c r="S644"/>
      <c r="T644"/>
      <c r="U644"/>
      <c r="X644"/>
      <c r="AB644"/>
      <c r="AC644"/>
      <c r="AF644" s="360">
        <f t="shared" si="84"/>
        <v>0</v>
      </c>
      <c r="AG644" s="58"/>
      <c r="AH644" s="58"/>
      <c r="AI644" s="59"/>
      <c r="AJ644" s="59"/>
      <c r="AK644" s="345"/>
      <c r="AL644" s="76"/>
    </row>
    <row r="645" spans="1:39" s="23" customFormat="1" ht="14.1" hidden="1" customHeight="1">
      <c r="A645" s="145"/>
      <c r="B645" s="285" t="str">
        <f>AK645</f>
        <v>AndreaG &amp; Michele maintain Rukemaking Activities Web page</v>
      </c>
      <c r="C645" s="541" t="s">
        <v>0</v>
      </c>
      <c r="D645" s="325"/>
      <c r="E645" s="325"/>
      <c r="F645"/>
      <c r="G645" s="309">
        <f>AG645</f>
        <v>0</v>
      </c>
      <c r="H645" s="263">
        <f>AH645</f>
        <v>0</v>
      </c>
      <c r="I645" s="740"/>
      <c r="J645"/>
      <c r="K645"/>
      <c r="L645"/>
      <c r="M645"/>
      <c r="N645"/>
      <c r="O645"/>
      <c r="P645"/>
      <c r="Q645"/>
      <c r="R645"/>
      <c r="S645"/>
      <c r="T645"/>
      <c r="U645"/>
      <c r="X645"/>
      <c r="AB645"/>
      <c r="AC645"/>
      <c r="AF645" s="360">
        <f t="shared" si="84"/>
        <v>0</v>
      </c>
      <c r="AG645" s="60">
        <f>IF(AF645=0,,S.Notice.OpenComment)</f>
        <v>0</v>
      </c>
      <c r="AH645" s="60">
        <f>IF(AF645=0,,S.Notice.BANNER.End)</f>
        <v>0</v>
      </c>
      <c r="AI645" s="59"/>
      <c r="AJ645" s="59"/>
      <c r="AK645" s="182" t="str">
        <f>S.Staff.RG.Lead.FirstName&amp;" &amp; "&amp;S.Staff.WebMaster&amp;" maintain Rukemaking Activities Web page"</f>
        <v>AndreaG &amp; Michele maintain Rukemaking Activities Web page</v>
      </c>
      <c r="AL645" s="76"/>
    </row>
    <row r="646" spans="1:39" s="23" customFormat="1" ht="14.1" hidden="1" customHeight="1">
      <c r="A646" s="145"/>
      <c r="B646" s="208" t="str">
        <f>AK646</f>
        <v xml:space="preserve">Jerry gathers andsaves all emails on </v>
      </c>
      <c r="C646" s="505" t="str">
        <f>HYPERLINK("\\deqhq1\Rule_Development\Currrent Plan","i")</f>
        <v>i</v>
      </c>
      <c r="D646" s="283"/>
      <c r="E646" s="745"/>
      <c r="F646"/>
      <c r="G646" s="256">
        <f>AG646</f>
        <v>0</v>
      </c>
      <c r="H646" s="256">
        <f>AH646</f>
        <v>0</v>
      </c>
      <c r="I646" s="740"/>
      <c r="J646"/>
      <c r="K646"/>
      <c r="L646"/>
      <c r="M646"/>
      <c r="N646"/>
      <c r="O646"/>
      <c r="P646"/>
      <c r="Q646"/>
      <c r="R646"/>
      <c r="S646"/>
      <c r="T646"/>
      <c r="U646"/>
      <c r="X646"/>
      <c r="AB646"/>
      <c r="AC646"/>
      <c r="AF646" s="360">
        <f t="shared" si="84"/>
        <v>0</v>
      </c>
      <c r="AG646" s="60">
        <f>IF(AF646=0,,S.Notice.BANNER.Begin)</f>
        <v>0</v>
      </c>
      <c r="AH646" s="60">
        <f>IF(AF646=0,,S.Notice.BANNER.End)</f>
        <v>0</v>
      </c>
      <c r="AI646" s="59"/>
      <c r="AJ646" s="59"/>
      <c r="AK646" s="182" t="str">
        <f>S.Staff.Subject.Expert.FirstName&amp;" gathers andsaves all emails on "</f>
        <v xml:space="preserve">Jerry gathers andsaves all emails on </v>
      </c>
      <c r="AL646" s="76"/>
    </row>
    <row r="647" spans="1:39" s="23" customFormat="1" ht="14.1" hidden="1" customHeight="1">
      <c r="A647" s="145"/>
      <c r="B647" s="220" t="s">
        <v>661</v>
      </c>
      <c r="C647" s="258"/>
      <c r="D647" s="283"/>
      <c r="E647" s="745"/>
      <c r="F647" s="262"/>
      <c r="G647" s="258"/>
      <c r="H647" s="258"/>
      <c r="I647" s="740"/>
      <c r="AF647" s="360">
        <f t="shared" si="84"/>
        <v>0</v>
      </c>
      <c r="AG647" s="58"/>
      <c r="AH647" s="58"/>
      <c r="AI647" s="59"/>
      <c r="AJ647" s="59"/>
      <c r="AK647" s="345"/>
      <c r="AL647" s="76"/>
    </row>
    <row r="648" spans="1:39" ht="6" customHeight="1">
      <c r="A648" s="145"/>
      <c r="B648" s="293"/>
      <c r="C648" s="295"/>
      <c r="D648" s="294"/>
      <c r="E648" s="294"/>
      <c r="F648" s="296" t="s">
        <v>0</v>
      </c>
      <c r="G648" s="297"/>
      <c r="H648" s="297"/>
      <c r="I648" s="740"/>
      <c r="AF648" s="360" t="s">
        <v>20</v>
      </c>
      <c r="AG648" s="47"/>
      <c r="AH648" s="47"/>
      <c r="AI648" s="59"/>
      <c r="AJ648" s="59"/>
      <c r="AK648" s="44"/>
      <c r="AL648" s="76"/>
      <c r="AM648"/>
    </row>
    <row r="649" spans="1:39" s="23" customFormat="1" ht="20.25" hidden="1" customHeight="1">
      <c r="A649" s="145"/>
      <c r="B649" s="1011" t="str">
        <f>AK29</f>
        <v>Public Comment and Testimony - not involved</v>
      </c>
      <c r="C649" s="1011"/>
      <c r="D649" s="1011"/>
      <c r="E649" s="1011"/>
      <c r="F649" s="1011"/>
      <c r="G649" s="1011"/>
      <c r="H649" s="1011"/>
      <c r="I649" s="740"/>
      <c r="J649"/>
      <c r="K649"/>
      <c r="L649"/>
      <c r="M649"/>
      <c r="N649"/>
      <c r="O649"/>
      <c r="P649"/>
      <c r="Q649"/>
      <c r="R649"/>
      <c r="S649"/>
      <c r="T649"/>
      <c r="U649"/>
      <c r="X649"/>
      <c r="AB649"/>
      <c r="AC649"/>
      <c r="AF649" s="360" t="s">
        <v>21</v>
      </c>
      <c r="AG649" s="76"/>
      <c r="AH649" s="76"/>
      <c r="AI649" s="59"/>
      <c r="AJ649" s="68"/>
      <c r="AK649" s="345"/>
      <c r="AL649" s="76"/>
    </row>
    <row r="650" spans="1:39" s="375" customFormat="1" ht="14.1" hidden="1" customHeight="1" outlineLevel="1">
      <c r="A650" s="372"/>
      <c r="B650" s="453" t="s">
        <v>0</v>
      </c>
      <c r="C650" s="373" t="s">
        <v>0</v>
      </c>
      <c r="D650" s="373"/>
      <c r="E650" s="373"/>
      <c r="F650" s="381"/>
      <c r="G650" s="374" t="s">
        <v>56</v>
      </c>
      <c r="H650" s="374" t="s">
        <v>171</v>
      </c>
      <c r="I650" s="740"/>
      <c r="J650"/>
      <c r="K650"/>
      <c r="L650"/>
      <c r="M650"/>
      <c r="N650"/>
      <c r="O650"/>
      <c r="P650"/>
      <c r="Q650"/>
      <c r="R650"/>
      <c r="S650"/>
      <c r="T650"/>
      <c r="U650"/>
      <c r="V650" s="23"/>
      <c r="W650" s="23"/>
      <c r="X650"/>
      <c r="Y650" s="23"/>
      <c r="Z650" s="23"/>
      <c r="AA650" s="23"/>
      <c r="AB650"/>
      <c r="AC650"/>
      <c r="AD650" s="23"/>
      <c r="AE650" s="23"/>
      <c r="AF650" s="377" t="s">
        <v>58</v>
      </c>
      <c r="AG650" s="376"/>
      <c r="AH650" s="376"/>
      <c r="AI650" s="378"/>
      <c r="AJ650" s="379"/>
      <c r="AK650" s="380"/>
      <c r="AL650" s="376"/>
    </row>
    <row r="651" spans="1:39" ht="14.1" hidden="1" customHeight="1" outlineLevel="1">
      <c r="A651" s="145"/>
      <c r="B651" s="808" t="s">
        <v>0</v>
      </c>
      <c r="C651" s="104"/>
      <c r="D651" s="174"/>
      <c r="E651" s="174"/>
      <c r="F651" s="125"/>
      <c r="G651" s="175">
        <f>AG651</f>
        <v>0</v>
      </c>
      <c r="H651" s="201">
        <f>AH651</f>
        <v>0</v>
      </c>
      <c r="I651" s="740"/>
      <c r="AF651" s="360" t="s">
        <v>58</v>
      </c>
      <c r="AG651" s="60">
        <f>IF(S.Notice.Involved="N",,S.Notice.BANNER.Begin)</f>
        <v>0</v>
      </c>
      <c r="AH651" s="60">
        <f>IF(S.Notice.Involved="N",, S.EQC.PacketEndReview)</f>
        <v>0</v>
      </c>
      <c r="AI651" s="59"/>
      <c r="AJ651" s="59"/>
      <c r="AK651" s="345"/>
      <c r="AL651" s="76"/>
      <c r="AM651"/>
    </row>
    <row r="652" spans="1:39" ht="6" hidden="1" customHeight="1" outlineLevel="1">
      <c r="A652" s="145"/>
      <c r="B652" s="106"/>
      <c r="C652" s="98"/>
      <c r="D652" s="687"/>
      <c r="E652" s="687"/>
      <c r="F652" s="99"/>
      <c r="G652" s="98"/>
      <c r="H652" s="98"/>
      <c r="I652" s="740"/>
      <c r="AF652" s="360" t="s">
        <v>16</v>
      </c>
      <c r="AG652" s="47"/>
      <c r="AH652" s="47"/>
      <c r="AI652" s="59"/>
      <c r="AJ652" s="59"/>
      <c r="AK652" s="44"/>
      <c r="AL652" s="76"/>
      <c r="AM652"/>
    </row>
    <row r="653" spans="1:39" s="23" customFormat="1" ht="14.1" hidden="1" customHeight="1" outlineLevel="1" thickBot="1">
      <c r="A653" s="145"/>
      <c r="B653" s="534" t="s">
        <v>306</v>
      </c>
      <c r="C653" s="508" t="str">
        <f>HYPERLINK("\\deqhq1\Rule_Resources\i\0-VersionHistory.pdf","i")</f>
        <v>i</v>
      </c>
      <c r="D653" s="688"/>
      <c r="E653" s="688"/>
      <c r="F653" s="83"/>
      <c r="G653" s="82"/>
      <c r="H653" s="82"/>
      <c r="I653" s="740"/>
      <c r="J653"/>
      <c r="K653"/>
      <c r="L653"/>
      <c r="M653"/>
      <c r="N653"/>
      <c r="O653"/>
      <c r="P653"/>
      <c r="Q653"/>
      <c r="R653"/>
      <c r="S653"/>
      <c r="T653"/>
      <c r="U653"/>
      <c r="X653"/>
      <c r="AB653"/>
      <c r="AC653"/>
      <c r="AF653" s="361" t="s">
        <v>20</v>
      </c>
      <c r="AG653" s="47"/>
      <c r="AH653" s="47"/>
      <c r="AI653" s="69"/>
      <c r="AJ653" s="69"/>
      <c r="AK653" s="35"/>
      <c r="AL653" s="76"/>
    </row>
    <row r="654" spans="1:39" ht="14.1" hidden="1" customHeight="1" outlineLevel="1" thickBot="1">
      <c r="A654" s="145"/>
      <c r="B654" s="298" t="str">
        <f>AK654</f>
        <v>Jerry verifies venues and equipment, gathers supplies</v>
      </c>
      <c r="C654" s="413" t="s">
        <v>48</v>
      </c>
      <c r="D654" s="356"/>
      <c r="E654" s="745"/>
      <c r="F654" s="23"/>
      <c r="G654" s="299">
        <f>AG654</f>
        <v>0</v>
      </c>
      <c r="H654" s="299">
        <f>AH654</f>
        <v>0</v>
      </c>
      <c r="I654" s="740"/>
      <c r="AF654" s="360">
        <f>IF(AND(S.Notice.Involved="Y",S.Hearing.1stInvolve="Y"),1,0)</f>
        <v>0</v>
      </c>
      <c r="AG654" s="60">
        <f>IF(AF654=0,,S.Hearing.BANNER.Begin)</f>
        <v>0</v>
      </c>
      <c r="AH654" s="60">
        <f>S.Hearing.1stDate</f>
        <v>0</v>
      </c>
      <c r="AI654" s="59"/>
      <c r="AJ654" s="59"/>
      <c r="AK654" s="67" t="str">
        <f>S.Staff.Support&amp;" verifies venues and equipment, gathers supplies"</f>
        <v>Jerry verifies venues and equipment, gathers supplies</v>
      </c>
      <c r="AL654" s="76"/>
      <c r="AM654"/>
    </row>
    <row r="655" spans="1:39" s="23" customFormat="1" ht="14.1" hidden="1" customHeight="1" outlineLevel="2">
      <c r="A655" s="145"/>
      <c r="B655" s="512" t="str">
        <f>AK655</f>
        <v>Team does not plan to hold information meeting</v>
      </c>
      <c r="C655" s="300"/>
      <c r="D655" s="301"/>
      <c r="E655" s="301"/>
      <c r="G655" s="300"/>
      <c r="H655" s="300"/>
      <c r="I655" s="740"/>
      <c r="J655"/>
      <c r="K655"/>
      <c r="L655"/>
      <c r="M655"/>
      <c r="N655"/>
      <c r="O655"/>
      <c r="P655"/>
      <c r="Q655"/>
      <c r="R655"/>
      <c r="S655"/>
      <c r="T655"/>
      <c r="U655"/>
      <c r="X655"/>
      <c r="AB655"/>
      <c r="AC655"/>
      <c r="AF655" s="360">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6" t="str">
        <f>AK656</f>
        <v>Jerry:</v>
      </c>
      <c r="C656" s="258"/>
      <c r="D656" s="283"/>
      <c r="E656" s="745"/>
      <c r="G656" s="299">
        <f>AG656</f>
        <v>0</v>
      </c>
      <c r="H656" s="299">
        <f>AH656</f>
        <v>0</v>
      </c>
      <c r="I656" s="740"/>
      <c r="J656"/>
      <c r="K656"/>
      <c r="L656"/>
      <c r="M656"/>
      <c r="N656"/>
      <c r="O656"/>
      <c r="P656"/>
      <c r="Q656"/>
      <c r="R656"/>
      <c r="S656"/>
      <c r="T656"/>
      <c r="U656"/>
      <c r="X656"/>
      <c r="AB656"/>
      <c r="AC656"/>
      <c r="AF656" s="360">
        <f>IF(AND(S.Notice.Involved="Y",S.Notice.AD.Involved="Y"),1,0)</f>
        <v>0</v>
      </c>
      <c r="AG656" s="60">
        <f t="shared" ref="AG656:AG661" si="85">IF(AF656=0,,S.Hearing.BANNER.Begin)</f>
        <v>0</v>
      </c>
      <c r="AH656" s="60">
        <f t="shared" ref="AH656:AH661" si="86">G656</f>
        <v>0</v>
      </c>
      <c r="AI656" s="59"/>
      <c r="AJ656" s="59"/>
      <c r="AK656" s="67" t="str">
        <f>S.Staff.Subject.Expert.FirstName&amp;":"</f>
        <v>Jerry:</v>
      </c>
      <c r="AL656" s="76"/>
    </row>
    <row r="657" spans="1:39" s="23" customFormat="1" ht="14.1" hidden="1" customHeight="1" outlineLevel="2" thickBot="1">
      <c r="A657" s="145"/>
      <c r="B657" s="446" t="s">
        <v>221</v>
      </c>
      <c r="C657" s="541" t="s">
        <v>0</v>
      </c>
      <c r="D657" s="283"/>
      <c r="E657" s="745"/>
      <c r="F657"/>
      <c r="G657"/>
      <c r="H657"/>
      <c r="I657" s="740"/>
      <c r="J657"/>
      <c r="K657"/>
      <c r="L657"/>
      <c r="M657"/>
      <c r="N657"/>
      <c r="O657"/>
      <c r="P657"/>
      <c r="Q657"/>
      <c r="R657"/>
      <c r="S657"/>
      <c r="T657"/>
      <c r="U657"/>
      <c r="X657"/>
      <c r="AB657"/>
      <c r="AC657"/>
      <c r="AF657" s="360">
        <f>IF(AND(S.Notice.Involved="Y",S.Hearing.1stInvolve="Y",S.Notice.InformationMeeting="Y"),1,0)</f>
        <v>0</v>
      </c>
      <c r="AG657" s="60">
        <f t="shared" si="85"/>
        <v>0</v>
      </c>
      <c r="AH657" s="60">
        <f t="shared" si="86"/>
        <v>0</v>
      </c>
      <c r="AI657" s="59"/>
      <c r="AJ657" s="59"/>
      <c r="AK657" s="380"/>
      <c r="AL657" s="76"/>
    </row>
    <row r="658" spans="1:39" s="23" customFormat="1" ht="14.1" hidden="1" customHeight="1" outlineLevel="2" thickBot="1">
      <c r="A658" s="145"/>
      <c r="B658" s="446" t="s">
        <v>266</v>
      </c>
      <c r="C658" s="413" t="s">
        <v>48</v>
      </c>
      <c r="D658" s="356"/>
      <c r="E658" s="745"/>
      <c r="G658"/>
      <c r="H658"/>
      <c r="I658" s="740"/>
      <c r="J658"/>
      <c r="K658"/>
      <c r="L658"/>
      <c r="M658"/>
      <c r="N658"/>
      <c r="O658"/>
      <c r="P658"/>
      <c r="Q658"/>
      <c r="R658"/>
      <c r="S658"/>
      <c r="T658"/>
      <c r="U658"/>
      <c r="X658"/>
      <c r="AB658"/>
      <c r="AC658"/>
      <c r="AF658" s="360">
        <f t="shared" ref="AF658:AF663" si="87">IF(AND(S.Notice.Involved="Y",S.Hearing.1stInvolve="Y",S.Notice.InformationMeeting="Y",S.Planning.MessageMap="Y"),1,0)</f>
        <v>0</v>
      </c>
      <c r="AG658" s="60">
        <f t="shared" si="85"/>
        <v>0</v>
      </c>
      <c r="AH658" s="60">
        <f t="shared" si="86"/>
        <v>0</v>
      </c>
      <c r="AI658" s="59"/>
      <c r="AJ658" s="59"/>
      <c r="AK658" s="380"/>
      <c r="AL658" s="76"/>
    </row>
    <row r="659" spans="1:39" s="456" customFormat="1" ht="14.1" hidden="1" customHeight="1" outlineLevel="2">
      <c r="A659" s="454"/>
      <c r="B659" s="446" t="s">
        <v>222</v>
      </c>
      <c r="C659" s="219" t="s">
        <v>0</v>
      </c>
      <c r="D659" s="455"/>
      <c r="E659" s="887"/>
      <c r="F659" s="23"/>
      <c r="G659"/>
      <c r="H659"/>
      <c r="I659" s="740"/>
      <c r="J659"/>
      <c r="K659"/>
      <c r="L659"/>
      <c r="M659"/>
      <c r="N659"/>
      <c r="O659"/>
      <c r="P659"/>
      <c r="Q659"/>
      <c r="R659"/>
      <c r="S659"/>
      <c r="T659"/>
      <c r="U659"/>
      <c r="V659" s="23"/>
      <c r="W659" s="23"/>
      <c r="X659"/>
      <c r="Y659" s="23"/>
      <c r="Z659" s="23"/>
      <c r="AA659" s="23"/>
      <c r="AB659"/>
      <c r="AC659"/>
      <c r="AD659" s="23"/>
      <c r="AE659" s="23"/>
      <c r="AF659" s="360">
        <f t="shared" si="87"/>
        <v>0</v>
      </c>
      <c r="AG659" s="60">
        <f t="shared" si="85"/>
        <v>0</v>
      </c>
      <c r="AH659" s="60">
        <f t="shared" si="86"/>
        <v>0</v>
      </c>
      <c r="AI659" s="458"/>
      <c r="AJ659" s="458"/>
      <c r="AK659" s="380"/>
      <c r="AL659" s="457"/>
    </row>
    <row r="660" spans="1:39" s="23" customFormat="1" ht="14.1" hidden="1" customHeight="1" outlineLevel="2">
      <c r="A660" s="145"/>
      <c r="B660" s="446" t="s">
        <v>223</v>
      </c>
      <c r="C660" s="541" t="s">
        <v>0</v>
      </c>
      <c r="D660" s="283"/>
      <c r="E660" s="745"/>
      <c r="G660"/>
      <c r="H660"/>
      <c r="I660" s="740"/>
      <c r="J660"/>
      <c r="K660"/>
      <c r="L660"/>
      <c r="M660"/>
      <c r="N660"/>
      <c r="O660"/>
      <c r="P660"/>
      <c r="Q660"/>
      <c r="R660"/>
      <c r="S660"/>
      <c r="T660"/>
      <c r="U660"/>
      <c r="X660"/>
      <c r="AB660"/>
      <c r="AC660"/>
      <c r="AF660" s="360">
        <f t="shared" si="87"/>
        <v>0</v>
      </c>
      <c r="AG660" s="60">
        <f t="shared" si="85"/>
        <v>0</v>
      </c>
      <c r="AH660" s="60">
        <f t="shared" si="86"/>
        <v>0</v>
      </c>
      <c r="AI660" s="59"/>
      <c r="AJ660" s="59"/>
      <c r="AK660" s="380"/>
      <c r="AL660" s="76"/>
    </row>
    <row r="661" spans="1:39" ht="14.1" hidden="1" customHeight="1" outlineLevel="2">
      <c r="A661" s="145"/>
      <c r="B661" s="446" t="s">
        <v>224</v>
      </c>
      <c r="C661" s="537" t="s">
        <v>0</v>
      </c>
      <c r="D661" s="283"/>
      <c r="E661" s="745"/>
      <c r="F661" s="23"/>
      <c r="G661"/>
      <c r="H661"/>
      <c r="I661" s="740"/>
      <c r="AF661" s="360">
        <f t="shared" si="87"/>
        <v>0</v>
      </c>
      <c r="AG661" s="60">
        <f t="shared" si="85"/>
        <v>0</v>
      </c>
      <c r="AH661" s="60">
        <f t="shared" si="86"/>
        <v>0</v>
      </c>
      <c r="AI661" s="59"/>
      <c r="AJ661" s="59"/>
      <c r="AK661" s="380"/>
      <c r="AL661" s="76"/>
      <c r="AM661"/>
    </row>
    <row r="662" spans="1:39" s="23" customFormat="1" ht="14.1" hidden="1" customHeight="1" outlineLevel="2">
      <c r="A662" s="145"/>
      <c r="B662" s="446" t="str">
        <f>AK662</f>
        <v>* initiates Leah's review/approval, addresses suggestions</v>
      </c>
      <c r="C662" s="541" t="s">
        <v>0</v>
      </c>
      <c r="D662" s="283"/>
      <c r="E662" s="745"/>
      <c r="G662" s="299">
        <f>AG662</f>
        <v>0</v>
      </c>
      <c r="H662" s="299">
        <f>AH662</f>
        <v>0</v>
      </c>
      <c r="I662" s="740"/>
      <c r="J662"/>
      <c r="K662"/>
      <c r="L662"/>
      <c r="M662"/>
      <c r="N662"/>
      <c r="O662"/>
      <c r="P662"/>
      <c r="Q662"/>
      <c r="R662"/>
      <c r="S662"/>
      <c r="T662"/>
      <c r="U662"/>
      <c r="X662"/>
      <c r="AB662"/>
      <c r="AC662"/>
      <c r="AF662" s="360">
        <f t="shared" si="87"/>
        <v>0</v>
      </c>
      <c r="AG662" s="60">
        <f>H656</f>
        <v>0</v>
      </c>
      <c r="AH662" s="60">
        <f>AG662</f>
        <v>0</v>
      </c>
      <c r="AI662" s="202" t="s">
        <v>0</v>
      </c>
      <c r="AJ662" s="59"/>
      <c r="AK662" s="182" t="str">
        <f>"* initiates "&amp;S.Staff.Program.Mgr.FirstName&amp;"'s review/approval, addresses suggestions"</f>
        <v>* initiates Leah's review/approval, addresses suggestions</v>
      </c>
      <c r="AL662" s="76"/>
    </row>
    <row r="663" spans="1:39" ht="14.1" hidden="1" customHeight="1" outlineLevel="2" thickBot="1">
      <c r="A663" s="145"/>
      <c r="B663" s="555" t="str">
        <f>AK663</f>
        <v>1st loop Leah reviews/approves optional presentation</v>
      </c>
      <c r="C663" s="538"/>
      <c r="D663" s="283"/>
      <c r="E663" s="745"/>
      <c r="F663" s="23"/>
      <c r="G663" s="299">
        <f t="shared" ref="G663:H666" si="88">AG663</f>
        <v>0</v>
      </c>
      <c r="H663" s="299">
        <f t="shared" si="88"/>
        <v>0</v>
      </c>
      <c r="I663" s="740"/>
      <c r="AF663" s="360">
        <f t="shared" si="87"/>
        <v>0</v>
      </c>
      <c r="AG663" s="60">
        <f>G656</f>
        <v>0</v>
      </c>
      <c r="AH663" s="60">
        <f>AG663</f>
        <v>0</v>
      </c>
      <c r="AI663" s="59" t="s">
        <v>0</v>
      </c>
      <c r="AJ663" s="59"/>
      <c r="AK663" s="182" t="str">
        <f>"1st loop "&amp;S.Staff.Program.Mgr.FirstName&amp;" reviews/approves optional presentation"</f>
        <v>1st loop Leah reviews/approves optional presentation</v>
      </c>
      <c r="AL663" s="76"/>
      <c r="AM663"/>
    </row>
    <row r="664" spans="1:39" ht="14.1" hidden="1" customHeight="1" outlineLevel="2" thickBot="1">
      <c r="A664" s="145"/>
      <c r="B664" s="556" t="str">
        <f>AK664</f>
        <v>2nd loop Leah reviews/approves optional presentation</v>
      </c>
      <c r="C664" s="477" t="s">
        <v>205</v>
      </c>
      <c r="D664" s="283"/>
      <c r="E664" s="745"/>
      <c r="F664" s="23"/>
      <c r="G664" s="299">
        <f t="shared" si="88"/>
        <v>0</v>
      </c>
      <c r="H664" s="299">
        <f t="shared" si="88"/>
        <v>0</v>
      </c>
      <c r="I664" s="740"/>
      <c r="AF664" s="360">
        <f>IF(S.EQC.ApprovePresentationLoop2="N",,IF(AND(S.Notice.Involved="Y",S.Hearing.1stInvolve="Y",S.Notice.InformationMeeting="Y",S.Planning.MessageMap="Y"),1,0))</f>
        <v>0</v>
      </c>
      <c r="AG664" s="60">
        <f>IF(AF664=0,,MAX(AH657:AH661))</f>
        <v>0</v>
      </c>
      <c r="AH664" s="60">
        <f>AG664</f>
        <v>0</v>
      </c>
      <c r="AI664" s="59" t="s">
        <v>0</v>
      </c>
      <c r="AJ664" s="59"/>
      <c r="AK664" s="182" t="str">
        <f>"2nd loop "&amp;S.Staff.Program.Mgr.FirstName&amp;" reviews/approves optional presentation"</f>
        <v>2nd loop Leah reviews/approves optional presentation</v>
      </c>
      <c r="AL664" s="76"/>
      <c r="AM664"/>
    </row>
    <row r="665" spans="1:39" ht="14.1" hidden="1" customHeight="1" outlineLevel="2" thickBot="1">
      <c r="A665" s="145"/>
      <c r="B665" s="557" t="str">
        <f>AK665</f>
        <v>3rd loop Leah reviews/approves optional presentation</v>
      </c>
      <c r="C665" s="477" t="s">
        <v>205</v>
      </c>
      <c r="D665" s="283"/>
      <c r="E665" s="745"/>
      <c r="F665" s="23"/>
      <c r="G665" s="299">
        <f t="shared" si="88"/>
        <v>0</v>
      </c>
      <c r="H665" s="299">
        <f t="shared" si="88"/>
        <v>0</v>
      </c>
      <c r="I665" s="740"/>
      <c r="AF665" s="360">
        <f>IF(S.EQC.ApprovePresentationLoop3="N",,IF(AND(S.Notice.Involved="Y",S.Hearing.1stInvolve="Y",S.Notice.InformationMeeting="Y",S.Planning.MessageMap="Y"),1,0))</f>
        <v>0</v>
      </c>
      <c r="AG665" s="60">
        <f>IF(AF665=0,,MAX(AH657:AH661))</f>
        <v>0</v>
      </c>
      <c r="AH665" s="60">
        <f>AG665</f>
        <v>0</v>
      </c>
      <c r="AI665" s="59"/>
      <c r="AJ665" s="59"/>
      <c r="AK665" s="182" t="str">
        <f>"3rd loop "&amp;S.Staff.Program.Mgr.FirstName&amp;" reviews/approves optional presentation"</f>
        <v>3rd loop Leah reviews/approves optional presentation</v>
      </c>
      <c r="AL665" s="76"/>
      <c r="AM665"/>
    </row>
    <row r="666" spans="1:39" ht="14.1" hidden="1" customHeight="1" outlineLevel="2" thickBot="1">
      <c r="A666" s="145"/>
      <c r="B666" s="558" t="str">
        <f>AK666</f>
        <v>4th loop Leah reviews/approves optional presentation</v>
      </c>
      <c r="C666" s="477" t="s">
        <v>205</v>
      </c>
      <c r="D666" s="283"/>
      <c r="E666" s="745"/>
      <c r="F666" s="23"/>
      <c r="G666" s="299">
        <f t="shared" si="88"/>
        <v>0</v>
      </c>
      <c r="H666" s="299">
        <f t="shared" si="88"/>
        <v>0</v>
      </c>
      <c r="I666" s="740"/>
      <c r="AF666" s="360">
        <f>IF(S.EQC.ApprovePresentationLoop4="N",,IF(AND(S.Notice.Involved="Y",S.Hearing.1stInvolve="Y",S.Notice.InformationMeeting="Y",S.Planning.MessageMap="Y"),1,0))</f>
        <v>0</v>
      </c>
      <c r="AG666" s="60">
        <f>IF(AF666=0,,MAX(AH657:AH661))</f>
        <v>0</v>
      </c>
      <c r="AH666" s="60">
        <f>AG666</f>
        <v>0</v>
      </c>
      <c r="AI666" s="59"/>
      <c r="AJ666" s="59"/>
      <c r="AK666" s="182" t="str">
        <f>"4th loop "&amp;S.Staff.Program.Mgr.FirstName&amp;" reviews/approves optional presentation"</f>
        <v>4th loop Leah reviews/approves optional presentation</v>
      </c>
      <c r="AL666" s="76"/>
      <c r="AM666"/>
    </row>
    <row r="667" spans="1:39" s="23" customFormat="1" ht="14.1" hidden="1" customHeight="1" outlineLevel="1">
      <c r="A667" s="145"/>
      <c r="B667" s="290" t="s">
        <v>707</v>
      </c>
      <c r="C667" s="258"/>
      <c r="D667" s="325"/>
      <c r="E667" s="325"/>
      <c r="G667" s="258"/>
      <c r="H667" s="258"/>
      <c r="I667" s="740"/>
      <c r="J667"/>
      <c r="K667"/>
      <c r="L667"/>
      <c r="M667"/>
      <c r="N667"/>
      <c r="O667"/>
      <c r="P667"/>
      <c r="Q667"/>
      <c r="R667"/>
      <c r="S667"/>
      <c r="T667"/>
      <c r="U667"/>
      <c r="X667"/>
      <c r="AB667"/>
      <c r="AC667"/>
      <c r="AF667" s="360">
        <f>IF(S.Hearing.1stInvolve="Y",1,0)</f>
        <v>1</v>
      </c>
      <c r="AG667" s="58"/>
      <c r="AH667" s="58"/>
      <c r="AI667" s="59"/>
      <c r="AJ667" s="59"/>
      <c r="AK667" s="62"/>
      <c r="AL667" s="76"/>
    </row>
    <row r="668" spans="1:39" s="23" customFormat="1" ht="14.1" hidden="1" customHeight="1" outlineLevel="1" collapsed="1" thickBot="1">
      <c r="A668" s="145"/>
      <c r="B668" s="424" t="s">
        <v>200</v>
      </c>
      <c r="C668" s="541" t="s">
        <v>0</v>
      </c>
      <c r="D668" s="283"/>
      <c r="E668" s="745"/>
      <c r="G668" s="299">
        <f>AG668</f>
        <v>0</v>
      </c>
      <c r="H668" s="299">
        <f>AH668</f>
        <v>0</v>
      </c>
      <c r="I668" s="740"/>
      <c r="J668"/>
      <c r="K668"/>
      <c r="L668"/>
      <c r="M668"/>
      <c r="N668"/>
      <c r="O668"/>
      <c r="P668"/>
      <c r="Q668"/>
      <c r="R668"/>
      <c r="S668"/>
      <c r="T668"/>
      <c r="U668"/>
      <c r="X668"/>
      <c r="AB668"/>
      <c r="AC668"/>
      <c r="AF668" s="360">
        <f>IF(S.Notice.Involved="Y",1,0)</f>
        <v>0</v>
      </c>
      <c r="AG668" s="60">
        <f>IF(AF668=0,,S.Hearing.BANNER.Begin)</f>
        <v>0</v>
      </c>
      <c r="AH668" s="60">
        <f>S.Hearing.1stDate</f>
        <v>0</v>
      </c>
      <c r="AI668" s="59"/>
      <c r="AJ668" s="61"/>
      <c r="AK668" s="62"/>
      <c r="AL668" s="76"/>
    </row>
    <row r="669" spans="1:39" s="23" customFormat="1" ht="14.1" hidden="1" customHeight="1" outlineLevel="1" thickBot="1">
      <c r="A669" s="145"/>
      <c r="B669" s="424" t="s">
        <v>204</v>
      </c>
      <c r="C669" s="413" t="s">
        <v>48</v>
      </c>
      <c r="D669" s="283"/>
      <c r="E669" s="745"/>
      <c r="G669" s="299">
        <f>AG669</f>
        <v>0</v>
      </c>
      <c r="H669" s="299">
        <f>AH669</f>
        <v>0</v>
      </c>
      <c r="I669" s="740"/>
      <c r="J669"/>
      <c r="K669"/>
      <c r="L669"/>
      <c r="M669"/>
      <c r="N669"/>
      <c r="O669"/>
      <c r="P669"/>
      <c r="Q669"/>
      <c r="R669"/>
      <c r="S669"/>
      <c r="T669"/>
      <c r="U669"/>
      <c r="X669"/>
      <c r="AB669"/>
      <c r="AC669"/>
      <c r="AF669" s="360">
        <f>IF(S.Notice.Involved="Y",1,0)</f>
        <v>0</v>
      </c>
      <c r="AG669" s="60">
        <f>IF(AF669=0,,S.Hearing.BANNER.Begin)</f>
        <v>0</v>
      </c>
      <c r="AH669" s="60">
        <f>S.Hearing.1stDate</f>
        <v>0</v>
      </c>
      <c r="AI669" s="59"/>
      <c r="AJ669" s="61"/>
      <c r="AK669" s="62"/>
      <c r="AL669" s="76"/>
    </row>
    <row r="670" spans="1:39" s="23" customFormat="1" ht="14.1" hidden="1" customHeight="1" outlineLevel="1">
      <c r="A670" s="145"/>
      <c r="B670" s="424" t="str">
        <f>AK670</f>
        <v>* holds the following hearings with assigned team:</v>
      </c>
      <c r="C670" s="541" t="s">
        <v>0</v>
      </c>
      <c r="D670" s="701"/>
      <c r="E670" s="701"/>
      <c r="G670"/>
      <c r="H670"/>
      <c r="I670" s="740"/>
      <c r="J670"/>
      <c r="K670"/>
      <c r="L670"/>
      <c r="M670"/>
      <c r="N670"/>
      <c r="O670"/>
      <c r="P670"/>
      <c r="Q670"/>
      <c r="R670"/>
      <c r="S670"/>
      <c r="T670"/>
      <c r="U670"/>
      <c r="X670"/>
      <c r="AB670"/>
      <c r="AC670"/>
      <c r="AF670" s="360">
        <f>IF(S.Notice.Involved="Y",1,0)</f>
        <v>0</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hidden="1" customHeight="1" outlineLevel="1">
      <c r="A671" s="145"/>
      <c r="B671" s="275" t="str">
        <f>AK671</f>
        <v>1. Portland hearing</v>
      </c>
      <c r="C671" s="541" t="s">
        <v>0</v>
      </c>
      <c r="D671" s="701"/>
      <c r="E671" s="701"/>
      <c r="F671"/>
      <c r="G671"/>
      <c r="H671" s="309">
        <f>AH671</f>
        <v>0</v>
      </c>
      <c r="I671" s="740"/>
      <c r="AF671" s="360">
        <f>IF(AND(S.Notice.Involved="Y",S.Hearing.1stInvolve="Y",S.Hearing.2ndInvolve),1,0)</f>
        <v>0</v>
      </c>
      <c r="AG671" s="59"/>
      <c r="AH671" s="60">
        <f>S.Hearing.1stDate</f>
        <v>0</v>
      </c>
      <c r="AI671" s="59"/>
      <c r="AJ671" s="59"/>
      <c r="AK671" s="67" t="str">
        <f>"1. "&amp;S.Hearing.1stCity&amp;" hearing"</f>
        <v>1. Portland hearing</v>
      </c>
      <c r="AL671" s="76"/>
      <c r="AM671"/>
    </row>
    <row r="672" spans="1:39" s="23" customFormat="1" ht="14.1" hidden="1" customHeight="1" outlineLevel="1">
      <c r="A672" s="145"/>
      <c r="B672" s="473" t="s">
        <v>251</v>
      </c>
      <c r="C672" s="268"/>
      <c r="D672" s="278"/>
      <c r="E672" s="278"/>
      <c r="F672" s="262"/>
      <c r="G672"/>
      <c r="H672" s="258"/>
      <c r="I672" s="740"/>
      <c r="J672"/>
      <c r="K672"/>
      <c r="L672"/>
      <c r="M672"/>
      <c r="N672"/>
      <c r="O672"/>
      <c r="P672"/>
      <c r="Q672"/>
      <c r="R672"/>
      <c r="S672"/>
      <c r="T672"/>
      <c r="U672"/>
      <c r="X672"/>
      <c r="AB672"/>
      <c r="AC672"/>
      <c r="AF672" s="360">
        <f>IF(AND(S.Notice.Involved="Y",S.Hearing.1stInvolve="Y",S.Hearing.2ndInvolve),1,0)</f>
        <v>0</v>
      </c>
      <c r="AG672" s="59"/>
      <c r="AH672" s="58"/>
      <c r="AI672" s="58"/>
      <c r="AJ672" s="44"/>
      <c r="AK672" s="58" t="s">
        <v>0</v>
      </c>
      <c r="AL672" s="76"/>
    </row>
    <row r="673" spans="1:39" ht="14.1" hidden="1" customHeight="1" outlineLevel="2">
      <c r="A673" s="145"/>
      <c r="B673" s="275" t="str">
        <f t="shared" ref="B673:B685" si="89">AK673</f>
        <v>2. Enter city name hearing</v>
      </c>
      <c r="C673" s="541" t="s">
        <v>0</v>
      </c>
      <c r="D673" s="701"/>
      <c r="E673" s="701"/>
      <c r="F673"/>
      <c r="G673"/>
      <c r="H673" s="309">
        <f t="shared" ref="H673:H685" si="90">AH673</f>
        <v>0</v>
      </c>
      <c r="I673" s="740"/>
      <c r="AF673" s="360">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c r="A674" s="145"/>
      <c r="B674" s="473" t="s">
        <v>252</v>
      </c>
      <c r="C674" s="268"/>
      <c r="D674" s="701"/>
      <c r="E674" s="701"/>
      <c r="F674"/>
      <c r="G674"/>
      <c r="H674" s="258"/>
      <c r="I674" s="740"/>
      <c r="J674"/>
      <c r="K674"/>
      <c r="L674"/>
      <c r="M674"/>
      <c r="N674"/>
      <c r="O674"/>
      <c r="P674"/>
      <c r="Q674"/>
      <c r="R674"/>
      <c r="S674"/>
      <c r="T674"/>
      <c r="U674"/>
      <c r="X674"/>
      <c r="AB674"/>
      <c r="AC674"/>
      <c r="AF674" s="360">
        <f>IF(AND(S.Notice.Involved="Y",S.Hearing.1stInvolve="Y",S.Hearing.2ndInvolve="Y"),1,0)</f>
        <v>0</v>
      </c>
      <c r="AG674" s="59"/>
      <c r="AH674" s="58"/>
      <c r="AI674" s="58"/>
      <c r="AJ674" s="44"/>
      <c r="AK674" s="58" t="s">
        <v>0</v>
      </c>
      <c r="AL674" s="76"/>
    </row>
    <row r="675" spans="1:39" ht="14.1" hidden="1" customHeight="1" outlineLevel="2">
      <c r="A675" s="145"/>
      <c r="B675" s="275" t="str">
        <f t="shared" si="89"/>
        <v>3. Enter city name hearing</v>
      </c>
      <c r="C675" s="541" t="s">
        <v>0</v>
      </c>
      <c r="D675" s="701"/>
      <c r="E675" s="701"/>
      <c r="F675"/>
      <c r="G675"/>
      <c r="H675" s="309">
        <f t="shared" si="90"/>
        <v>0</v>
      </c>
      <c r="I675" s="740"/>
      <c r="AF675" s="360">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c r="A676" s="145"/>
      <c r="B676" s="473" t="s">
        <v>253</v>
      </c>
      <c r="C676" s="268"/>
      <c r="D676" s="701"/>
      <c r="E676" s="701"/>
      <c r="F676"/>
      <c r="G676"/>
      <c r="H676" s="258"/>
      <c r="I676" s="740"/>
      <c r="J676"/>
      <c r="K676"/>
      <c r="L676"/>
      <c r="M676"/>
      <c r="N676"/>
      <c r="O676"/>
      <c r="P676"/>
      <c r="Q676"/>
      <c r="R676"/>
      <c r="S676"/>
      <c r="T676"/>
      <c r="U676"/>
      <c r="X676"/>
      <c r="AB676"/>
      <c r="AC676"/>
      <c r="AF676" s="360">
        <f>IF(AND(S.Notice.Involved="Y",S.Hearing.1stInvolve="Y",S.Hearing.3rdInvolve="Y"),1,0)</f>
        <v>0</v>
      </c>
      <c r="AG676" s="59"/>
      <c r="AH676" s="58"/>
      <c r="AI676" s="58"/>
      <c r="AJ676" s="44"/>
      <c r="AK676" s="58" t="s">
        <v>0</v>
      </c>
      <c r="AL676" s="76"/>
    </row>
    <row r="677" spans="1:39" ht="14.1" hidden="1" customHeight="1" outlineLevel="2">
      <c r="A677" s="145"/>
      <c r="B677" s="275" t="str">
        <f t="shared" si="89"/>
        <v>4. Enter city name hearing</v>
      </c>
      <c r="C677" s="541" t="s">
        <v>0</v>
      </c>
      <c r="D677" s="701"/>
      <c r="E677" s="701"/>
      <c r="F677"/>
      <c r="G677"/>
      <c r="H677" s="309">
        <f t="shared" si="90"/>
        <v>0</v>
      </c>
      <c r="I677" s="740"/>
      <c r="AF677" s="360">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3" t="s">
        <v>254</v>
      </c>
      <c r="C678" s="268"/>
      <c r="D678" s="701"/>
      <c r="E678" s="701"/>
      <c r="F678"/>
      <c r="G678"/>
      <c r="H678" s="258"/>
      <c r="I678" s="740"/>
      <c r="J678"/>
      <c r="K678"/>
      <c r="L678"/>
      <c r="M678"/>
      <c r="N678"/>
      <c r="O678"/>
      <c r="P678"/>
      <c r="Q678"/>
      <c r="R678"/>
      <c r="S678"/>
      <c r="T678"/>
      <c r="U678"/>
      <c r="X678"/>
      <c r="AB678"/>
      <c r="AC678"/>
      <c r="AF678" s="360">
        <f>IF(AND(S.Notice.Involved="Y",S.Hearing.1stInvolve="Y",S.Hearing.4thInvolve="Y"),1,0)</f>
        <v>0</v>
      </c>
      <c r="AG678" s="59"/>
      <c r="AH678" s="58"/>
      <c r="AI678" s="58"/>
      <c r="AJ678" s="44"/>
      <c r="AK678" s="58" t="s">
        <v>0</v>
      </c>
      <c r="AL678" s="76"/>
    </row>
    <row r="679" spans="1:39" ht="14.1" hidden="1" customHeight="1" outlineLevel="2">
      <c r="A679" s="145"/>
      <c r="B679" s="275" t="str">
        <f t="shared" si="89"/>
        <v>5. Enter city name hearing</v>
      </c>
      <c r="C679" s="541" t="s">
        <v>0</v>
      </c>
      <c r="D679" s="701"/>
      <c r="E679" s="701"/>
      <c r="F679"/>
      <c r="G679"/>
      <c r="H679" s="309">
        <f t="shared" si="90"/>
        <v>0</v>
      </c>
      <c r="I679" s="740"/>
      <c r="AF679" s="360">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3" t="s">
        <v>255</v>
      </c>
      <c r="C680" s="268"/>
      <c r="D680" s="701"/>
      <c r="E680" s="701"/>
      <c r="F680"/>
      <c r="G680"/>
      <c r="H680" s="258"/>
      <c r="I680" s="740"/>
      <c r="J680"/>
      <c r="K680"/>
      <c r="L680"/>
      <c r="M680"/>
      <c r="N680"/>
      <c r="O680"/>
      <c r="P680"/>
      <c r="Q680"/>
      <c r="R680"/>
      <c r="S680"/>
      <c r="T680"/>
      <c r="U680"/>
      <c r="X680"/>
      <c r="AB680"/>
      <c r="AC680"/>
      <c r="AF680" s="360">
        <f>IF(AND(S.Notice.Involved="Y",S.Hearing.1stInvolve="Y",S.Hearing.5thInvolve="Y"),1,0)</f>
        <v>0</v>
      </c>
      <c r="AG680" s="59"/>
      <c r="AH680" s="58"/>
      <c r="AI680" s="58"/>
      <c r="AJ680" s="44"/>
      <c r="AK680" s="58" t="s">
        <v>0</v>
      </c>
      <c r="AL680" s="76"/>
    </row>
    <row r="681" spans="1:39" ht="14.1" hidden="1" customHeight="1" outlineLevel="2">
      <c r="A681" s="145"/>
      <c r="B681" s="275" t="str">
        <f t="shared" si="89"/>
        <v>6. Enter city name hearing</v>
      </c>
      <c r="C681" s="541" t="s">
        <v>0</v>
      </c>
      <c r="D681" s="701"/>
      <c r="E681" s="701"/>
      <c r="F681"/>
      <c r="G681"/>
      <c r="H681" s="309">
        <f t="shared" si="90"/>
        <v>0</v>
      </c>
      <c r="I681" s="740"/>
      <c r="AF681" s="360">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3" t="s">
        <v>256</v>
      </c>
      <c r="C682" s="268"/>
      <c r="D682" s="701"/>
      <c r="E682" s="701"/>
      <c r="F682"/>
      <c r="G682"/>
      <c r="H682" s="258"/>
      <c r="I682" s="740"/>
      <c r="J682"/>
      <c r="K682"/>
      <c r="L682"/>
      <c r="M682"/>
      <c r="N682"/>
      <c r="O682"/>
      <c r="P682"/>
      <c r="Q682"/>
      <c r="R682"/>
      <c r="S682"/>
      <c r="T682"/>
      <c r="U682"/>
      <c r="X682"/>
      <c r="AB682"/>
      <c r="AC682"/>
      <c r="AF682" s="360">
        <f>IF(AND(S.Notice.Involved="Y",S.Hearing.1stInvolve="Y",S.Hearing.6thInvolve="Y"),1,0)</f>
        <v>0</v>
      </c>
      <c r="AG682" s="59"/>
      <c r="AH682" s="58"/>
      <c r="AI682" s="58"/>
      <c r="AJ682" s="44"/>
      <c r="AK682" s="58" t="s">
        <v>0</v>
      </c>
      <c r="AL682" s="76"/>
    </row>
    <row r="683" spans="1:39" ht="14.1" hidden="1" customHeight="1" outlineLevel="2">
      <c r="A683" s="145"/>
      <c r="B683" s="275" t="str">
        <f t="shared" si="89"/>
        <v>7. Enter city name hearing</v>
      </c>
      <c r="C683" s="541" t="s">
        <v>0</v>
      </c>
      <c r="D683" s="701"/>
      <c r="E683" s="701"/>
      <c r="F683"/>
      <c r="G683"/>
      <c r="H683" s="309">
        <f t="shared" si="90"/>
        <v>0</v>
      </c>
      <c r="I683" s="740"/>
      <c r="AF683" s="360">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3" t="s">
        <v>257</v>
      </c>
      <c r="C684" s="268"/>
      <c r="D684" s="701"/>
      <c r="E684" s="701"/>
      <c r="F684"/>
      <c r="G684"/>
      <c r="H684" s="258"/>
      <c r="I684" s="740"/>
      <c r="J684"/>
      <c r="K684"/>
      <c r="L684"/>
      <c r="M684"/>
      <c r="N684"/>
      <c r="O684"/>
      <c r="P684"/>
      <c r="Q684"/>
      <c r="R684"/>
      <c r="S684"/>
      <c r="T684"/>
      <c r="U684"/>
      <c r="X684"/>
      <c r="AB684"/>
      <c r="AC684"/>
      <c r="AF684" s="360">
        <f>IF(AND(S.Notice.Involved="Y",S.Hearing.1stInvolve="Y",S.Hearing.7thInvolve="Y"),1,0)</f>
        <v>0</v>
      </c>
      <c r="AG684" s="59"/>
      <c r="AH684" s="58"/>
      <c r="AI684" s="58"/>
      <c r="AJ684" s="44"/>
      <c r="AK684" s="58" t="s">
        <v>0</v>
      </c>
      <c r="AL684" s="76"/>
    </row>
    <row r="685" spans="1:39" ht="14.1" hidden="1" customHeight="1" outlineLevel="2">
      <c r="A685" s="145"/>
      <c r="B685" s="275" t="str">
        <f t="shared" si="89"/>
        <v>8. Enter city name hearing</v>
      </c>
      <c r="C685" s="541" t="s">
        <v>0</v>
      </c>
      <c r="D685" s="701"/>
      <c r="E685" s="701"/>
      <c r="F685"/>
      <c r="G685"/>
      <c r="H685" s="309">
        <f t="shared" si="90"/>
        <v>0</v>
      </c>
      <c r="I685" s="740"/>
      <c r="AF685" s="360">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3" t="s">
        <v>258</v>
      </c>
      <c r="C686" s="268"/>
      <c r="D686" s="278"/>
      <c r="E686" s="278"/>
      <c r="F686" s="262"/>
      <c r="G686" s="258"/>
      <c r="H686" s="258"/>
      <c r="I686" s="740"/>
      <c r="J686"/>
      <c r="K686"/>
      <c r="L686"/>
      <c r="M686"/>
      <c r="N686"/>
      <c r="O686"/>
      <c r="P686"/>
      <c r="Q686"/>
      <c r="R686"/>
      <c r="S686"/>
      <c r="T686"/>
      <c r="U686"/>
      <c r="X686"/>
      <c r="AB686"/>
      <c r="AC686"/>
      <c r="AF686" s="360">
        <f>IF(AND(S.Notice.Involved="Y",S.Hearing.1stInvolve="Y",S.Hearing.8thtInvolve="Y"),1,0)</f>
        <v>0</v>
      </c>
      <c r="AG686" s="58"/>
      <c r="AH686" s="58"/>
      <c r="AI686" s="58"/>
      <c r="AJ686" s="44"/>
      <c r="AK686" s="58" t="s">
        <v>0</v>
      </c>
      <c r="AL686" s="76"/>
    </row>
    <row r="687" spans="1:39" s="23" customFormat="1" ht="14.1" hidden="1" customHeight="1" outlineLevel="1" collapsed="1">
      <c r="A687" s="145"/>
      <c r="B687" s="208" t="str">
        <f>AK687</f>
        <v>Jerry, for comments not received through online form:</v>
      </c>
      <c r="C687" s="306"/>
      <c r="D687" s="283"/>
      <c r="E687" s="283"/>
      <c r="F687" s="255">
        <f>NETWORKDAYS(G687,H687,S.DDL_DEQClosed)</f>
        <v>0</v>
      </c>
      <c r="G687" s="299">
        <f>AG687</f>
        <v>0</v>
      </c>
      <c r="H687" s="299">
        <f>AH687</f>
        <v>0</v>
      </c>
      <c r="I687" s="740"/>
      <c r="J687"/>
      <c r="K687"/>
      <c r="L687"/>
      <c r="M687"/>
      <c r="N687"/>
      <c r="O687"/>
      <c r="P687"/>
      <c r="Q687"/>
      <c r="R687"/>
      <c r="S687"/>
      <c r="T687"/>
      <c r="U687"/>
      <c r="X687"/>
      <c r="AB687"/>
      <c r="AC687"/>
      <c r="AF687" s="360">
        <f>IF(S.Notice.Involved="Y",1,0)</f>
        <v>0</v>
      </c>
      <c r="AG687" s="60">
        <f>IF(AF687=0,,S.Notice.LastHearingDate)</f>
        <v>0</v>
      </c>
      <c r="AH687" s="60">
        <f>S.Hearing.BANNER.End</f>
        <v>0</v>
      </c>
      <c r="AI687" s="59"/>
      <c r="AJ687" s="59"/>
      <c r="AK687" s="67" t="str">
        <f>S.Staff.Support&amp;", for comments not received through online form:"</f>
        <v>Jerry, for comments not received through online form:</v>
      </c>
      <c r="AL687" s="76"/>
    </row>
    <row r="688" spans="1:39" s="23" customFormat="1" ht="14.1" hidden="1" customHeight="1" outlineLevel="1">
      <c r="A688" s="145"/>
      <c r="B688" s="423" t="s">
        <v>225</v>
      </c>
      <c r="C688" s="541" t="s">
        <v>0</v>
      </c>
      <c r="D688" s="283"/>
      <c r="E688" s="745"/>
      <c r="F688"/>
      <c r="G688"/>
      <c r="H688"/>
      <c r="I688" s="740"/>
      <c r="J688"/>
      <c r="K688"/>
      <c r="L688"/>
      <c r="M688"/>
      <c r="N688"/>
      <c r="O688"/>
      <c r="P688"/>
      <c r="Q688"/>
      <c r="R688"/>
      <c r="S688"/>
      <c r="T688"/>
      <c r="U688"/>
      <c r="X688"/>
      <c r="AB688"/>
      <c r="AC688"/>
      <c r="AF688" s="360">
        <f>IF(AND(S.Notice.Involved="Y",S.Hearing.1stInvolve="Y"),1,0)</f>
        <v>0</v>
      </c>
      <c r="AG688" s="59"/>
      <c r="AH688" s="59"/>
      <c r="AI688" s="59"/>
      <c r="AJ688" s="61"/>
      <c r="AK688" s="159"/>
      <c r="AL688" s="76"/>
    </row>
    <row r="689" spans="1:39" s="23" customFormat="1" ht="14.1" hidden="1" customHeight="1" outlineLevel="1">
      <c r="A689" s="145"/>
      <c r="B689" s="269" t="s">
        <v>129</v>
      </c>
      <c r="C689" s="541" t="s">
        <v>0</v>
      </c>
      <c r="D689" s="283"/>
      <c r="E689" s="745"/>
      <c r="F689"/>
      <c r="G689"/>
      <c r="H689"/>
      <c r="I689" s="740"/>
      <c r="J689"/>
      <c r="K689"/>
      <c r="L689"/>
      <c r="M689"/>
      <c r="N689"/>
      <c r="O689"/>
      <c r="P689"/>
      <c r="Q689"/>
      <c r="R689"/>
      <c r="S689"/>
      <c r="T689"/>
      <c r="U689"/>
      <c r="X689"/>
      <c r="AB689"/>
      <c r="AC689"/>
      <c r="AF689" s="360">
        <f>IF(AND(S.Notice.Involved="Y",S.Hearing.1stInvolve="Y"),1,0)</f>
        <v>0</v>
      </c>
      <c r="AG689" s="59"/>
      <c r="AH689" s="59"/>
      <c r="AI689" s="59"/>
      <c r="AJ689" s="61"/>
      <c r="AK689" s="159"/>
      <c r="AL689" s="76"/>
    </row>
    <row r="690" spans="1:39" ht="14.1" hidden="1" customHeight="1" outlineLevel="1">
      <c r="A690" s="145"/>
      <c r="B690" s="424" t="s">
        <v>226</v>
      </c>
      <c r="C690" s="541" t="s">
        <v>0</v>
      </c>
      <c r="D690" s="283"/>
      <c r="E690" s="745"/>
      <c r="F690"/>
      <c r="G690"/>
      <c r="H690"/>
      <c r="I690" s="740"/>
      <c r="AF690" s="360">
        <f>IF(S.Notice.Involved="Y",1,0)</f>
        <v>0</v>
      </c>
      <c r="AG690" s="59"/>
      <c r="AH690" s="59"/>
      <c r="AI690" s="59"/>
      <c r="AJ690" s="61"/>
      <c r="AK690" s="159"/>
      <c r="AL690" s="76"/>
      <c r="AM690"/>
    </row>
    <row r="691" spans="1:39" ht="14.1" hidden="1" customHeight="1" outlineLevel="1">
      <c r="A691" s="145"/>
      <c r="B691" s="867" t="s">
        <v>0</v>
      </c>
      <c r="C691" s="867"/>
      <c r="D691" s="1033" t="s">
        <v>708</v>
      </c>
      <c r="E691" s="1033"/>
      <c r="F691" s="1033"/>
      <c r="G691" s="1034"/>
      <c r="H691" s="387">
        <f>AH691</f>
        <v>0</v>
      </c>
      <c r="I691" s="740"/>
      <c r="AF691" s="360">
        <f>IF(S.Notice.Involved="Y",1,0)</f>
        <v>0</v>
      </c>
      <c r="AG691" s="59"/>
      <c r="AH691" s="60">
        <f>S.Notice.CloseComment</f>
        <v>0</v>
      </c>
      <c r="AI691" s="59"/>
      <c r="AJ691" s="61"/>
      <c r="AK691" s="44"/>
      <c r="AL691" s="76"/>
      <c r="AM691"/>
    </row>
    <row r="692" spans="1:39" s="23" customFormat="1" ht="14.1" hidden="1" customHeight="1" outlineLevel="1">
      <c r="A692" s="145"/>
      <c r="B692" s="290" t="str">
        <f>AK692</f>
        <v>Jerry:</v>
      </c>
      <c r="C692" s="258"/>
      <c r="D692" s="283"/>
      <c r="E692"/>
      <c r="F692" s="255">
        <f>NETWORKDAYS(G692,H692,S.DDL_DEQClosed)</f>
        <v>0</v>
      </c>
      <c r="G692" s="299">
        <f>AG692</f>
        <v>0</v>
      </c>
      <c r="H692" s="299">
        <f>AH692</f>
        <v>0</v>
      </c>
      <c r="I692" s="740"/>
      <c r="J692"/>
      <c r="K692"/>
      <c r="L692"/>
      <c r="M692"/>
      <c r="N692"/>
      <c r="O692"/>
      <c r="P692"/>
      <c r="Q692"/>
      <c r="R692"/>
      <c r="S692"/>
      <c r="T692"/>
      <c r="U692"/>
      <c r="X692"/>
      <c r="AB692"/>
      <c r="AC692"/>
      <c r="AF692" s="360">
        <f>IF(S.Notice.Involved="Y",1,0)</f>
        <v>0</v>
      </c>
      <c r="AG692" s="60">
        <f>IF(AF692=0,,S.Notice.LastHearingDate)</f>
        <v>0</v>
      </c>
      <c r="AH692" s="60">
        <f>S.Notice.CloseComment</f>
        <v>0</v>
      </c>
      <c r="AI692" s="59"/>
      <c r="AJ692" s="59"/>
      <c r="AK692" s="67" t="str">
        <f>S.Staff.Subject.Expert.FirstName&amp;":"</f>
        <v>Jerry:</v>
      </c>
      <c r="AL692" s="76"/>
    </row>
    <row r="693" spans="1:39" ht="14.1" hidden="1" customHeight="1" outlineLevel="1">
      <c r="A693" s="145"/>
      <c r="B693" s="269" t="s">
        <v>176</v>
      </c>
      <c r="C693" s="541" t="s">
        <v>0</v>
      </c>
      <c r="D693" s="283"/>
      <c r="E693" s="745"/>
      <c r="F693"/>
      <c r="G693"/>
      <c r="H693"/>
      <c r="I693" s="740"/>
      <c r="AF693" s="360">
        <f>IF(AND(S.Notice.Involved="Y",S.Hearing.1stInvolve="Y"),1,0)</f>
        <v>0</v>
      </c>
      <c r="AG693" s="58"/>
      <c r="AH693" s="58"/>
      <c r="AI693" s="59"/>
      <c r="AJ693" s="61"/>
      <c r="AK693" s="44"/>
      <c r="AL693" s="76"/>
      <c r="AM693"/>
    </row>
    <row r="694" spans="1:39" s="23" customFormat="1" ht="14.1" hidden="1" customHeight="1" outlineLevel="1">
      <c r="A694" s="145"/>
      <c r="B694" s="269" t="s">
        <v>177</v>
      </c>
      <c r="C694" s="306"/>
      <c r="D694" s="714"/>
      <c r="E694" s="714"/>
      <c r="F694"/>
      <c r="G694"/>
      <c r="H694"/>
      <c r="I694" s="740"/>
      <c r="J694"/>
      <c r="K694"/>
      <c r="L694"/>
      <c r="M694"/>
      <c r="N694"/>
      <c r="O694"/>
      <c r="P694"/>
      <c r="Q694"/>
      <c r="R694"/>
      <c r="S694"/>
      <c r="T694"/>
      <c r="U694"/>
      <c r="X694"/>
      <c r="AB694"/>
      <c r="AC694"/>
      <c r="AF694" s="360">
        <f>IF(S.Notice.Involved="Y",1,0)</f>
        <v>0</v>
      </c>
      <c r="AG694" s="58"/>
      <c r="AH694" s="58"/>
      <c r="AI694" s="59"/>
      <c r="AJ694" s="59"/>
      <c r="AK694" s="44"/>
      <c r="AL694" s="76"/>
    </row>
    <row r="695" spans="1:39" s="23" customFormat="1" ht="14.1" hidden="1" customHeight="1" outlineLevel="1">
      <c r="A695" s="145"/>
      <c r="B695" s="425" t="s">
        <v>173</v>
      </c>
      <c r="C695" s="541" t="s">
        <v>0</v>
      </c>
      <c r="D695" s="283"/>
      <c r="E695" s="745"/>
      <c r="F695"/>
      <c r="G695"/>
      <c r="H695"/>
      <c r="I695" s="740"/>
      <c r="J695"/>
      <c r="K695"/>
      <c r="L695"/>
      <c r="M695"/>
      <c r="N695"/>
      <c r="O695"/>
      <c r="P695"/>
      <c r="Q695"/>
      <c r="R695"/>
      <c r="S695"/>
      <c r="T695"/>
      <c r="U695"/>
      <c r="X695"/>
      <c r="AB695"/>
      <c r="AC695"/>
      <c r="AF695" s="360">
        <f>IF(AND(S.Notice.Involved="Y",S.Hearing.1stInvolve="Y"),1,0)</f>
        <v>0</v>
      </c>
      <c r="AG695" s="58"/>
      <c r="AH695" s="58"/>
      <c r="AI695" s="59"/>
      <c r="AJ695" s="61"/>
      <c r="AK695" s="44"/>
      <c r="AL695" s="76"/>
    </row>
    <row r="696" spans="1:39" s="23" customFormat="1" ht="14.1" hidden="1" customHeight="1" outlineLevel="1">
      <c r="A696" s="145"/>
      <c r="B696" s="426" t="s">
        <v>174</v>
      </c>
      <c r="C696" s="541" t="s">
        <v>0</v>
      </c>
      <c r="D696" s="283"/>
      <c r="E696" s="745"/>
      <c r="F696"/>
      <c r="G696"/>
      <c r="H696"/>
      <c r="I696" s="740"/>
      <c r="J696"/>
      <c r="K696"/>
      <c r="L696"/>
      <c r="M696"/>
      <c r="N696"/>
      <c r="O696"/>
      <c r="P696"/>
      <c r="Q696"/>
      <c r="R696"/>
      <c r="S696"/>
      <c r="T696"/>
      <c r="U696"/>
      <c r="X696"/>
      <c r="AB696"/>
      <c r="AC696"/>
      <c r="AF696" s="360">
        <f>IF(AND(S.Notice.Involved="Y",S.Hearing.1stInvolve="Y"),1,0)</f>
        <v>0</v>
      </c>
      <c r="AG696" s="58"/>
      <c r="AH696" s="58"/>
      <c r="AI696" s="59"/>
      <c r="AJ696" s="61"/>
      <c r="AK696" s="44"/>
      <c r="AL696" s="76"/>
    </row>
    <row r="697" spans="1:39" s="23" customFormat="1" ht="14.1" hidden="1" customHeight="1" outlineLevel="1">
      <c r="A697" s="145"/>
      <c r="B697" s="427" t="s">
        <v>175</v>
      </c>
      <c r="C697" s="541" t="s">
        <v>0</v>
      </c>
      <c r="D697" s="283"/>
      <c r="E697" s="745"/>
      <c r="F697"/>
      <c r="G697"/>
      <c r="H697"/>
      <c r="I697" s="740"/>
      <c r="J697"/>
      <c r="K697"/>
      <c r="L697"/>
      <c r="M697"/>
      <c r="N697"/>
      <c r="O697"/>
      <c r="P697"/>
      <c r="Q697"/>
      <c r="R697"/>
      <c r="S697"/>
      <c r="T697"/>
      <c r="U697"/>
      <c r="X697"/>
      <c r="AB697"/>
      <c r="AC697"/>
      <c r="AF697" s="360">
        <f>IF(S.Notice.Involved="Y",1,0)</f>
        <v>0</v>
      </c>
      <c r="AG697" s="58"/>
      <c r="AH697" s="58"/>
      <c r="AI697" s="59"/>
      <c r="AJ697" s="62"/>
      <c r="AK697" s="44"/>
      <c r="AL697" s="76"/>
    </row>
    <row r="698" spans="1:39" ht="14.1" hidden="1" customHeight="1" outlineLevel="1">
      <c r="A698" s="145"/>
      <c r="B698" s="203" t="s">
        <v>267</v>
      </c>
      <c r="C698" s="541" t="s">
        <v>0</v>
      </c>
      <c r="D698" s="283"/>
      <c r="E698" s="745"/>
      <c r="F698"/>
      <c r="G698"/>
      <c r="H698"/>
      <c r="I698" s="740"/>
      <c r="AF698" s="360">
        <f>IF(S.Notice.Involved="Y",1,0)</f>
        <v>0</v>
      </c>
      <c r="AG698" s="58"/>
      <c r="AH698" s="58"/>
      <c r="AI698" s="59"/>
      <c r="AJ698" s="44"/>
      <c r="AK698" s="44"/>
      <c r="AL698" s="76"/>
      <c r="AM698"/>
    </row>
    <row r="699" spans="1:39" s="23" customFormat="1" ht="14.1" hidden="1" customHeight="1" outlineLevel="1">
      <c r="A699" s="145"/>
      <c r="B699" s="868" t="s">
        <v>779</v>
      </c>
      <c r="C699" s="538"/>
      <c r="D699" s="301"/>
      <c r="E699" s="301"/>
      <c r="F699" s="262"/>
      <c r="G699" s="300"/>
      <c r="H699" s="300"/>
      <c r="I699" s="740"/>
      <c r="J699"/>
      <c r="K699"/>
      <c r="L699"/>
      <c r="M699"/>
      <c r="N699"/>
      <c r="O699"/>
      <c r="P699"/>
      <c r="Q699"/>
      <c r="R699"/>
      <c r="S699"/>
      <c r="T699"/>
      <c r="U699"/>
      <c r="X699"/>
      <c r="AB699"/>
      <c r="AC699"/>
      <c r="AF699" s="360" t="s">
        <v>229</v>
      </c>
      <c r="AG699" s="58"/>
      <c r="AH699" s="58"/>
      <c r="AI699" s="59"/>
      <c r="AJ699" s="59"/>
      <c r="AK699" s="44"/>
      <c r="AL699" s="76"/>
    </row>
    <row r="700" spans="1:39" s="23" customFormat="1" ht="14.1" hidden="1" customHeight="1" outlineLevel="1">
      <c r="A700" s="145"/>
      <c r="B700" s="525" t="str">
        <f>AK700</f>
        <v>Jerry asks Maggie for Rule Publication work</v>
      </c>
      <c r="C700" s="973" t="s">
        <v>48</v>
      </c>
      <c r="D700" s="283"/>
      <c r="E700" s="886"/>
      <c r="F700" s="869" t="s">
        <v>0</v>
      </c>
      <c r="G700" s="870"/>
      <c r="H700" s="299">
        <f>AH700</f>
        <v>2</v>
      </c>
      <c r="I700" s="740"/>
      <c r="J700"/>
      <c r="K700"/>
      <c r="L700"/>
      <c r="M700"/>
      <c r="N700"/>
      <c r="O700"/>
      <c r="P700"/>
      <c r="Q700"/>
      <c r="R700"/>
      <c r="S700"/>
      <c r="T700"/>
      <c r="U700"/>
      <c r="X700"/>
      <c r="AB700"/>
      <c r="AC700"/>
      <c r="AF700" s="360">
        <f t="shared" ref="AF700:AF708" si="91">IF(S.Notice.Involved="Y",1,0)</f>
        <v>0</v>
      </c>
      <c r="AG700" s="58"/>
      <c r="AH700" s="60">
        <f>WORKDAY(H692,1,S.DDL_DEQClosed)</f>
        <v>2</v>
      </c>
      <c r="AI700" s="59"/>
      <c r="AJ700" s="59"/>
      <c r="AK700" s="67" t="str">
        <f>S.Staff.Subject.Expert.FirstName&amp;" asks "&amp;S.Staff.AgencyRulesCoordinator&amp;" for Rule Publication work"</f>
        <v>Jerry asks Maggie for Rule Publication work</v>
      </c>
      <c r="AL700" s="76"/>
    </row>
    <row r="701" spans="1:39" s="23" customFormat="1" ht="14.1" hidden="1" customHeight="1" outlineLevel="1">
      <c r="A701" s="145" t="s">
        <v>0</v>
      </c>
      <c r="B701" s="525" t="str">
        <f>AK701</f>
        <v>Maggie coordinates Rule Publication work:</v>
      </c>
      <c r="C701" s="321"/>
      <c r="D701" s="283"/>
      <c r="E701" s="745"/>
      <c r="F701"/>
      <c r="G701" s="485">
        <f>AG701</f>
        <v>0</v>
      </c>
      <c r="H701" s="485">
        <f>AH701</f>
        <v>0</v>
      </c>
      <c r="I701" s="740"/>
      <c r="J701"/>
      <c r="K701"/>
      <c r="L701"/>
      <c r="M701"/>
      <c r="N701"/>
      <c r="O701"/>
      <c r="P701"/>
      <c r="Q701"/>
      <c r="R701"/>
      <c r="S701"/>
      <c r="T701"/>
      <c r="U701"/>
      <c r="X701"/>
      <c r="AB701"/>
      <c r="AC701"/>
      <c r="AF701" s="360">
        <f t="shared" si="91"/>
        <v>0</v>
      </c>
      <c r="AG701" s="60">
        <f>IF(AF701=0,,H700)</f>
        <v>0</v>
      </c>
      <c r="AH701" s="60">
        <f>G701</f>
        <v>0</v>
      </c>
      <c r="AI701" s="59"/>
      <c r="AJ701" s="59"/>
      <c r="AK701" s="67" t="str">
        <f>S.Staff.AgencyRulesCoordinator&amp;" coordinates Rule Publication work:"</f>
        <v>Maggie coordinates Rule Publication work:</v>
      </c>
      <c r="AL701" s="76"/>
    </row>
    <row r="702" spans="1:39" s="23" customFormat="1" ht="14.1" hidden="1" customHeight="1" outlineLevel="1">
      <c r="A702" s="145"/>
      <c r="B702" s="298" t="s">
        <v>269</v>
      </c>
      <c r="C702" s="541" t="s">
        <v>0</v>
      </c>
      <c r="D702" s="701"/>
      <c r="E702" s="701"/>
      <c r="F702"/>
      <c r="I702" s="740"/>
      <c r="J702"/>
      <c r="K702"/>
      <c r="L702"/>
      <c r="M702"/>
      <c r="N702"/>
      <c r="O702"/>
      <c r="P702"/>
      <c r="Q702"/>
      <c r="R702"/>
      <c r="S702"/>
      <c r="T702"/>
      <c r="U702"/>
      <c r="X702"/>
      <c r="AB702"/>
      <c r="AC702"/>
      <c r="AF702" s="360">
        <f t="shared" si="91"/>
        <v>0</v>
      </c>
      <c r="AG702" s="59"/>
      <c r="AH702" s="59"/>
      <c r="AI702" s="59"/>
      <c r="AJ702" s="59"/>
      <c r="AK702" s="74"/>
      <c r="AL702" s="76"/>
    </row>
    <row r="703" spans="1:39" s="23" customFormat="1" ht="14.1" hidden="1" customHeight="1" outlineLevel="1">
      <c r="A703" s="145"/>
      <c r="B703" s="526" t="s">
        <v>268</v>
      </c>
      <c r="C703" s="541" t="s">
        <v>0</v>
      </c>
      <c r="D703" s="701"/>
      <c r="E703" s="701"/>
      <c r="F703"/>
      <c r="I703" s="740"/>
      <c r="J703"/>
      <c r="K703"/>
      <c r="L703"/>
      <c r="M703"/>
      <c r="N703"/>
      <c r="O703"/>
      <c r="P703"/>
      <c r="Q703"/>
      <c r="R703"/>
      <c r="S703"/>
      <c r="T703"/>
      <c r="U703"/>
      <c r="X703"/>
      <c r="AB703"/>
      <c r="AC703"/>
      <c r="AF703" s="360">
        <f t="shared" si="91"/>
        <v>0</v>
      </c>
      <c r="AG703" s="59"/>
      <c r="AH703" s="59"/>
      <c r="AI703" s="59"/>
      <c r="AJ703" s="59"/>
      <c r="AK703" s="74"/>
      <c r="AL703" s="76"/>
    </row>
    <row r="704" spans="1:39" s="23" customFormat="1" ht="14.1" hidden="1" customHeight="1" outlineLevel="1">
      <c r="A704" s="145" t="s">
        <v>0</v>
      </c>
      <c r="B704" s="527" t="str">
        <f>AK704</f>
        <v>* contacts Jerry with questions, clarifications and suggestions</v>
      </c>
      <c r="C704" s="541" t="s">
        <v>0</v>
      </c>
      <c r="D704" s="701"/>
      <c r="E704" s="701"/>
      <c r="F704"/>
      <c r="I704" s="740"/>
      <c r="J704"/>
      <c r="K704"/>
      <c r="L704"/>
      <c r="M704"/>
      <c r="N704"/>
      <c r="O704"/>
      <c r="P704"/>
      <c r="Q704"/>
      <c r="R704"/>
      <c r="S704"/>
      <c r="T704"/>
      <c r="U704"/>
      <c r="X704"/>
      <c r="AB704"/>
      <c r="AC704"/>
      <c r="AF704" s="360">
        <f t="shared" si="91"/>
        <v>0</v>
      </c>
      <c r="AG704" s="59"/>
      <c r="AH704" s="59"/>
      <c r="AI704" s="59"/>
      <c r="AJ704" s="59"/>
      <c r="AK704" s="182" t="str">
        <f>"* contacts "&amp;S.Staff.Subject.Expert.FirstName&amp;" with questions, clarifications and suggestions"</f>
        <v>* contacts Jerry with questions, clarifications and suggestions</v>
      </c>
      <c r="AL704" s="76"/>
    </row>
    <row r="705" spans="1:39" s="23" customFormat="1" ht="14.1" hidden="1" customHeight="1" outlineLevel="1">
      <c r="A705" s="145" t="s">
        <v>0</v>
      </c>
      <c r="B705" s="527" t="str">
        <f>AK705</f>
        <v>* notifies Jerry when complete</v>
      </c>
      <c r="C705" s="541" t="s">
        <v>0</v>
      </c>
      <c r="D705" s="701"/>
      <c r="E705" s="701"/>
      <c r="F705"/>
      <c r="I705" s="740"/>
      <c r="J705"/>
      <c r="K705"/>
      <c r="L705"/>
      <c r="M705"/>
      <c r="N705"/>
      <c r="O705"/>
      <c r="P705"/>
      <c r="Q705"/>
      <c r="R705"/>
      <c r="S705"/>
      <c r="T705"/>
      <c r="U705"/>
      <c r="X705"/>
      <c r="AB705"/>
      <c r="AC705"/>
      <c r="AF705" s="360">
        <f t="shared" si="91"/>
        <v>0</v>
      </c>
      <c r="AG705" s="59"/>
      <c r="AH705" s="59"/>
      <c r="AI705" s="59"/>
      <c r="AJ705" s="59"/>
      <c r="AK705" s="182" t="str">
        <f>"* notifies "&amp;S.Staff.Subject.Expert.FirstName&amp;" when complete"</f>
        <v>* notifies Jerry when complete</v>
      </c>
      <c r="AL705" s="76"/>
    </row>
    <row r="706" spans="1:39" s="23" customFormat="1" ht="14.1" hidden="1" customHeight="1" outlineLevel="1">
      <c r="A706" s="145"/>
      <c r="B706" s="267" t="str">
        <f>AK706</f>
        <v>Jerry:</v>
      </c>
      <c r="C706" s="268"/>
      <c r="D706" s="268"/>
      <c r="E706" s="268"/>
      <c r="F706"/>
      <c r="G706" s="258"/>
      <c r="H706" s="258"/>
      <c r="I706" s="740"/>
      <c r="J706"/>
      <c r="K706"/>
      <c r="L706"/>
      <c r="M706"/>
      <c r="N706"/>
      <c r="O706"/>
      <c r="P706"/>
      <c r="Q706"/>
      <c r="R706"/>
      <c r="S706"/>
      <c r="T706"/>
      <c r="U706"/>
      <c r="X706"/>
      <c r="AB706"/>
      <c r="AC706"/>
      <c r="AF706" s="360">
        <f t="shared" si="91"/>
        <v>0</v>
      </c>
      <c r="AG706" s="58"/>
      <c r="AH706" s="58"/>
      <c r="AI706" s="58"/>
      <c r="AJ706" s="44"/>
      <c r="AK706" s="182" t="str">
        <f>S.Staff.Subject.Expert.FirstName&amp;":"</f>
        <v>Jerry:</v>
      </c>
      <c r="AL706" s="76"/>
    </row>
    <row r="707" spans="1:39" s="23" customFormat="1" ht="14.1" hidden="1" customHeight="1" outlineLevel="1">
      <c r="A707" s="145"/>
      <c r="B707" s="269" t="str">
        <f>AK707</f>
        <v>* shares comments/responses to comments with Leah &amp; Lydia</v>
      </c>
      <c r="C707" s="268"/>
      <c r="D707" s="283"/>
      <c r="E707" s="745"/>
      <c r="F707"/>
      <c r="G707" s="258"/>
      <c r="H707" s="299">
        <f>AH707</f>
        <v>0</v>
      </c>
      <c r="I707" s="740"/>
      <c r="J707"/>
      <c r="K707"/>
      <c r="L707"/>
      <c r="M707"/>
      <c r="N707"/>
      <c r="O707"/>
      <c r="P707"/>
      <c r="Q707"/>
      <c r="R707"/>
      <c r="S707"/>
      <c r="T707"/>
      <c r="U707"/>
      <c r="X707"/>
      <c r="AB707"/>
      <c r="AC707"/>
      <c r="AF707" s="360">
        <f t="shared" si="91"/>
        <v>0</v>
      </c>
      <c r="AG707" s="58"/>
      <c r="AH707" s="60">
        <f>H701</f>
        <v>0</v>
      </c>
      <c r="AI707" s="58"/>
      <c r="AJ707" s="44"/>
      <c r="AK707" s="182" t="str">
        <f>"* shares comments/responses to comments with "&amp;S.Staff.Program.Mgr.FirstName&amp;" &amp; "&amp;S.Staff.Assistant.DA.ShortName</f>
        <v>* shares comments/responses to comments with Leah &amp; Lydia</v>
      </c>
      <c r="AL707" s="76"/>
    </row>
    <row r="708" spans="1:39" ht="14.1" hidden="1" customHeight="1" outlineLevel="1">
      <c r="A708" s="145"/>
      <c r="B708" s="484" t="s">
        <v>270</v>
      </c>
      <c r="C708" s="538"/>
      <c r="D708" s="283"/>
      <c r="E708" s="745"/>
      <c r="F708"/>
      <c r="G708" s="299">
        <f>AG708</f>
        <v>0</v>
      </c>
      <c r="H708" s="299">
        <f>AH708</f>
        <v>0</v>
      </c>
      <c r="I708" s="740"/>
      <c r="AF708" s="360">
        <f t="shared" si="91"/>
        <v>0</v>
      </c>
      <c r="AG708" s="60">
        <f>IF(AF708=0,,H707)</f>
        <v>0</v>
      </c>
      <c r="AH708" s="60">
        <f>G708</f>
        <v>0</v>
      </c>
      <c r="AI708" s="59"/>
      <c r="AJ708" s="44"/>
      <c r="AK708" s="44"/>
      <c r="AL708" s="76"/>
      <c r="AM708"/>
    </row>
    <row r="709" spans="1:39" ht="14.1" hidden="1" customHeight="1" outlineLevel="1" thickBot="1">
      <c r="A709" s="145"/>
      <c r="B709" s="481" t="s">
        <v>271</v>
      </c>
      <c r="C709" s="477" t="s">
        <v>205</v>
      </c>
      <c r="D709" s="283"/>
      <c r="E709" s="745"/>
      <c r="F709"/>
      <c r="G709" s="299">
        <f>AG709</f>
        <v>0</v>
      </c>
      <c r="H709" s="299">
        <f>AH709</f>
        <v>0</v>
      </c>
      <c r="I709" s="740"/>
      <c r="AF709" s="360">
        <f>IF(AND(S.Comment.ApproveResponseLoop2="Y",S.Notice.Involved="Y"),1,)</f>
        <v>0</v>
      </c>
      <c r="AG709" s="60">
        <f>IF(AF709=0,,H708)</f>
        <v>0</v>
      </c>
      <c r="AH709" s="60">
        <f>G709</f>
        <v>0</v>
      </c>
      <c r="AI709" s="59"/>
      <c r="AJ709" s="44"/>
      <c r="AK709" s="44"/>
      <c r="AL709" s="76"/>
      <c r="AM709"/>
    </row>
    <row r="710" spans="1:39" ht="14.1" hidden="1" customHeight="1" outlineLevel="1" thickBot="1">
      <c r="A710" s="145"/>
      <c r="B710" s="482" t="s">
        <v>272</v>
      </c>
      <c r="C710" s="477" t="s">
        <v>205</v>
      </c>
      <c r="D710" s="283"/>
      <c r="E710" s="745"/>
      <c r="F710"/>
      <c r="G710" s="299">
        <f>AG710</f>
        <v>0</v>
      </c>
      <c r="H710" s="299">
        <f>AH710</f>
        <v>0</v>
      </c>
      <c r="I710" s="740"/>
      <c r="AF710" s="360">
        <f>IF(AND(S.Comment.ApproveResponseLoop3="Y",S.Notice.Involved="Y"),1,)</f>
        <v>0</v>
      </c>
      <c r="AG710" s="60">
        <f>IF(AF710=0,,H709)</f>
        <v>0</v>
      </c>
      <c r="AH710" s="60">
        <f>G710</f>
        <v>0</v>
      </c>
      <c r="AI710" s="59"/>
      <c r="AJ710" s="44"/>
      <c r="AK710" s="44"/>
      <c r="AL710" s="76"/>
      <c r="AM710"/>
    </row>
    <row r="711" spans="1:39" ht="14.1" hidden="1" customHeight="1" outlineLevel="1" thickBot="1">
      <c r="A711" s="145"/>
      <c r="B711" s="483" t="s">
        <v>273</v>
      </c>
      <c r="C711" s="477" t="s">
        <v>205</v>
      </c>
      <c r="D711" s="283"/>
      <c r="E711" s="745"/>
      <c r="F711"/>
      <c r="G711" s="299">
        <f>AG711</f>
        <v>0</v>
      </c>
      <c r="H711" s="299">
        <f>AH711</f>
        <v>0</v>
      </c>
      <c r="I711" s="740"/>
      <c r="AF711" s="360">
        <f>IF(AND(S.Comment.ApproveResponseLoop4="Y",S.Notice.Involved="Y"),1,)</f>
        <v>0</v>
      </c>
      <c r="AG711" s="60">
        <f>IF(AF711=0,,H710)</f>
        <v>0</v>
      </c>
      <c r="AH711" s="60">
        <f>G711</f>
        <v>0</v>
      </c>
      <c r="AI711" s="59"/>
      <c r="AJ711" s="44"/>
      <c r="AK711" s="44"/>
      <c r="AL711" s="76"/>
      <c r="AM711"/>
    </row>
    <row r="712" spans="1:39" s="23" customFormat="1" ht="14.1" hidden="1" customHeight="1" outlineLevel="1">
      <c r="A712" s="145"/>
      <c r="B712" s="290" t="str">
        <f>AK712</f>
        <v>Jerry:</v>
      </c>
      <c r="C712" s="258"/>
      <c r="D712" s="325"/>
      <c r="E712" s="325"/>
      <c r="F712"/>
      <c r="G712" s="258"/>
      <c r="H712" s="472"/>
      <c r="I712" s="740"/>
      <c r="J712"/>
      <c r="K712"/>
      <c r="L712"/>
      <c r="M712"/>
      <c r="N712"/>
      <c r="O712"/>
      <c r="P712"/>
      <c r="Q712"/>
      <c r="R712"/>
      <c r="S712"/>
      <c r="T712"/>
      <c r="U712"/>
      <c r="X712"/>
      <c r="AB712"/>
      <c r="AC712"/>
      <c r="AF712" s="360">
        <f>IF(S.Notice.Involved="Y",1,0)</f>
        <v>0</v>
      </c>
      <c r="AG712" s="58"/>
      <c r="AH712" s="58"/>
      <c r="AI712" s="59"/>
      <c r="AJ712" s="59"/>
      <c r="AK712" s="67" t="str">
        <f>S.Staff.Subject.Expert.FirstName&amp;":"</f>
        <v>Jerry:</v>
      </c>
      <c r="AL712" s="76"/>
    </row>
    <row r="713" spans="1:39" s="172" customFormat="1" ht="14.1" hidden="1" customHeight="1" outlineLevel="1">
      <c r="A713" s="388"/>
      <c r="B713" s="269" t="s">
        <v>274</v>
      </c>
      <c r="C713" s="505" t="str">
        <f>HYPERLINK("\\deqhq1\Rule_Development\Currrent Plan","i")</f>
        <v>i</v>
      </c>
      <c r="D713" s="292"/>
      <c r="E713" s="745"/>
      <c r="F713"/>
      <c r="G713" s="258"/>
      <c r="H713" s="435">
        <f>AH713</f>
        <v>0</v>
      </c>
      <c r="I713" s="740"/>
      <c r="J713"/>
      <c r="K713"/>
      <c r="L713"/>
      <c r="M713"/>
      <c r="N713"/>
      <c r="O713"/>
      <c r="P713"/>
      <c r="Q713"/>
      <c r="R713"/>
      <c r="S713"/>
      <c r="T713"/>
      <c r="U713"/>
      <c r="V713" s="23"/>
      <c r="W713" s="23"/>
      <c r="X713"/>
      <c r="Y713" s="23"/>
      <c r="Z713" s="23"/>
      <c r="AA713" s="23"/>
      <c r="AB713"/>
      <c r="AC713"/>
      <c r="AD713" s="23"/>
      <c r="AE713" s="23"/>
      <c r="AF713" s="389">
        <f>IF(S.Notice.Involved="Y",1,0)</f>
        <v>0</v>
      </c>
      <c r="AG713" s="58"/>
      <c r="AH713" s="60">
        <f>IF(AF713=0,,MAX(H707:H711))</f>
        <v>0</v>
      </c>
      <c r="AI713" s="390"/>
      <c r="AJ713" s="390"/>
      <c r="AK713" s="58" t="s">
        <v>0</v>
      </c>
      <c r="AL713" s="76"/>
    </row>
    <row r="714" spans="1:39" s="23" customFormat="1" ht="14.1" hidden="1" customHeight="1" outlineLevel="1">
      <c r="A714" s="145"/>
      <c r="B714" s="269" t="s">
        <v>234</v>
      </c>
      <c r="C714" s="268"/>
      <c r="D714" s="278"/>
      <c r="E714" s="278"/>
      <c r="F714" s="262"/>
      <c r="G714" s="258"/>
      <c r="H714" s="258"/>
      <c r="I714" s="740"/>
      <c r="J714"/>
      <c r="K714"/>
      <c r="L714"/>
      <c r="M714"/>
      <c r="N714"/>
      <c r="O714"/>
      <c r="P714"/>
      <c r="Q714"/>
      <c r="R714"/>
      <c r="S714"/>
      <c r="T714"/>
      <c r="U714"/>
      <c r="X714"/>
      <c r="AB714"/>
      <c r="AC714"/>
      <c r="AF714" s="360">
        <f>IF(S.Notice.Involved="Y",1,0)</f>
        <v>0</v>
      </c>
      <c r="AG714" s="58"/>
      <c r="AH714" s="58"/>
      <c r="AI714" s="58"/>
      <c r="AJ714" s="44"/>
      <c r="AK714" s="58" t="s">
        <v>0</v>
      </c>
      <c r="AL714" s="76"/>
    </row>
    <row r="715" spans="1:39" ht="6" hidden="1" customHeight="1" collapsed="1">
      <c r="A715" s="145"/>
      <c r="B715" s="81"/>
      <c r="C715" s="82"/>
      <c r="D715" s="688"/>
      <c r="E715" s="688"/>
      <c r="F715" s="83"/>
      <c r="G715" s="82"/>
      <c r="H715" s="82"/>
      <c r="I715" s="740"/>
      <c r="AF715" s="360" t="s">
        <v>20</v>
      </c>
      <c r="AG715" s="47"/>
      <c r="AH715" s="47"/>
      <c r="AI715" s="59"/>
      <c r="AJ715" s="44"/>
      <c r="AK715" s="44"/>
      <c r="AL715" s="76"/>
      <c r="AM715"/>
    </row>
    <row r="716" spans="1:39" s="23" customFormat="1" ht="20.25" customHeight="1">
      <c r="A716" s="145"/>
      <c r="B716" s="510" t="s">
        <v>170</v>
      </c>
      <c r="C716" s="528"/>
      <c r="D716" s="685"/>
      <c r="E716" s="862"/>
      <c r="F716" s="510"/>
      <c r="G716" s="510"/>
      <c r="H716" s="510"/>
      <c r="I716" s="740"/>
      <c r="J716"/>
      <c r="K716"/>
      <c r="L716"/>
      <c r="M716"/>
      <c r="N716"/>
      <c r="O716"/>
      <c r="P716"/>
      <c r="Q716"/>
      <c r="R716"/>
      <c r="S716"/>
      <c r="T716"/>
      <c r="U716"/>
      <c r="X716"/>
      <c r="AB716"/>
      <c r="AC716"/>
      <c r="AF716" s="360" t="s">
        <v>21</v>
      </c>
      <c r="AG716" s="76"/>
      <c r="AH716" s="76"/>
      <c r="AI716" s="59"/>
      <c r="AJ716" s="68"/>
      <c r="AK716" s="58"/>
      <c r="AL716" s="76"/>
    </row>
    <row r="717" spans="1:39" s="375" customFormat="1" ht="14.1" customHeight="1" outlineLevel="2">
      <c r="A717" s="372"/>
      <c r="B717" s="453" t="s">
        <v>0</v>
      </c>
      <c r="C717" s="373" t="s">
        <v>0</v>
      </c>
      <c r="D717" s="373"/>
      <c r="E717" s="373"/>
      <c r="F717" s="381"/>
      <c r="G717" s="374" t="s">
        <v>56</v>
      </c>
      <c r="H717" s="374" t="s">
        <v>171</v>
      </c>
      <c r="I717" s="740"/>
      <c r="J717"/>
      <c r="K717"/>
      <c r="L717"/>
      <c r="M717"/>
      <c r="N717"/>
      <c r="O717"/>
      <c r="P717"/>
      <c r="Q717"/>
      <c r="R717"/>
      <c r="S717"/>
      <c r="T717"/>
      <c r="U717"/>
      <c r="V717" s="23"/>
      <c r="W717" s="23"/>
      <c r="X717"/>
      <c r="Y717" s="23"/>
      <c r="Z717" s="23"/>
      <c r="AA717" s="23"/>
      <c r="AB717"/>
      <c r="AC717"/>
      <c r="AD717" s="23"/>
      <c r="AE717" s="23"/>
      <c r="AF717" s="377" t="s">
        <v>58</v>
      </c>
      <c r="AG717" s="376"/>
      <c r="AH717" s="376"/>
      <c r="AI717" s="378"/>
      <c r="AJ717" s="379"/>
      <c r="AK717" s="380"/>
      <c r="AL717" s="376"/>
    </row>
    <row r="718" spans="1:39" ht="14.1" customHeight="1" outlineLevel="2">
      <c r="A718" s="145"/>
      <c r="B718" s="113" t="s">
        <v>0</v>
      </c>
      <c r="C718" s="115"/>
      <c r="D718" s="114"/>
      <c r="E718" s="114"/>
      <c r="F718" s="125"/>
      <c r="G718" s="175">
        <f>AG718</f>
        <v>41857</v>
      </c>
      <c r="H718" s="126">
        <f>AH718</f>
        <v>41911</v>
      </c>
      <c r="I718" s="740"/>
      <c r="AF718" s="360" t="s">
        <v>58</v>
      </c>
      <c r="AG718" s="60">
        <f>S.EQC.BANNER.Begin</f>
        <v>41857</v>
      </c>
      <c r="AH718" s="60">
        <f>S.EQC.BANNER.End</f>
        <v>41911</v>
      </c>
      <c r="AI718" s="59"/>
      <c r="AJ718" s="44"/>
      <c r="AK718" s="44"/>
      <c r="AL718" s="76"/>
      <c r="AM718"/>
    </row>
    <row r="719" spans="1:39" ht="6" customHeight="1" outlineLevel="2">
      <c r="A719" s="145"/>
      <c r="B719" s="106"/>
      <c r="C719" s="98"/>
      <c r="D719" s="687"/>
      <c r="E719" s="687"/>
      <c r="F719" s="99"/>
      <c r="G719" s="98"/>
      <c r="H719" s="98"/>
      <c r="I719" s="740"/>
      <c r="AF719" s="360" t="s">
        <v>16</v>
      </c>
      <c r="AG719" s="47"/>
      <c r="AH719" s="47"/>
      <c r="AI719" s="59"/>
      <c r="AJ719" s="44"/>
      <c r="AK719" s="44"/>
      <c r="AL719" s="76"/>
      <c r="AM719"/>
    </row>
    <row r="720" spans="1:39" s="23" customFormat="1" ht="14.1" customHeight="1" outlineLevel="2">
      <c r="A720" s="145"/>
      <c r="B720" s="534" t="s">
        <v>306</v>
      </c>
      <c r="C720" s="508" t="str">
        <f>HYPERLINK("\\deqhq1\Rule_Resources\i\0-VersionHistory.pdf","i")</f>
        <v>i</v>
      </c>
      <c r="D720" s="688"/>
      <c r="E720" s="688"/>
      <c r="F720" s="83"/>
      <c r="G720" s="82"/>
      <c r="H720" s="82"/>
      <c r="I720" s="740"/>
      <c r="J720"/>
      <c r="K720"/>
      <c r="L720"/>
      <c r="M720"/>
      <c r="N720"/>
      <c r="O720"/>
      <c r="P720"/>
      <c r="Q720"/>
      <c r="R720"/>
      <c r="S720"/>
      <c r="T720"/>
      <c r="U720"/>
      <c r="X720"/>
      <c r="AB720"/>
      <c r="AC720"/>
      <c r="AF720" s="361" t="s">
        <v>20</v>
      </c>
      <c r="AG720" s="47"/>
      <c r="AH720" s="47"/>
      <c r="AI720" s="69"/>
      <c r="AJ720" s="69"/>
      <c r="AK720" s="35"/>
      <c r="AL720" s="76"/>
    </row>
    <row r="721" spans="1:39" s="23" customFormat="1" ht="14.1" customHeight="1" outlineLevel="2">
      <c r="A721" s="145" t="s">
        <v>0</v>
      </c>
      <c r="B721" s="285" t="str">
        <f>AK721</f>
        <v>No EQC involvement prior to Action Item meeting</v>
      </c>
      <c r="C721" s="541" t="s">
        <v>0</v>
      </c>
      <c r="D721" s="715"/>
      <c r="E721" s="697"/>
      <c r="F721"/>
      <c r="G721"/>
      <c r="H721"/>
      <c r="I721" s="740"/>
      <c r="J721"/>
      <c r="K721"/>
      <c r="L721"/>
      <c r="M721"/>
      <c r="N721"/>
      <c r="O721"/>
      <c r="P721"/>
      <c r="Q721"/>
      <c r="R721"/>
      <c r="S721"/>
      <c r="T721"/>
      <c r="U721"/>
      <c r="X721"/>
      <c r="AB721"/>
      <c r="AC721"/>
      <c r="AF721" s="360">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hidden="1" customHeight="1" outlineLevel="2">
      <c r="A722" s="145" t="s">
        <v>0</v>
      </c>
      <c r="B722" s="289" t="str">
        <f>AK722</f>
        <v>* no Director's Report</v>
      </c>
      <c r="C722" s="546" t="s">
        <v>0</v>
      </c>
      <c r="D722" s="547"/>
      <c r="E722" s="547"/>
      <c r="F722"/>
      <c r="G722" s="291">
        <f t="shared" ref="G722:H725" si="92">AG722</f>
        <v>0</v>
      </c>
      <c r="H722" s="291">
        <f t="shared" si="92"/>
        <v>0</v>
      </c>
      <c r="I722" s="740"/>
      <c r="J722"/>
      <c r="K722"/>
      <c r="L722"/>
      <c r="M722"/>
      <c r="N722"/>
      <c r="O722"/>
      <c r="P722"/>
      <c r="Q722"/>
      <c r="R722"/>
      <c r="S722"/>
      <c r="T722"/>
      <c r="U722"/>
      <c r="X722"/>
      <c r="AB722"/>
      <c r="AC722"/>
      <c r="AF722" s="360">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hidden="1" customHeight="1" outlineLevel="2">
      <c r="A723" s="145"/>
      <c r="B723" s="289" t="str">
        <f>AK723</f>
        <v>* no EQC Information Item</v>
      </c>
      <c r="C723" s="506" t="str">
        <f>HYPERLINK("\\deqhq1\Rule_Resources\0.IndividualRulemaking\6-EQC Preparation\STAFF.RPT.InformationItem.docx","i")</f>
        <v>i</v>
      </c>
      <c r="D723" s="547"/>
      <c r="E723" s="547"/>
      <c r="F723"/>
      <c r="G723" s="291">
        <f t="shared" si="92"/>
        <v>0</v>
      </c>
      <c r="H723" s="291">
        <f t="shared" si="92"/>
        <v>0</v>
      </c>
      <c r="I723" s="740"/>
      <c r="J723"/>
      <c r="K723"/>
      <c r="L723"/>
      <c r="M723"/>
      <c r="N723"/>
      <c r="O723"/>
      <c r="P723"/>
      <c r="Q723"/>
      <c r="R723"/>
      <c r="S723"/>
      <c r="T723"/>
      <c r="U723"/>
      <c r="X723"/>
      <c r="AB723"/>
      <c r="AC723"/>
      <c r="AF723" s="360">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blank row</v>
      </c>
      <c r="C724" s="546" t="s">
        <v>0</v>
      </c>
      <c r="D724" s="547"/>
      <c r="E724" s="547"/>
      <c r="F724"/>
      <c r="G724" s="291">
        <f t="shared" si="92"/>
        <v>0</v>
      </c>
      <c r="H724" s="291">
        <f t="shared" si="92"/>
        <v>0</v>
      </c>
      <c r="I724" s="740"/>
      <c r="J724"/>
      <c r="K724"/>
      <c r="L724"/>
      <c r="M724"/>
      <c r="N724"/>
      <c r="O724"/>
      <c r="P724"/>
      <c r="Q724"/>
      <c r="R724"/>
      <c r="S724"/>
      <c r="T724"/>
      <c r="U724"/>
      <c r="X724"/>
      <c r="AB724"/>
      <c r="AC724"/>
      <c r="AF724" s="360">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c r="A725" s="145"/>
      <c r="B725" s="285" t="str">
        <f>AK725</f>
        <v>Jerry develops STAFF.RPT.Temporary (preloaded in folder 6 by:</v>
      </c>
      <c r="C725" s="546" t="s">
        <v>0</v>
      </c>
      <c r="D725" s="547" t="s">
        <v>784</v>
      </c>
      <c r="E725" s="547"/>
      <c r="F725"/>
      <c r="G725" s="291">
        <f t="shared" si="92"/>
        <v>41857</v>
      </c>
      <c r="H725" s="291">
        <v>41884</v>
      </c>
      <c r="I725" s="740"/>
      <c r="AF725" s="360">
        <v>1</v>
      </c>
      <c r="AG725" s="60">
        <f>S.EQC.BANNER.Begin</f>
        <v>41857</v>
      </c>
      <c r="AH725" s="60">
        <f>S.EQC.SubmitStaffRpt</f>
        <v>41911</v>
      </c>
      <c r="AI725" s="59"/>
      <c r="AJ725" s="44"/>
      <c r="AK725" s="67" t="str">
        <f>IF(S.General.RuleType="P",S.Staff.Subject.Expert.FirstName&amp;" develops STAFF.RPT.Permanent preloaded in folder 6 by:",S.Staff.Subject.Expert.FirstName&amp;" develops STAFF.RPT.Temporary (preloaded in folder 6 by:")</f>
        <v>Jerry develops STAFF.RPT.Temporary (preloaded in folder 6 by:</v>
      </c>
      <c r="AL725" s="76"/>
      <c r="AM725"/>
    </row>
    <row r="726" spans="1:39" s="23" customFormat="1" ht="14.1" customHeight="1" outlineLevel="2">
      <c r="A726" s="145"/>
      <c r="B726" s="302" t="s">
        <v>130</v>
      </c>
      <c r="C726" s="546" t="s">
        <v>0</v>
      </c>
      <c r="D726" s="547" t="s">
        <v>784</v>
      </c>
      <c r="E726" s="547"/>
      <c r="F726"/>
      <c r="G726"/>
      <c r="H726"/>
      <c r="I726" s="740"/>
      <c r="J726"/>
      <c r="K726"/>
      <c r="L726"/>
      <c r="M726"/>
      <c r="N726"/>
      <c r="O726"/>
      <c r="P726"/>
      <c r="Q726"/>
      <c r="R726"/>
      <c r="S726"/>
      <c r="T726"/>
      <c r="U726"/>
      <c r="X726"/>
      <c r="AB726"/>
      <c r="AC726"/>
      <c r="AF726" s="360">
        <v>1</v>
      </c>
      <c r="AG726" s="80"/>
      <c r="AH726" s="80"/>
      <c r="AI726" s="59"/>
      <c r="AJ726" s="44"/>
      <c r="AK726" s="44" t="s">
        <v>0</v>
      </c>
      <c r="AL726" s="76"/>
    </row>
    <row r="727" spans="1:39" s="23" customFormat="1" ht="14.1" hidden="1" customHeight="1" outlineLevel="2">
      <c r="A727" s="145"/>
      <c r="B727" s="302" t="str">
        <f>AK727</f>
        <v>No NOTICE for this rulemaking</v>
      </c>
      <c r="C727" s="546" t="s">
        <v>0</v>
      </c>
      <c r="D727" s="547"/>
      <c r="E727" s="547"/>
      <c r="F727"/>
      <c r="G727"/>
      <c r="H727"/>
      <c r="I727" s="740"/>
      <c r="J727"/>
      <c r="K727"/>
      <c r="L727"/>
      <c r="M727"/>
      <c r="N727"/>
      <c r="O727"/>
      <c r="P727"/>
      <c r="Q727"/>
      <c r="R727"/>
      <c r="S727"/>
      <c r="T727"/>
      <c r="U727"/>
      <c r="X727"/>
      <c r="AB727"/>
      <c r="AC727"/>
      <c r="AF727" s="360">
        <f t="shared" ref="AF727:AF735" si="93">IF(S.Notice.Involved="Y",1,0)</f>
        <v>0</v>
      </c>
      <c r="AG727" s="80"/>
      <c r="AH727" s="80"/>
      <c r="AI727" s="59"/>
      <c r="AJ727" s="44"/>
      <c r="AK727" s="67" t="str">
        <f>IF(AND(S.Notice.Involved="Y",S.General.RuleType="P"),"* integrating NOTICE into STAFF REPORT.Permanent by",IF(AND(S.Notice.Involved="Y",S.General.RuleType="T"),"* integrating NOTICE into STAFF.RPT.Temporary by ","No NOTICE for this rulemaking"))</f>
        <v>No NOTICE for this rulemaking</v>
      </c>
      <c r="AL727" s="76"/>
    </row>
    <row r="728" spans="1:39" ht="14.1" hidden="1" customHeight="1" outlineLevel="2">
      <c r="A728" s="145"/>
      <c r="B728" s="499" t="s">
        <v>329</v>
      </c>
      <c r="C728" s="530"/>
      <c r="D728" s="530"/>
      <c r="E728" s="530"/>
      <c r="F728"/>
      <c r="G728" s="530"/>
      <c r="H728" s="530"/>
      <c r="I728" s="740"/>
      <c r="AF728" s="360">
        <f t="shared" si="93"/>
        <v>0</v>
      </c>
      <c r="AG728" s="80"/>
      <c r="AH728" s="80"/>
      <c r="AI728" s="59"/>
      <c r="AJ728" s="44"/>
      <c r="AK728" s="44"/>
      <c r="AL728" s="76"/>
      <c r="AM728"/>
    </row>
    <row r="729" spans="1:39" ht="14.1" hidden="1" customHeight="1" outlineLevel="2">
      <c r="A729" s="145"/>
      <c r="B729" s="500" t="s">
        <v>275</v>
      </c>
      <c r="C729" s="530"/>
      <c r="D729" s="530"/>
      <c r="E729" s="530"/>
      <c r="F729"/>
      <c r="G729" s="530"/>
      <c r="H729" s="530"/>
      <c r="I729" s="740"/>
      <c r="AF729" s="360">
        <f t="shared" si="93"/>
        <v>0</v>
      </c>
      <c r="AG729" s="80"/>
      <c r="AH729" s="80"/>
      <c r="AI729" s="59"/>
      <c r="AJ729" s="44"/>
      <c r="AK729" s="44"/>
      <c r="AL729" s="76"/>
      <c r="AM729"/>
    </row>
    <row r="730" spans="1:39" ht="14.1" hidden="1" customHeight="1" outlineLevel="2">
      <c r="A730" s="145"/>
      <c r="B730" s="500" t="s">
        <v>276</v>
      </c>
      <c r="C730" s="530"/>
      <c r="D730" s="530"/>
      <c r="E730" s="530"/>
      <c r="F730"/>
      <c r="G730" s="530"/>
      <c r="H730" s="530"/>
      <c r="I730" s="740"/>
      <c r="AF730" s="360">
        <f t="shared" si="93"/>
        <v>0</v>
      </c>
      <c r="AG730" s="80"/>
      <c r="AH730" s="80"/>
      <c r="AI730" s="59"/>
      <c r="AJ730" s="44"/>
      <c r="AK730" s="44"/>
      <c r="AL730" s="76"/>
      <c r="AM730"/>
    </row>
    <row r="731" spans="1:39" ht="14.1" hidden="1" customHeight="1" outlineLevel="2">
      <c r="A731" s="145"/>
      <c r="B731" s="500" t="s">
        <v>277</v>
      </c>
      <c r="C731" s="530"/>
      <c r="D731" s="530"/>
      <c r="E731" s="530"/>
      <c r="F731"/>
      <c r="G731" s="530"/>
      <c r="H731" s="530"/>
      <c r="I731" s="740"/>
      <c r="AF731" s="360">
        <f t="shared" si="93"/>
        <v>0</v>
      </c>
      <c r="AG731" s="80"/>
      <c r="AH731" s="80"/>
      <c r="AI731" s="59"/>
      <c r="AJ731" s="44"/>
      <c r="AK731" s="44"/>
      <c r="AL731" s="76"/>
      <c r="AM731"/>
    </row>
    <row r="732" spans="1:39" ht="14.1" hidden="1" customHeight="1" outlineLevel="2">
      <c r="A732" s="145"/>
      <c r="B732" s="500" t="s">
        <v>202</v>
      </c>
      <c r="C732" s="530"/>
      <c r="D732" s="530"/>
      <c r="E732" s="530"/>
      <c r="F732"/>
      <c r="G732" s="530"/>
      <c r="H732" s="530"/>
      <c r="I732" s="740"/>
      <c r="AF732" s="360">
        <f t="shared" si="93"/>
        <v>0</v>
      </c>
      <c r="AG732" s="80"/>
      <c r="AH732" s="80"/>
      <c r="AI732" s="59"/>
      <c r="AJ732" s="44"/>
      <c r="AK732" s="44"/>
      <c r="AL732" s="76"/>
      <c r="AM732"/>
    </row>
    <row r="733" spans="1:39" ht="14.1" hidden="1" customHeight="1" outlineLevel="2">
      <c r="A733" s="145"/>
      <c r="B733" s="470" t="s">
        <v>203</v>
      </c>
      <c r="C733" s="530"/>
      <c r="D733" s="530"/>
      <c r="E733" s="530"/>
      <c r="F733"/>
      <c r="G733" s="530"/>
      <c r="H733" s="530"/>
      <c r="I733" s="740"/>
      <c r="AF733" s="360">
        <f t="shared" si="93"/>
        <v>0</v>
      </c>
      <c r="AG733" s="80"/>
      <c r="AH733" s="80"/>
      <c r="AI733" s="59"/>
      <c r="AJ733" s="44"/>
      <c r="AK733" s="44"/>
      <c r="AL733" s="76"/>
      <c r="AM733"/>
    </row>
    <row r="734" spans="1:39" s="23" customFormat="1" ht="14.1" hidden="1" customHeight="1" outlineLevel="2">
      <c r="A734" s="145"/>
      <c r="B734" s="501" t="s">
        <v>278</v>
      </c>
      <c r="C734" s="530"/>
      <c r="D734" s="530"/>
      <c r="E734" s="530"/>
      <c r="F734"/>
      <c r="G734" s="530"/>
      <c r="H734" s="530"/>
      <c r="I734" s="740"/>
      <c r="J734"/>
      <c r="K734"/>
      <c r="L734"/>
      <c r="M734"/>
      <c r="N734"/>
      <c r="O734"/>
      <c r="P734"/>
      <c r="Q734"/>
      <c r="R734"/>
      <c r="S734"/>
      <c r="T734"/>
      <c r="U734"/>
      <c r="X734"/>
      <c r="AB734"/>
      <c r="AC734"/>
      <c r="AF734" s="360">
        <f t="shared" si="93"/>
        <v>0</v>
      </c>
      <c r="AG734" s="80"/>
      <c r="AH734" s="80"/>
      <c r="AI734" s="59"/>
      <c r="AJ734" s="44"/>
      <c r="AK734" s="44"/>
      <c r="AL734" s="76"/>
    </row>
    <row r="735" spans="1:39" s="23" customFormat="1" ht="14.1" hidden="1" customHeight="1" outlineLevel="2">
      <c r="A735" s="145"/>
      <c r="B735" s="501" t="s">
        <v>278</v>
      </c>
      <c r="C735" s="530"/>
      <c r="D735" s="530"/>
      <c r="E735" s="530"/>
      <c r="F735"/>
      <c r="G735" s="486"/>
      <c r="H735" s="486"/>
      <c r="I735" s="740"/>
      <c r="J735"/>
      <c r="K735"/>
      <c r="L735"/>
      <c r="M735"/>
      <c r="N735"/>
      <c r="O735"/>
      <c r="P735"/>
      <c r="Q735"/>
      <c r="R735"/>
      <c r="S735"/>
      <c r="T735"/>
      <c r="U735"/>
      <c r="X735"/>
      <c r="AB735"/>
      <c r="AC735"/>
      <c r="AF735" s="360">
        <f t="shared" si="93"/>
        <v>0</v>
      </c>
      <c r="AG735" s="80"/>
      <c r="AH735" s="80"/>
      <c r="AI735" s="59"/>
      <c r="AJ735" s="44"/>
      <c r="AK735" s="44"/>
      <c r="AL735" s="76"/>
    </row>
    <row r="736" spans="1:39" s="23" customFormat="1" ht="14.1" customHeight="1" outlineLevel="2">
      <c r="A736" s="145"/>
      <c r="B736" s="1075" t="s">
        <v>291</v>
      </c>
      <c r="C736" s="506" t="str">
        <f>HYPERLINK("http://arcweb.sos.state.or.us/pages/rules/oars_300/oar_340/340_tofc.html","i")</f>
        <v>i</v>
      </c>
      <c r="D736" s="548"/>
      <c r="E736" s="548"/>
      <c r="F736"/>
      <c r="G736" s="291">
        <f>AG736</f>
        <v>41857</v>
      </c>
      <c r="H736" s="291">
        <f>AH736</f>
        <v>41911</v>
      </c>
      <c r="I736" s="740"/>
      <c r="J736"/>
      <c r="K736"/>
      <c r="L736"/>
      <c r="M736"/>
      <c r="N736"/>
      <c r="O736"/>
      <c r="P736"/>
      <c r="Q736"/>
      <c r="R736"/>
      <c r="S736"/>
      <c r="T736"/>
      <c r="U736"/>
      <c r="X736"/>
      <c r="AB736"/>
      <c r="AC736"/>
      <c r="AF736" s="360">
        <v>1</v>
      </c>
      <c r="AG736" s="60">
        <f>S.EQC.BANNER.Begin</f>
        <v>41857</v>
      </c>
      <c r="AH736" s="60">
        <f>S.EQC.SubmitStaffRpt</f>
        <v>41911</v>
      </c>
      <c r="AI736" s="59"/>
      <c r="AJ736" s="44"/>
      <c r="AK736" s="44"/>
      <c r="AL736" s="76"/>
    </row>
    <row r="737" spans="1:39" s="23" customFormat="1" ht="14.1" customHeight="1" outlineLevel="2">
      <c r="A737" s="145"/>
      <c r="B737" s="498" t="s">
        <v>290</v>
      </c>
      <c r="C737" s="306"/>
      <c r="D737" s="307"/>
      <c r="E737" s="307"/>
      <c r="F737"/>
      <c r="G737" s="306"/>
      <c r="H737" s="306"/>
      <c r="I737" s="740"/>
      <c r="J737"/>
      <c r="K737"/>
      <c r="L737"/>
      <c r="M737"/>
      <c r="N737"/>
      <c r="O737"/>
      <c r="P737"/>
      <c r="Q737"/>
      <c r="R737"/>
      <c r="S737"/>
      <c r="T737"/>
      <c r="U737"/>
      <c r="X737"/>
      <c r="AB737"/>
      <c r="AC737"/>
      <c r="AF737" s="360">
        <v>1</v>
      </c>
      <c r="AG737" s="80"/>
      <c r="AH737" s="80"/>
      <c r="AI737" s="59"/>
      <c r="AJ737" s="159"/>
      <c r="AK737" s="44"/>
      <c r="AL737" s="76"/>
    </row>
    <row r="738" spans="1:39" s="23" customFormat="1" ht="14.1" customHeight="1" outlineLevel="2">
      <c r="A738" s="145"/>
      <c r="B738" s="302" t="str">
        <f>AK738</f>
        <v>* coordinates work on STAFF.RPT.Temporary sections:</v>
      </c>
      <c r="C738" s="306"/>
      <c r="D738" s="307"/>
      <c r="E738" s="307"/>
      <c r="F738"/>
      <c r="G738" s="306"/>
      <c r="H738" s="306"/>
      <c r="I738" s="740"/>
      <c r="J738"/>
      <c r="K738"/>
      <c r="L738"/>
      <c r="M738"/>
      <c r="N738"/>
      <c r="O738"/>
      <c r="P738"/>
      <c r="Q738"/>
      <c r="R738"/>
      <c r="S738"/>
      <c r="T738"/>
      <c r="U738"/>
      <c r="X738"/>
      <c r="AB738"/>
      <c r="AC738"/>
      <c r="AF738" s="360">
        <v>1</v>
      </c>
      <c r="AG738" s="80"/>
      <c r="AH738" s="80"/>
      <c r="AI738" s="59"/>
      <c r="AJ738" s="159"/>
      <c r="AK738" s="67" t="str">
        <f>IF(S.General.RuleType="P","* coordinates work on STAFF.RPT.Permanent sections:","* coordinates work on STAFF.RPT.Temporary sections:")</f>
        <v>* coordinates work on STAFF.RPT.Temporary sections:</v>
      </c>
      <c r="AL738" s="76"/>
    </row>
    <row r="739" spans="1:39" s="23" customFormat="1" ht="14.1" customHeight="1" outlineLevel="2">
      <c r="A739" s="145"/>
      <c r="B739" s="460" t="s">
        <v>710</v>
      </c>
      <c r="C739" s="541" t="s">
        <v>0</v>
      </c>
      <c r="D739" s="701"/>
      <c r="E739" s="701"/>
      <c r="F739"/>
      <c r="I739" s="740"/>
      <c r="J739"/>
      <c r="K739"/>
      <c r="L739"/>
      <c r="M739"/>
      <c r="N739"/>
      <c r="O739"/>
      <c r="P739"/>
      <c r="Q739"/>
      <c r="R739"/>
      <c r="S739"/>
      <c r="T739"/>
      <c r="U739"/>
      <c r="X739"/>
      <c r="AB739"/>
      <c r="AC739"/>
      <c r="AF739" s="360">
        <v>1</v>
      </c>
      <c r="AG739" s="59"/>
      <c r="AH739" s="59"/>
      <c r="AI739" s="59"/>
      <c r="AJ739" s="159"/>
      <c r="AK739" s="44"/>
      <c r="AL739" s="76"/>
    </row>
    <row r="740" spans="1:39" s="23" customFormat="1" ht="14.1" hidden="1" customHeight="1" outlineLevel="2">
      <c r="A740" s="145"/>
      <c r="B740" s="1077" t="s">
        <v>709</v>
      </c>
      <c r="C740" s="541" t="s">
        <v>0</v>
      </c>
      <c r="D740" s="308"/>
      <c r="E740" s="308"/>
      <c r="G740"/>
      <c r="H740"/>
      <c r="I740" s="740"/>
      <c r="AF740" s="360">
        <v>1</v>
      </c>
      <c r="AG740" s="59"/>
      <c r="AH740" s="59"/>
      <c r="AI740" s="59"/>
      <c r="AJ740" s="44"/>
      <c r="AK740" s="345"/>
      <c r="AL740" s="76"/>
    </row>
    <row r="741" spans="1:39" ht="14.1" customHeight="1" outlineLevel="2">
      <c r="A741" s="145"/>
      <c r="B741" s="487" t="s">
        <v>711</v>
      </c>
      <c r="C741" s="541" t="s">
        <v>0</v>
      </c>
      <c r="D741" s="308" t="s">
        <v>784</v>
      </c>
      <c r="E741" s="308"/>
      <c r="F741"/>
      <c r="G741"/>
      <c r="H741"/>
      <c r="I741" s="740"/>
      <c r="AF741" s="360">
        <v>1</v>
      </c>
      <c r="AG741" s="59"/>
      <c r="AH741" s="59"/>
      <c r="AI741" s="59"/>
      <c r="AJ741" s="44"/>
      <c r="AK741" s="345"/>
      <c r="AL741" s="76"/>
      <c r="AM741"/>
    </row>
    <row r="742" spans="1:39" s="23" customFormat="1" ht="14.1" customHeight="1" outlineLevel="2">
      <c r="A742" s="145" t="s">
        <v>0</v>
      </c>
      <c r="B742" s="487" t="s">
        <v>712</v>
      </c>
      <c r="C742" s="541" t="s">
        <v>0</v>
      </c>
      <c r="D742" s="308" t="s">
        <v>784</v>
      </c>
      <c r="E742" s="308"/>
      <c r="F742"/>
      <c r="G742"/>
      <c r="H742"/>
      <c r="I742" s="740"/>
      <c r="J742"/>
      <c r="K742"/>
      <c r="L742"/>
      <c r="M742"/>
      <c r="N742"/>
      <c r="O742"/>
      <c r="P742"/>
      <c r="Q742"/>
      <c r="R742"/>
      <c r="S742"/>
      <c r="T742"/>
      <c r="U742"/>
      <c r="X742"/>
      <c r="AB742"/>
      <c r="AC742"/>
      <c r="AF742" s="360">
        <v>1</v>
      </c>
      <c r="AG742" s="59"/>
      <c r="AH742" s="59"/>
      <c r="AI742" s="59"/>
      <c r="AJ742" s="44"/>
      <c r="AK742" s="345"/>
      <c r="AL742" s="76"/>
    </row>
    <row r="743" spans="1:39" s="23" customFormat="1" ht="14.1" customHeight="1" outlineLevel="2">
      <c r="A743" s="145" t="s">
        <v>0</v>
      </c>
      <c r="B743" s="902" t="s">
        <v>726</v>
      </c>
      <c r="C743" s="541" t="s">
        <v>0</v>
      </c>
      <c r="D743" s="308" t="s">
        <v>784</v>
      </c>
      <c r="E743" s="308"/>
      <c r="G743"/>
      <c r="H743"/>
      <c r="I743" s="740"/>
      <c r="AF743" s="360">
        <v>1</v>
      </c>
      <c r="AG743" s="59"/>
      <c r="AH743" s="59"/>
      <c r="AI743" s="59"/>
      <c r="AJ743" s="44"/>
      <c r="AK743" s="345"/>
      <c r="AL743" s="76"/>
    </row>
    <row r="744" spans="1:39" s="23" customFormat="1" ht="14.1" customHeight="1" outlineLevel="2">
      <c r="A744" s="145" t="s">
        <v>0</v>
      </c>
      <c r="B744" s="487" t="s">
        <v>713</v>
      </c>
      <c r="C744" s="541" t="s">
        <v>0</v>
      </c>
      <c r="D744" s="308" t="s">
        <v>784</v>
      </c>
      <c r="E744" s="308"/>
      <c r="F744"/>
      <c r="G744"/>
      <c r="H744"/>
      <c r="I744" s="740"/>
      <c r="J744"/>
      <c r="K744"/>
      <c r="L744"/>
      <c r="M744"/>
      <c r="N744"/>
      <c r="O744"/>
      <c r="P744"/>
      <c r="Q744"/>
      <c r="R744"/>
      <c r="S744"/>
      <c r="T744"/>
      <c r="U744"/>
      <c r="X744"/>
      <c r="AB744"/>
      <c r="AC744"/>
      <c r="AF744" s="360">
        <v>1</v>
      </c>
      <c r="AG744" s="59"/>
      <c r="AH744" s="59"/>
      <c r="AI744" s="59"/>
      <c r="AJ744" s="44"/>
      <c r="AK744" s="345"/>
      <c r="AL744" s="76"/>
    </row>
    <row r="745" spans="1:39" s="23" customFormat="1" ht="14.1" customHeight="1" outlineLevel="2">
      <c r="A745" s="145" t="s">
        <v>0</v>
      </c>
      <c r="B745" s="422" t="s">
        <v>714</v>
      </c>
      <c r="C745" s="541" t="s">
        <v>0</v>
      </c>
      <c r="D745" s="308" t="s">
        <v>784</v>
      </c>
      <c r="E745" s="308"/>
      <c r="F745"/>
      <c r="G745"/>
      <c r="H745"/>
      <c r="I745" s="740"/>
      <c r="J745"/>
      <c r="K745"/>
      <c r="L745"/>
      <c r="M745"/>
      <c r="N745"/>
      <c r="O745"/>
      <c r="P745"/>
      <c r="Q745"/>
      <c r="R745"/>
      <c r="S745"/>
      <c r="T745"/>
      <c r="U745"/>
      <c r="X745"/>
      <c r="AB745"/>
      <c r="AC745"/>
      <c r="AF745" s="360">
        <v>1</v>
      </c>
      <c r="AG745" s="59"/>
      <c r="AH745" s="59"/>
      <c r="AI745" s="59"/>
      <c r="AJ745" s="44"/>
      <c r="AK745" s="345"/>
      <c r="AL745" s="76"/>
    </row>
    <row r="746" spans="1:39" s="23" customFormat="1" ht="14.1" hidden="1" customHeight="1" outlineLevel="2">
      <c r="A746" s="145" t="s">
        <v>0</v>
      </c>
      <c r="B746" s="1078" t="s">
        <v>715</v>
      </c>
      <c r="C746" s="541" t="s">
        <v>0</v>
      </c>
      <c r="D746" s="308"/>
      <c r="E746" s="308"/>
      <c r="F746"/>
      <c r="G746"/>
      <c r="H746"/>
      <c r="I746" s="740"/>
      <c r="J746"/>
      <c r="K746"/>
      <c r="L746"/>
      <c r="M746"/>
      <c r="N746"/>
      <c r="O746"/>
      <c r="P746"/>
      <c r="Q746"/>
      <c r="R746"/>
      <c r="S746"/>
      <c r="T746"/>
      <c r="U746"/>
      <c r="X746"/>
      <c r="AB746"/>
      <c r="AC746"/>
      <c r="AF746" s="360">
        <v>1</v>
      </c>
      <c r="AG746" s="59"/>
      <c r="AH746" s="59"/>
      <c r="AI746" s="59"/>
      <c r="AJ746" s="44"/>
      <c r="AK746" s="345"/>
      <c r="AL746" s="76"/>
    </row>
    <row r="747" spans="1:39" s="23" customFormat="1" ht="14.1" hidden="1" customHeight="1" outlineLevel="2">
      <c r="A747" s="145"/>
      <c r="B747" s="1079" t="s">
        <v>292</v>
      </c>
      <c r="C747" s="541" t="s">
        <v>0</v>
      </c>
      <c r="D747" s="1076"/>
      <c r="E747" s="701"/>
      <c r="F747"/>
      <c r="I747" s="740"/>
      <c r="J747"/>
      <c r="K747"/>
      <c r="L747"/>
      <c r="M747"/>
      <c r="N747"/>
      <c r="O747"/>
      <c r="P747"/>
      <c r="Q747"/>
      <c r="R747"/>
      <c r="S747"/>
      <c r="T747"/>
      <c r="U747"/>
      <c r="X747"/>
      <c r="AB747"/>
      <c r="AC747"/>
      <c r="AF747" s="360">
        <v>1</v>
      </c>
      <c r="AG747" s="59"/>
      <c r="AH747" s="59"/>
      <c r="AI747" s="59"/>
      <c r="AJ747" s="159"/>
      <c r="AK747" s="44"/>
      <c r="AL747" s="76"/>
    </row>
    <row r="748" spans="1:39" s="23" customFormat="1" ht="14.1" hidden="1" customHeight="1" outlineLevel="2">
      <c r="A748" s="145" t="s">
        <v>0</v>
      </c>
      <c r="B748" s="1078" t="s">
        <v>189</v>
      </c>
      <c r="C748" s="541" t="s">
        <v>0</v>
      </c>
      <c r="D748" s="308"/>
      <c r="E748" s="308"/>
      <c r="F748"/>
      <c r="I748" s="740"/>
      <c r="J748"/>
      <c r="K748"/>
      <c r="L748"/>
      <c r="M748"/>
      <c r="N748"/>
      <c r="O748"/>
      <c r="P748"/>
      <c r="Q748"/>
      <c r="R748"/>
      <c r="S748"/>
      <c r="T748"/>
      <c r="U748"/>
      <c r="X748"/>
      <c r="AB748"/>
      <c r="AC748"/>
      <c r="AF748" s="360">
        <v>1</v>
      </c>
      <c r="AG748" s="59"/>
      <c r="AH748" s="59"/>
      <c r="AI748" s="59"/>
      <c r="AJ748" s="44"/>
      <c r="AK748" s="345"/>
      <c r="AL748" s="76"/>
    </row>
    <row r="749" spans="1:39" s="23" customFormat="1" ht="14.1" customHeight="1" outlineLevel="2">
      <c r="A749" s="145"/>
      <c r="B749" s="302" t="s">
        <v>190</v>
      </c>
      <c r="C749" s="306"/>
      <c r="D749" s="307"/>
      <c r="E749" s="307"/>
      <c r="F749"/>
      <c r="G749" s="291">
        <f>AG749</f>
        <v>41857</v>
      </c>
      <c r="H749" s="291">
        <v>41884</v>
      </c>
      <c r="I749" s="740"/>
      <c r="J749"/>
      <c r="K749"/>
      <c r="L749"/>
      <c r="M749"/>
      <c r="N749"/>
      <c r="O749"/>
      <c r="P749"/>
      <c r="Q749"/>
      <c r="R749"/>
      <c r="S749"/>
      <c r="T749"/>
      <c r="U749"/>
      <c r="X749"/>
      <c r="AB749"/>
      <c r="AC749"/>
      <c r="AF749" s="360">
        <v>1</v>
      </c>
      <c r="AG749" s="60">
        <f>S.EQC.BANNER.Begin</f>
        <v>41857</v>
      </c>
      <c r="AH749" s="60">
        <f>S.EQC.SubmitStaffRpt</f>
        <v>41911</v>
      </c>
      <c r="AI749" s="59"/>
      <c r="AJ749" s="159"/>
      <c r="AK749" s="345"/>
      <c r="AL749" s="76"/>
    </row>
    <row r="750" spans="1:39" ht="14.1" customHeight="1" outlineLevel="2">
      <c r="A750" s="145"/>
      <c r="B750" s="204" t="str">
        <f>AK750</f>
        <v>- STAFF.RPT.Temporary</v>
      </c>
      <c r="C750" s="541" t="s">
        <v>0</v>
      </c>
      <c r="D750" s="716" t="s">
        <v>784</v>
      </c>
      <c r="E750" s="716"/>
      <c r="F750"/>
      <c r="I750" s="740"/>
      <c r="AF750" s="360">
        <v>1</v>
      </c>
      <c r="AG750" s="59"/>
      <c r="AH750" s="59"/>
      <c r="AI750" s="59"/>
      <c r="AJ750" s="159"/>
      <c r="AK750" s="67" t="str">
        <f>IF(S.General.RuleType="P","- STAFF.RPT.Permanent","- STAFF.RPT.Temporary")</f>
        <v>- STAFF.RPT.Temporary</v>
      </c>
      <c r="AL750" s="76"/>
      <c r="AM750"/>
    </row>
    <row r="751" spans="1:39" s="23" customFormat="1" ht="14.1" customHeight="1" outlineLevel="2">
      <c r="A751" s="145"/>
      <c r="B751" s="426" t="s">
        <v>191</v>
      </c>
      <c r="C751" s="541" t="s">
        <v>0</v>
      </c>
      <c r="D751" s="716" t="s">
        <v>784</v>
      </c>
      <c r="E751" s="716"/>
      <c r="F751"/>
      <c r="G751"/>
      <c r="H751"/>
      <c r="I751" s="740"/>
      <c r="J751"/>
      <c r="K751"/>
      <c r="L751"/>
      <c r="M751"/>
      <c r="N751"/>
      <c r="O751"/>
      <c r="P751"/>
      <c r="Q751"/>
      <c r="R751"/>
      <c r="S751"/>
      <c r="T751"/>
      <c r="U751"/>
      <c r="X751"/>
      <c r="AB751"/>
      <c r="AC751"/>
      <c r="AF751" s="360">
        <v>1</v>
      </c>
      <c r="AG751" s="59"/>
      <c r="AH751" s="59"/>
      <c r="AI751" s="59"/>
      <c r="AJ751" s="159"/>
      <c r="AK751" s="159" t="s">
        <v>0</v>
      </c>
      <c r="AL751" s="76"/>
    </row>
    <row r="752" spans="1:39" s="23" customFormat="1" ht="14.1" hidden="1" customHeight="1" outlineLevel="2">
      <c r="A752" s="145"/>
      <c r="B752" s="1080" t="s">
        <v>192</v>
      </c>
      <c r="C752" s="541" t="s">
        <v>0</v>
      </c>
      <c r="D752" s="716"/>
      <c r="E752" s="716"/>
      <c r="F752"/>
      <c r="G752"/>
      <c r="H752"/>
      <c r="I752" s="740"/>
      <c r="J752"/>
      <c r="K752"/>
      <c r="L752"/>
      <c r="M752"/>
      <c r="N752"/>
      <c r="O752"/>
      <c r="P752"/>
      <c r="Q752"/>
      <c r="R752"/>
      <c r="S752"/>
      <c r="T752"/>
      <c r="U752"/>
      <c r="X752"/>
      <c r="AB752"/>
      <c r="AC752"/>
      <c r="AF752" s="360">
        <v>1</v>
      </c>
      <c r="AG752" s="59"/>
      <c r="AH752" s="59"/>
      <c r="AI752" s="59"/>
      <c r="AJ752" s="159"/>
      <c r="AK752" s="159" t="s">
        <v>0</v>
      </c>
      <c r="AL752" s="76"/>
    </row>
    <row r="753" spans="1:39" s="23" customFormat="1" ht="13.5" customHeight="1" outlineLevel="2" thickBot="1">
      <c r="A753" s="145"/>
      <c r="B753" s="302" t="str">
        <f>AK753</f>
        <v>* notifies AndreaG that Staff Report is ready for Rule Publication work</v>
      </c>
      <c r="C753" s="541" t="s">
        <v>0</v>
      </c>
      <c r="D753" s="701"/>
      <c r="E753" s="701"/>
      <c r="F753"/>
      <c r="G753"/>
      <c r="H753"/>
      <c r="I753" s="740"/>
      <c r="J753"/>
      <c r="K753"/>
      <c r="L753"/>
      <c r="M753"/>
      <c r="N753"/>
      <c r="O753"/>
      <c r="P753"/>
      <c r="Q753"/>
      <c r="R753"/>
      <c r="S753"/>
      <c r="T753"/>
      <c r="U753"/>
      <c r="X753"/>
      <c r="AB753"/>
      <c r="AC753"/>
      <c r="AF753" s="360">
        <v>1</v>
      </c>
      <c r="AG753" s="59"/>
      <c r="AH753" s="59"/>
      <c r="AI753" s="59"/>
      <c r="AJ753" s="159"/>
      <c r="AK753" s="803" t="str">
        <f>"* notifies "&amp;S.Staff.RG.Lead.FirstName&amp;" that Staff Report is ready for Rule Publication work"</f>
        <v>* notifies AndreaG that Staff Report is ready for Rule Publication work</v>
      </c>
      <c r="AL753" s="76"/>
    </row>
    <row r="754" spans="1:39" s="23" customFormat="1" ht="24.75" customHeight="1" outlineLevel="1" thickTop="1">
      <c r="A754" s="145"/>
      <c r="B754" s="1089" t="str">
        <f>AK754</f>
        <v>AndreaG leads initial Rule Publication work that includes:</v>
      </c>
      <c r="C754" s="1090"/>
      <c r="D754" s="1091"/>
      <c r="E754" s="1091"/>
      <c r="F754" s="1085"/>
      <c r="G754" s="1087" t="s">
        <v>608</v>
      </c>
      <c r="H754" s="1088"/>
      <c r="I754" s="740"/>
      <c r="AF754" s="360">
        <v>1</v>
      </c>
      <c r="AG754" s="59"/>
      <c r="AH754" s="59"/>
      <c r="AI754" s="58"/>
      <c r="AJ754" s="44"/>
      <c r="AK754" s="803" t="str">
        <f>S.Staff.RG.Lead.FirstName&amp;" leads initial Rule Publication work that includes:"</f>
        <v>AndreaG leads initial Rule Publication work that includes:</v>
      </c>
      <c r="AL754" s="76"/>
    </row>
    <row r="755" spans="1:39" s="23" customFormat="1" ht="14.1" customHeight="1" outlineLevel="1">
      <c r="A755" s="145" t="s">
        <v>0</v>
      </c>
      <c r="B755" s="1070" t="s">
        <v>716</v>
      </c>
      <c r="C755" s="1090"/>
      <c r="D755" s="1092"/>
      <c r="E755" s="1093"/>
      <c r="F755" s="1085"/>
      <c r="G755" s="1094">
        <v>41885</v>
      </c>
      <c r="H755" s="1095">
        <v>41899</v>
      </c>
      <c r="I755" s="740"/>
      <c r="AF755" s="360">
        <v>1</v>
      </c>
      <c r="AG755" s="562">
        <f>S.Notice.Submit.ToRG</f>
        <v>0</v>
      </c>
      <c r="AH755" s="562">
        <f>WORKDAY(G755,7,S.DDL_DEQClosed)</f>
        <v>41894</v>
      </c>
      <c r="AI755" s="58"/>
      <c r="AJ755" s="44"/>
      <c r="AK755" s="44"/>
      <c r="AL755" s="76"/>
    </row>
    <row r="756" spans="1:39" s="23" customFormat="1" ht="14.1" customHeight="1" outlineLevel="1" thickBot="1">
      <c r="A756" s="145"/>
      <c r="B756" s="1096" t="str">
        <f>AK756</f>
        <v>* obtaining/consolidating BrianW, StephanieC &amp; AndreaG edits if needed</v>
      </c>
      <c r="C756" s="1090"/>
      <c r="D756" s="1085"/>
      <c r="E756" s="1085"/>
      <c r="F756" s="1085"/>
      <c r="G756" s="1097"/>
      <c r="H756" s="1098"/>
      <c r="I756" s="740"/>
      <c r="AF756" s="360">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c r="A757" s="145"/>
      <c r="B757" s="1099" t="s">
        <v>666</v>
      </c>
      <c r="C757" s="1083" t="s">
        <v>0</v>
      </c>
      <c r="D757" s="1100"/>
      <c r="E757" s="1100"/>
      <c r="F757" s="1085"/>
      <c r="G757" s="1085"/>
      <c r="H757" s="1085"/>
      <c r="I757" s="740"/>
      <c r="AF757" s="360">
        <v>1</v>
      </c>
      <c r="AG757" s="59"/>
      <c r="AH757" s="59"/>
      <c r="AI757" s="59"/>
      <c r="AJ757" s="59"/>
      <c r="AK757" s="44"/>
      <c r="AL757" s="76"/>
    </row>
    <row r="758" spans="1:39" s="23" customFormat="1" ht="14.1" customHeight="1" outlineLevel="1">
      <c r="A758" s="145"/>
      <c r="B758" s="1096" t="s">
        <v>646</v>
      </c>
      <c r="C758" s="1101"/>
      <c r="D758" s="1085"/>
      <c r="E758" s="1085"/>
      <c r="F758" s="1085"/>
      <c r="G758" s="1091"/>
      <c r="H758" s="1091"/>
      <c r="I758" s="740"/>
      <c r="AF758" s="360">
        <v>1</v>
      </c>
      <c r="AG758" s="59"/>
      <c r="AH758" s="59"/>
      <c r="AI758" s="59"/>
      <c r="AJ758" s="59"/>
      <c r="AK758" s="44"/>
      <c r="AL758" s="76"/>
    </row>
    <row r="759" spans="1:39" s="23" customFormat="1" ht="14.1" customHeight="1" outlineLevel="1">
      <c r="A759" s="145" t="s">
        <v>0</v>
      </c>
      <c r="B759" s="1075" t="str">
        <f>AK759</f>
        <v>* contacts Jerry with questions or modifications and when work is complete</v>
      </c>
      <c r="C759" s="1083" t="s">
        <v>0</v>
      </c>
      <c r="D759" s="1100"/>
      <c r="E759" s="1100"/>
      <c r="F759" s="1085"/>
      <c r="G759" s="1085"/>
      <c r="H759" s="1085"/>
      <c r="I759" s="740"/>
      <c r="J759"/>
      <c r="K759"/>
      <c r="L759"/>
      <c r="M759"/>
      <c r="N759"/>
      <c r="O759"/>
      <c r="P759"/>
      <c r="Q759"/>
      <c r="R759"/>
      <c r="S759"/>
      <c r="T759"/>
      <c r="U759"/>
      <c r="X759"/>
      <c r="AB759"/>
      <c r="AC759"/>
      <c r="AF759" s="360">
        <v>1</v>
      </c>
      <c r="AG759" s="59"/>
      <c r="AH759" s="59"/>
      <c r="AI759" s="59"/>
      <c r="AJ759" s="59"/>
      <c r="AK759" s="771" t="str">
        <f>"* contacts "&amp;S.Staff.Subject.Expert.FirstName&amp;" with questions or modifications and when work is complete"</f>
        <v>* contacts Jerry with questions or modifications and when work is complete</v>
      </c>
      <c r="AL759" s="76"/>
    </row>
    <row r="760" spans="1:39" s="23" customFormat="1" ht="14.1" customHeight="1" outlineLevel="1">
      <c r="A760" s="145"/>
      <c r="B760" s="1102" t="str">
        <f>AK760</f>
        <v>AndreaG lets Jerry know when work is complete</v>
      </c>
      <c r="C760" s="1101"/>
      <c r="D760" s="1085"/>
      <c r="E760" s="1085"/>
      <c r="F760" s="1085"/>
      <c r="G760" s="1085"/>
      <c r="H760" s="1085"/>
      <c r="I760" s="740"/>
      <c r="AF760" s="360">
        <v>1</v>
      </c>
      <c r="AG760" s="59"/>
      <c r="AH760" s="562">
        <f>WORKDAY(H755,1,S.DDL_DEQClosed)</f>
        <v>41900</v>
      </c>
      <c r="AI760" s="59"/>
      <c r="AJ760" s="59"/>
      <c r="AK760" s="771" t="str">
        <f>S.Staff.RG.Lead.FirstName&amp;" lets "&amp;S.Staff.Subject.Expert.FirstName&amp;" know when work is complete"</f>
        <v>AndreaG lets Jerry know when work is complete</v>
      </c>
      <c r="AL760" s="76"/>
    </row>
    <row r="761" spans="1:39" s="627" customFormat="1" ht="14.1" customHeight="1" outlineLevel="1">
      <c r="A761" s="596"/>
      <c r="B761" s="768" t="str">
        <f>AK761</f>
        <v>Jerry prepares EQC Staff Report and initiates reviews</v>
      </c>
      <c r="C761" s="268" t="s">
        <v>0</v>
      </c>
      <c r="D761" s="769" t="s">
        <v>784</v>
      </c>
      <c r="E761" s="884"/>
      <c r="F761" s="23"/>
      <c r="G761" s="256">
        <v>41857</v>
      </c>
      <c r="H761" s="256">
        <v>41884</v>
      </c>
      <c r="I761" s="925"/>
      <c r="AF761" s="360">
        <v>1</v>
      </c>
      <c r="AG761" s="770">
        <f>WORKDAY(H755,2,S.DDL_DEQClosed)</f>
        <v>41901</v>
      </c>
      <c r="AH761" s="770">
        <f>WORKDAY(G761+2,1,S.DDL_DEQClosed)</f>
        <v>41862</v>
      </c>
      <c r="AI761" s="59"/>
      <c r="AJ761" s="59"/>
      <c r="AK761" s="771" t="str">
        <f>S.Staff.Subject.Expert.FirstName&amp;" prepares EQC Staff Report and initiates reviews"</f>
        <v>Jerry prepares EQC Staff Report and initiates reviews</v>
      </c>
      <c r="AL761" s="76"/>
    </row>
    <row r="762" spans="1:39" s="23" customFormat="1" ht="14.1" customHeight="1" outlineLevel="2">
      <c r="A762" s="145"/>
      <c r="B762" s="461" t="str">
        <f>AK762</f>
        <v>- PaulG, if needed</v>
      </c>
      <c r="C762" s="541" t="s">
        <v>0</v>
      </c>
      <c r="D762" s="716" t="s">
        <v>784</v>
      </c>
      <c r="E762" s="716"/>
      <c r="F762"/>
      <c r="G762" s="291">
        <f t="shared" ref="G761:H765" si="94">AG762</f>
        <v>41857</v>
      </c>
      <c r="H762" s="291">
        <v>41884</v>
      </c>
      <c r="I762" s="740"/>
      <c r="J762"/>
      <c r="K762"/>
      <c r="L762"/>
      <c r="M762"/>
      <c r="N762"/>
      <c r="O762"/>
      <c r="P762"/>
      <c r="Q762"/>
      <c r="R762"/>
      <c r="S762"/>
      <c r="T762"/>
      <c r="U762"/>
      <c r="X762"/>
      <c r="AB762"/>
      <c r="AC762"/>
      <c r="AF762" s="360">
        <v>1</v>
      </c>
      <c r="AG762" s="60">
        <f>S.EQC.BANNER.Begin</f>
        <v>41857</v>
      </c>
      <c r="AH762" s="60">
        <f>S.EQC.SubmitStaffRpt</f>
        <v>41911</v>
      </c>
      <c r="AI762" s="59"/>
      <c r="AJ762" s="159"/>
      <c r="AK762" s="67" t="str">
        <f>"- "&amp; S.Staff.AAG&amp;", if needed"</f>
        <v>- PaulG, if needed</v>
      </c>
      <c r="AL762" s="76"/>
    </row>
    <row r="763" spans="1:39" s="23" customFormat="1" ht="14.1" hidden="1" customHeight="1" outlineLevel="2">
      <c r="A763" s="145"/>
      <c r="B763" s="463" t="s">
        <v>240</v>
      </c>
      <c r="C763" s="541" t="s">
        <v>0</v>
      </c>
      <c r="D763" s="711"/>
      <c r="E763" s="711"/>
      <c r="F763"/>
      <c r="G763" s="291">
        <f t="shared" si="94"/>
        <v>41857</v>
      </c>
      <c r="H763" s="291">
        <f t="shared" si="94"/>
        <v>41911</v>
      </c>
      <c r="I763" s="740"/>
      <c r="J763"/>
      <c r="K763"/>
      <c r="L763"/>
      <c r="M763"/>
      <c r="N763"/>
      <c r="O763"/>
      <c r="P763"/>
      <c r="Q763"/>
      <c r="R763"/>
      <c r="S763"/>
      <c r="T763"/>
      <c r="U763"/>
      <c r="X763"/>
      <c r="AB763"/>
      <c r="AC763"/>
      <c r="AF763" s="360">
        <v>1</v>
      </c>
      <c r="AG763" s="60">
        <f>S.EQC.BANNER.Begin</f>
        <v>41857</v>
      </c>
      <c r="AH763" s="60">
        <f>S.EQC.SubmitStaffRpt</f>
        <v>41911</v>
      </c>
      <c r="AI763" s="59"/>
      <c r="AJ763" s="159"/>
      <c r="AK763" s="44"/>
      <c r="AL763" s="76"/>
    </row>
    <row r="764" spans="1:39" s="23" customFormat="1" ht="14.1" hidden="1" customHeight="1" outlineLevel="2">
      <c r="A764" s="145"/>
      <c r="B764" s="463" t="s">
        <v>240</v>
      </c>
      <c r="C764" s="541" t="s">
        <v>0</v>
      </c>
      <c r="D764" s="711"/>
      <c r="E764" s="711"/>
      <c r="F764"/>
      <c r="G764" s="291">
        <f t="shared" si="94"/>
        <v>41857</v>
      </c>
      <c r="H764" s="291">
        <f t="shared" si="94"/>
        <v>41911</v>
      </c>
      <c r="I764" s="740"/>
      <c r="J764"/>
      <c r="K764"/>
      <c r="L764"/>
      <c r="M764"/>
      <c r="N764"/>
      <c r="O764"/>
      <c r="P764"/>
      <c r="Q764"/>
      <c r="R764"/>
      <c r="S764"/>
      <c r="T764"/>
      <c r="U764"/>
      <c r="X764"/>
      <c r="AB764"/>
      <c r="AC764"/>
      <c r="AF764" s="360">
        <v>1</v>
      </c>
      <c r="AG764" s="60">
        <f>S.EQC.BANNER.Begin</f>
        <v>41857</v>
      </c>
      <c r="AH764" s="60">
        <f>S.EQC.SubmitStaffRpt</f>
        <v>41911</v>
      </c>
      <c r="AI764" s="59"/>
      <c r="AJ764" s="159"/>
      <c r="AK764" s="44"/>
      <c r="AL764" s="76"/>
    </row>
    <row r="765" spans="1:39" s="23" customFormat="1" ht="14.1" hidden="1" customHeight="1" outlineLevel="2">
      <c r="A765" s="145"/>
      <c r="B765" s="463" t="s">
        <v>239</v>
      </c>
      <c r="C765" s="541" t="s">
        <v>0</v>
      </c>
      <c r="D765" s="711"/>
      <c r="E765" s="711"/>
      <c r="F765"/>
      <c r="G765" s="291">
        <f t="shared" si="94"/>
        <v>41857</v>
      </c>
      <c r="H765" s="291">
        <f t="shared" si="94"/>
        <v>41911</v>
      </c>
      <c r="I765" s="740"/>
      <c r="J765"/>
      <c r="K765"/>
      <c r="L765"/>
      <c r="M765"/>
      <c r="N765"/>
      <c r="O765"/>
      <c r="P765"/>
      <c r="Q765"/>
      <c r="R765"/>
      <c r="S765"/>
      <c r="T765"/>
      <c r="U765"/>
      <c r="X765"/>
      <c r="AB765"/>
      <c r="AC765"/>
      <c r="AF765" s="360">
        <v>1</v>
      </c>
      <c r="AG765" s="60">
        <f>S.EQC.BANNER.Begin</f>
        <v>41857</v>
      </c>
      <c r="AH765" s="60">
        <f>S.EQC.SubmitStaffRpt</f>
        <v>41911</v>
      </c>
      <c r="AI765" s="59"/>
      <c r="AJ765" s="159"/>
      <c r="AK765" s="44"/>
      <c r="AL765" s="76"/>
    </row>
    <row r="766" spans="1:39" ht="14.1" hidden="1" customHeight="1" outlineLevel="3" thickBot="1">
      <c r="A766" s="145"/>
      <c r="B766" s="462" t="s">
        <v>242</v>
      </c>
      <c r="C766" s="477" t="s">
        <v>16</v>
      </c>
      <c r="D766" s="283"/>
      <c r="E766" s="283"/>
      <c r="F766"/>
      <c r="G766" s="291">
        <f t="shared" ref="G766:H779" si="95">AG766</f>
        <v>41884</v>
      </c>
      <c r="H766" s="291">
        <f t="shared" si="95"/>
        <v>41884</v>
      </c>
      <c r="I766" s="740"/>
      <c r="AF766" s="360">
        <f>IF(S.EQC.ApprovePacketLoop1="Y",1,0)</f>
        <v>1</v>
      </c>
      <c r="AG766" s="60">
        <f>IF(AF766=0,,H749)</f>
        <v>41884</v>
      </c>
      <c r="AH766" s="60">
        <f t="shared" ref="AH766:AH777" si="96">IF(AF766=0,,S.EQC.PacketBeginReview)</f>
        <v>41884</v>
      </c>
      <c r="AI766" s="59"/>
      <c r="AJ766" s="44"/>
      <c r="AK766" s="44"/>
      <c r="AL766" s="76"/>
      <c r="AM766"/>
    </row>
    <row r="767" spans="1:39" s="23" customFormat="1" ht="14.1" hidden="1" customHeight="1" outlineLevel="3">
      <c r="A767" s="145"/>
      <c r="B767" s="464" t="s">
        <v>241</v>
      </c>
      <c r="C767" s="541" t="s">
        <v>0</v>
      </c>
      <c r="D767" s="711"/>
      <c r="E767" s="711"/>
      <c r="F767"/>
      <c r="G767" s="291">
        <f t="shared" si="95"/>
        <v>41884</v>
      </c>
      <c r="H767" s="291">
        <f t="shared" si="95"/>
        <v>41884</v>
      </c>
      <c r="I767" s="740"/>
      <c r="J767"/>
      <c r="K767"/>
      <c r="L767"/>
      <c r="M767"/>
      <c r="N767"/>
      <c r="O767"/>
      <c r="P767"/>
      <c r="Q767"/>
      <c r="R767"/>
      <c r="S767"/>
      <c r="T767"/>
      <c r="U767"/>
      <c r="X767"/>
      <c r="AB767"/>
      <c r="AC767"/>
      <c r="AF767" s="360">
        <f>IF(S.EQC.ApprovePacketLoop1="Y",1,0)</f>
        <v>1</v>
      </c>
      <c r="AG767" s="60">
        <f>IF(AF767=0,,S.EQC.PacketBeginReview)</f>
        <v>41884</v>
      </c>
      <c r="AH767" s="60">
        <f t="shared" si="96"/>
        <v>41884</v>
      </c>
      <c r="AI767" s="59"/>
      <c r="AJ767" s="159"/>
      <c r="AK767" s="44"/>
      <c r="AL767" s="76"/>
    </row>
    <row r="768" spans="1:39" s="23" customFormat="1" ht="14.1" hidden="1" customHeight="1" outlineLevel="3">
      <c r="A768" s="145"/>
      <c r="B768" s="464" t="s">
        <v>241</v>
      </c>
      <c r="C768" s="541" t="s">
        <v>0</v>
      </c>
      <c r="D768" s="711"/>
      <c r="E768" s="711"/>
      <c r="F768"/>
      <c r="G768" s="291">
        <f>AG768</f>
        <v>41884</v>
      </c>
      <c r="H768" s="291">
        <f>AH768</f>
        <v>41884</v>
      </c>
      <c r="I768" s="740"/>
      <c r="J768"/>
      <c r="K768"/>
      <c r="L768"/>
      <c r="M768"/>
      <c r="N768"/>
      <c r="O768"/>
      <c r="P768"/>
      <c r="Q768"/>
      <c r="R768"/>
      <c r="S768"/>
      <c r="T768"/>
      <c r="U768"/>
      <c r="X768"/>
      <c r="AB768"/>
      <c r="AC768"/>
      <c r="AF768" s="360">
        <f>IF(S.EQC.ApprovePacketLoop1="Y",1,0)</f>
        <v>1</v>
      </c>
      <c r="AG768" s="60">
        <f>IF(AF768=0,,S.EQC.PacketBeginReview)</f>
        <v>41884</v>
      </c>
      <c r="AH768" s="60">
        <f t="shared" si="96"/>
        <v>41884</v>
      </c>
      <c r="AI768" s="59"/>
      <c r="AJ768" s="159"/>
      <c r="AK768" s="44"/>
      <c r="AL768" s="76"/>
    </row>
    <row r="769" spans="1:39" s="23" customFormat="1" ht="14.1" hidden="1" customHeight="1" outlineLevel="3" thickBot="1">
      <c r="A769" s="145"/>
      <c r="B769" s="464" t="s">
        <v>241</v>
      </c>
      <c r="C769" s="541" t="s">
        <v>0</v>
      </c>
      <c r="D769" s="711"/>
      <c r="E769" s="711"/>
      <c r="F769"/>
      <c r="G769" s="291">
        <f>AG769</f>
        <v>41884</v>
      </c>
      <c r="H769" s="291">
        <f>AH769</f>
        <v>41884</v>
      </c>
      <c r="I769" s="740"/>
      <c r="J769"/>
      <c r="K769"/>
      <c r="L769"/>
      <c r="M769"/>
      <c r="N769"/>
      <c r="O769"/>
      <c r="P769"/>
      <c r="Q769"/>
      <c r="R769"/>
      <c r="S769"/>
      <c r="T769"/>
      <c r="U769"/>
      <c r="X769"/>
      <c r="AB769"/>
      <c r="AC769"/>
      <c r="AF769" s="360">
        <f>IF(S.EQC.ApprovePacketLoop1="Y",1,0)</f>
        <v>1</v>
      </c>
      <c r="AG769" s="60">
        <f>IF(AF769=0,,S.EQC.PacketBeginReview)</f>
        <v>41884</v>
      </c>
      <c r="AH769" s="60">
        <f t="shared" si="96"/>
        <v>41884</v>
      </c>
      <c r="AI769" s="59"/>
      <c r="AJ769" s="159"/>
      <c r="AK769" s="44"/>
      <c r="AL769" s="76"/>
    </row>
    <row r="770" spans="1:39" ht="14.1" hidden="1" customHeight="1" outlineLevel="3" thickBot="1">
      <c r="A770" s="145"/>
      <c r="B770" s="465" t="s">
        <v>243</v>
      </c>
      <c r="C770" s="477" t="s">
        <v>16</v>
      </c>
      <c r="D770" s="283"/>
      <c r="E770" s="283"/>
      <c r="F770"/>
      <c r="G770" s="291">
        <f t="shared" si="95"/>
        <v>41884</v>
      </c>
      <c r="H770" s="291">
        <f t="shared" si="95"/>
        <v>41884</v>
      </c>
      <c r="I770" s="740"/>
      <c r="AF770" s="360">
        <f>IF(S.EQC.ApprovePacketLoop2="Y",1,0)</f>
        <v>1</v>
      </c>
      <c r="AG770" s="60">
        <f>IF(AF770=0,,H766)</f>
        <v>41884</v>
      </c>
      <c r="AH770" s="60">
        <f t="shared" si="96"/>
        <v>41884</v>
      </c>
      <c r="AI770" s="59"/>
      <c r="AJ770" s="44"/>
      <c r="AK770" s="44"/>
      <c r="AL770" s="76"/>
      <c r="AM770"/>
    </row>
    <row r="771" spans="1:39" s="23" customFormat="1" ht="14.1" hidden="1" customHeight="1" outlineLevel="3">
      <c r="A771" s="145"/>
      <c r="B771" s="466" t="s">
        <v>241</v>
      </c>
      <c r="C771" s="541" t="s">
        <v>0</v>
      </c>
      <c r="D771" s="711"/>
      <c r="E771" s="711"/>
      <c r="F771"/>
      <c r="G771" s="291">
        <f t="shared" ref="G771:H773" si="97">AG771</f>
        <v>41884</v>
      </c>
      <c r="H771" s="291">
        <f t="shared" si="97"/>
        <v>41884</v>
      </c>
      <c r="I771" s="740"/>
      <c r="J771"/>
      <c r="K771"/>
      <c r="L771"/>
      <c r="M771"/>
      <c r="N771"/>
      <c r="O771"/>
      <c r="P771"/>
      <c r="Q771"/>
      <c r="R771"/>
      <c r="S771"/>
      <c r="T771"/>
      <c r="U771"/>
      <c r="X771"/>
      <c r="AB771"/>
      <c r="AC771"/>
      <c r="AF771" s="360">
        <f>IF(S.EQC.ApprovePacketLoop2="Y",1,0)</f>
        <v>1</v>
      </c>
      <c r="AG771" s="60">
        <f>IF(AF771=0,,G770)</f>
        <v>41884</v>
      </c>
      <c r="AH771" s="60">
        <f t="shared" si="96"/>
        <v>41884</v>
      </c>
      <c r="AI771" s="59"/>
      <c r="AJ771" s="159"/>
      <c r="AK771" s="44"/>
      <c r="AL771" s="76"/>
    </row>
    <row r="772" spans="1:39" s="23" customFormat="1" ht="14.1" hidden="1" customHeight="1" outlineLevel="3">
      <c r="A772" s="145"/>
      <c r="B772" s="466" t="s">
        <v>241</v>
      </c>
      <c r="C772" s="541" t="s">
        <v>0</v>
      </c>
      <c r="D772" s="711"/>
      <c r="E772" s="711"/>
      <c r="F772"/>
      <c r="G772" s="291">
        <f t="shared" si="97"/>
        <v>41884</v>
      </c>
      <c r="H772" s="291">
        <f t="shared" si="97"/>
        <v>41884</v>
      </c>
      <c r="I772" s="740"/>
      <c r="J772"/>
      <c r="K772"/>
      <c r="L772"/>
      <c r="M772"/>
      <c r="N772"/>
      <c r="O772"/>
      <c r="P772"/>
      <c r="Q772"/>
      <c r="R772"/>
      <c r="S772"/>
      <c r="T772"/>
      <c r="U772"/>
      <c r="X772"/>
      <c r="AB772"/>
      <c r="AC772"/>
      <c r="AF772" s="360">
        <f>IF(S.EQC.ApprovePacketLoop2="Y",1,0)</f>
        <v>1</v>
      </c>
      <c r="AG772" s="60">
        <f>IF(AF772=0,,G770)</f>
        <v>41884</v>
      </c>
      <c r="AH772" s="60">
        <f t="shared" si="96"/>
        <v>41884</v>
      </c>
      <c r="AI772" s="59"/>
      <c r="AJ772" s="159"/>
      <c r="AK772" s="44"/>
      <c r="AL772" s="76"/>
    </row>
    <row r="773" spans="1:39" s="23" customFormat="1" ht="14.1" hidden="1" customHeight="1" outlineLevel="3" thickBot="1">
      <c r="A773" s="145"/>
      <c r="B773" s="466" t="s">
        <v>241</v>
      </c>
      <c r="C773" s="541" t="s">
        <v>0</v>
      </c>
      <c r="D773" s="711"/>
      <c r="E773" s="711"/>
      <c r="F773"/>
      <c r="G773" s="291">
        <f t="shared" si="97"/>
        <v>41884</v>
      </c>
      <c r="H773" s="291">
        <f t="shared" si="97"/>
        <v>41884</v>
      </c>
      <c r="I773" s="740"/>
      <c r="J773"/>
      <c r="K773"/>
      <c r="L773"/>
      <c r="M773"/>
      <c r="N773"/>
      <c r="O773"/>
      <c r="P773"/>
      <c r="Q773"/>
      <c r="R773"/>
      <c r="S773"/>
      <c r="T773"/>
      <c r="U773"/>
      <c r="X773"/>
      <c r="AB773"/>
      <c r="AC773"/>
      <c r="AF773" s="360">
        <f>IF(S.EQC.ApprovePacketLoop2="Y",1,0)</f>
        <v>1</v>
      </c>
      <c r="AG773" s="60">
        <f>IF(AF773=0,,G770)</f>
        <v>41884</v>
      </c>
      <c r="AH773" s="60">
        <f t="shared" si="96"/>
        <v>41884</v>
      </c>
      <c r="AI773" s="59"/>
      <c r="AJ773" s="159"/>
      <c r="AK773" s="44"/>
      <c r="AL773" s="76"/>
    </row>
    <row r="774" spans="1:39" ht="14.1" hidden="1" customHeight="1" outlineLevel="3" thickBot="1">
      <c r="A774" s="145"/>
      <c r="B774" s="467" t="s">
        <v>244</v>
      </c>
      <c r="C774" s="477" t="s">
        <v>16</v>
      </c>
      <c r="D774" s="283"/>
      <c r="E774" s="283"/>
      <c r="F774"/>
      <c r="G774" s="291">
        <f t="shared" si="95"/>
        <v>41884</v>
      </c>
      <c r="H774" s="291">
        <f t="shared" si="95"/>
        <v>41884</v>
      </c>
      <c r="I774" s="740"/>
      <c r="AF774" s="360">
        <f>IF(S.EQC.ApprovePacketLoop3="Y",1,0)</f>
        <v>1</v>
      </c>
      <c r="AG774" s="60">
        <f>IF(AF774=0,,H770)</f>
        <v>41884</v>
      </c>
      <c r="AH774" s="60">
        <f t="shared" si="96"/>
        <v>41884</v>
      </c>
      <c r="AI774" s="59"/>
      <c r="AJ774" s="44"/>
      <c r="AK774" s="44"/>
      <c r="AL774" s="76"/>
      <c r="AM774"/>
    </row>
    <row r="775" spans="1:39" s="23" customFormat="1" ht="14.1" hidden="1" customHeight="1" outlineLevel="3">
      <c r="A775" s="145"/>
      <c r="B775" s="468" t="s">
        <v>241</v>
      </c>
      <c r="C775" s="541" t="s">
        <v>0</v>
      </c>
      <c r="D775" s="711"/>
      <c r="E775" s="711"/>
      <c r="F775"/>
      <c r="G775" s="291">
        <f t="shared" si="95"/>
        <v>41884</v>
      </c>
      <c r="H775" s="291">
        <f t="shared" si="95"/>
        <v>41884</v>
      </c>
      <c r="I775" s="740"/>
      <c r="J775"/>
      <c r="K775"/>
      <c r="L775"/>
      <c r="M775"/>
      <c r="N775"/>
      <c r="O775"/>
      <c r="P775"/>
      <c r="Q775"/>
      <c r="R775"/>
      <c r="S775"/>
      <c r="T775"/>
      <c r="U775"/>
      <c r="X775"/>
      <c r="AB775"/>
      <c r="AC775"/>
      <c r="AF775" s="360">
        <f>IF(S.EQC.ApprovePacketLoop3="Y",1,0)</f>
        <v>1</v>
      </c>
      <c r="AG775" s="60">
        <f>IF(AF775=0,,G774)</f>
        <v>41884</v>
      </c>
      <c r="AH775" s="60">
        <f t="shared" si="96"/>
        <v>41884</v>
      </c>
      <c r="AI775" s="59"/>
      <c r="AJ775" s="159"/>
      <c r="AK775" s="44"/>
      <c r="AL775" s="76"/>
    </row>
    <row r="776" spans="1:39" s="23" customFormat="1" ht="14.1" hidden="1" customHeight="1" outlineLevel="3">
      <c r="A776" s="145"/>
      <c r="B776" s="468" t="s">
        <v>241</v>
      </c>
      <c r="C776" s="541" t="s">
        <v>0</v>
      </c>
      <c r="D776" s="711"/>
      <c r="E776" s="711"/>
      <c r="F776"/>
      <c r="G776" s="291">
        <f t="shared" si="95"/>
        <v>41884</v>
      </c>
      <c r="H776" s="291">
        <f t="shared" si="95"/>
        <v>41884</v>
      </c>
      <c r="I776" s="740"/>
      <c r="J776"/>
      <c r="K776"/>
      <c r="L776"/>
      <c r="M776"/>
      <c r="N776"/>
      <c r="O776"/>
      <c r="P776"/>
      <c r="Q776"/>
      <c r="R776"/>
      <c r="S776"/>
      <c r="T776"/>
      <c r="U776"/>
      <c r="X776"/>
      <c r="AB776"/>
      <c r="AC776"/>
      <c r="AF776" s="360">
        <f>IF(S.EQC.ApprovePacketLoop3="Y",1,0)</f>
        <v>1</v>
      </c>
      <c r="AG776" s="60">
        <f>IF(AF776=0,,G774)</f>
        <v>41884</v>
      </c>
      <c r="AH776" s="60">
        <f t="shared" si="96"/>
        <v>41884</v>
      </c>
      <c r="AI776" s="59"/>
      <c r="AJ776" s="159"/>
      <c r="AK776" s="44"/>
      <c r="AL776" s="76"/>
    </row>
    <row r="777" spans="1:39" s="23" customFormat="1" ht="14.1" hidden="1" customHeight="1" outlineLevel="3">
      <c r="A777" s="145"/>
      <c r="B777" s="468" t="s">
        <v>241</v>
      </c>
      <c r="C777" s="541" t="s">
        <v>0</v>
      </c>
      <c r="D777" s="711"/>
      <c r="E777" s="711"/>
      <c r="F777"/>
      <c r="G777" s="291">
        <f t="shared" si="95"/>
        <v>41884</v>
      </c>
      <c r="H777" s="291">
        <f t="shared" si="95"/>
        <v>41884</v>
      </c>
      <c r="I777" s="740"/>
      <c r="J777"/>
      <c r="K777"/>
      <c r="L777"/>
      <c r="M777"/>
      <c r="N777"/>
      <c r="O777"/>
      <c r="P777"/>
      <c r="Q777"/>
      <c r="R777"/>
      <c r="S777"/>
      <c r="T777"/>
      <c r="U777"/>
      <c r="X777"/>
      <c r="AB777"/>
      <c r="AC777"/>
      <c r="AF777" s="360">
        <f>IF(S.EQC.ApprovePacketLoop3="Y",1,0)</f>
        <v>1</v>
      </c>
      <c r="AG777" s="60">
        <f>IF(AF777=0,,G774)</f>
        <v>41884</v>
      </c>
      <c r="AH777" s="60">
        <f t="shared" si="96"/>
        <v>41884</v>
      </c>
      <c r="AI777" s="59"/>
      <c r="AJ777" s="159"/>
      <c r="AK777" s="44"/>
      <c r="AL777" s="76"/>
    </row>
    <row r="778" spans="1:39" s="23" customFormat="1" ht="14.1" hidden="1" customHeight="1" outlineLevel="2" collapsed="1" thickBot="1">
      <c r="A778" s="145" t="s">
        <v>0</v>
      </c>
      <c r="B778" s="285" t="str">
        <f>AK778</f>
        <v>Jerry:</v>
      </c>
      <c r="C778" s="541" t="s">
        <v>0</v>
      </c>
      <c r="D778" s="715"/>
      <c r="E778" s="697"/>
      <c r="F778"/>
      <c r="G778"/>
      <c r="H778"/>
      <c r="I778" s="740"/>
      <c r="J778"/>
      <c r="K778"/>
      <c r="L778"/>
      <c r="M778"/>
      <c r="N778"/>
      <c r="O778"/>
      <c r="P778"/>
      <c r="Q778"/>
      <c r="R778"/>
      <c r="S778"/>
      <c r="T778"/>
      <c r="U778"/>
      <c r="X778"/>
      <c r="AB778"/>
      <c r="AC778"/>
      <c r="AF778" s="360">
        <v>1</v>
      </c>
      <c r="AG778" s="76"/>
      <c r="AH778" s="76"/>
      <c r="AI778" s="59"/>
      <c r="AJ778" s="44"/>
      <c r="AK778" s="67" t="str">
        <f>S.Staff.Subject.Expert.FirstName&amp;":"</f>
        <v>Jerry:</v>
      </c>
      <c r="AL778" s="76"/>
    </row>
    <row r="779" spans="1:39" s="23" customFormat="1" ht="14.1" hidden="1" customHeight="1" outlineLevel="2" thickBot="1">
      <c r="A779" s="145"/>
      <c r="B779" s="469" t="str">
        <f>AK779</f>
        <v>* discusses need for 1|1 commissioners briefings with Leah &amp; Lydia</v>
      </c>
      <c r="C779" s="477" t="s">
        <v>205</v>
      </c>
      <c r="D779" s="716"/>
      <c r="E779" s="716"/>
      <c r="F779"/>
      <c r="G779" s="291">
        <f t="shared" si="95"/>
        <v>0</v>
      </c>
      <c r="H779" s="291">
        <f t="shared" si="95"/>
        <v>0</v>
      </c>
      <c r="I779" s="740"/>
      <c r="J779"/>
      <c r="K779"/>
      <c r="L779"/>
      <c r="M779"/>
      <c r="N779"/>
      <c r="O779"/>
      <c r="P779"/>
      <c r="Q779"/>
      <c r="R779"/>
      <c r="S779"/>
      <c r="T779"/>
      <c r="U779"/>
      <c r="X779"/>
      <c r="AB779"/>
      <c r="AC779"/>
      <c r="AF779" s="360">
        <f t="shared" ref="AF779:AF784" si="9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Leah &amp; Lydia</v>
      </c>
      <c r="AL779" s="76"/>
    </row>
    <row r="780" spans="1:39" s="23" customFormat="1" ht="14.1" hidden="1" customHeight="1" outlineLevel="2">
      <c r="A780" s="145"/>
      <c r="B780" s="891" t="s">
        <v>717</v>
      </c>
      <c r="C780" s="1032" t="s">
        <v>348</v>
      </c>
      <c r="D780" s="1032"/>
      <c r="E780" s="1032"/>
      <c r="F780" s="1032"/>
      <c r="G780" s="1032"/>
      <c r="H780" s="1032"/>
      <c r="I780" s="926"/>
      <c r="J780" s="890"/>
      <c r="K780" s="890"/>
      <c r="L780" s="890"/>
      <c r="M780" s="890"/>
      <c r="N780" s="890"/>
      <c r="O780" s="890"/>
      <c r="P780" s="890"/>
      <c r="Q780" s="890"/>
      <c r="R780" s="890"/>
      <c r="S780" s="890"/>
      <c r="T780" s="890"/>
      <c r="U780" s="890"/>
      <c r="V780" s="890"/>
      <c r="W780" s="890"/>
      <c r="X780" s="890"/>
      <c r="Y780" s="890"/>
      <c r="Z780" s="890"/>
      <c r="AA780" s="890"/>
      <c r="AB780" s="890"/>
      <c r="AC780" s="890"/>
      <c r="AD780" s="890"/>
      <c r="AF780" s="360">
        <f t="shared" si="98"/>
        <v>0</v>
      </c>
      <c r="AG780" s="80"/>
      <c r="AH780" s="80"/>
      <c r="AI780" s="59"/>
      <c r="AJ780" s="44"/>
      <c r="AK780" s="44"/>
      <c r="AL780" s="76"/>
    </row>
    <row r="781" spans="1:39" s="23" customFormat="1" ht="14.1" hidden="1" customHeight="1" outlineLevel="2">
      <c r="A781" s="145"/>
      <c r="B781" s="891" t="s">
        <v>717</v>
      </c>
      <c r="C781" s="1032" t="s">
        <v>295</v>
      </c>
      <c r="D781" s="1032"/>
      <c r="E781" s="1032"/>
      <c r="F781" s="1032"/>
      <c r="G781" s="1032"/>
      <c r="H781" s="1032"/>
      <c r="I781" s="926"/>
      <c r="J781" s="890"/>
      <c r="K781" s="890"/>
      <c r="L781" s="890"/>
      <c r="M781" s="890"/>
      <c r="N781" s="890"/>
      <c r="O781" s="890"/>
      <c r="P781" s="890"/>
      <c r="Q781" s="890"/>
      <c r="R781" s="890"/>
      <c r="S781" s="890"/>
      <c r="T781" s="890"/>
      <c r="U781" s="890"/>
      <c r="V781" s="890"/>
      <c r="W781" s="890"/>
      <c r="X781" s="890"/>
      <c r="Y781" s="890"/>
      <c r="Z781" s="890"/>
      <c r="AA781" s="890"/>
      <c r="AB781" s="890"/>
      <c r="AC781" s="890"/>
      <c r="AD781" s="890"/>
      <c r="AF781" s="360">
        <f t="shared" si="98"/>
        <v>0</v>
      </c>
      <c r="AG781" s="80"/>
      <c r="AH781" s="80"/>
      <c r="AI781" s="59"/>
      <c r="AJ781" s="44"/>
      <c r="AK781" s="44"/>
      <c r="AL781" s="76"/>
    </row>
    <row r="782" spans="1:39" s="23" customFormat="1" ht="14.1" hidden="1" customHeight="1" outlineLevel="2">
      <c r="A782" s="145"/>
      <c r="B782" s="891" t="s">
        <v>717</v>
      </c>
      <c r="C782" s="1032" t="s">
        <v>296</v>
      </c>
      <c r="D782" s="1032"/>
      <c r="E782" s="1032"/>
      <c r="F782" s="1032"/>
      <c r="G782" s="1032"/>
      <c r="H782" s="1032"/>
      <c r="I782" s="1032"/>
      <c r="J782" s="1032"/>
      <c r="K782" s="1032"/>
      <c r="L782" s="1032"/>
      <c r="M782" s="1032"/>
      <c r="N782" s="1032"/>
      <c r="O782" s="1032"/>
      <c r="P782" s="1032"/>
      <c r="Q782" s="1032"/>
      <c r="R782" s="1032"/>
      <c r="S782" s="1032"/>
      <c r="T782" s="1032"/>
      <c r="U782" s="1032"/>
      <c r="V782" s="1032"/>
      <c r="W782" s="1032"/>
      <c r="X782" s="1032"/>
      <c r="Y782" s="1032"/>
      <c r="Z782" s="1032"/>
      <c r="AA782" s="1032"/>
      <c r="AB782" s="1032"/>
      <c r="AC782" s="1032"/>
      <c r="AD782" s="1032"/>
      <c r="AF782" s="360">
        <f t="shared" si="98"/>
        <v>0</v>
      </c>
      <c r="AG782" s="80"/>
      <c r="AH782" s="80"/>
      <c r="AI782" s="59"/>
      <c r="AJ782" s="44"/>
      <c r="AK782" s="44"/>
      <c r="AL782" s="76"/>
    </row>
    <row r="783" spans="1:39" s="23" customFormat="1" ht="14.1" hidden="1" customHeight="1" outlineLevel="2">
      <c r="A783" s="145"/>
      <c r="B783" s="891" t="s">
        <v>717</v>
      </c>
      <c r="C783" s="1032" t="s">
        <v>297</v>
      </c>
      <c r="D783" s="1032"/>
      <c r="E783" s="1032"/>
      <c r="F783" s="1032"/>
      <c r="G783" s="1032"/>
      <c r="H783" s="1032"/>
      <c r="I783" s="1032"/>
      <c r="J783" s="1032"/>
      <c r="K783" s="1032"/>
      <c r="L783" s="1032"/>
      <c r="M783" s="1032"/>
      <c r="N783" s="1032"/>
      <c r="O783" s="1032"/>
      <c r="P783" s="1032"/>
      <c r="Q783" s="1032"/>
      <c r="R783" s="1032"/>
      <c r="S783" s="1032"/>
      <c r="T783" s="1032"/>
      <c r="U783" s="1032"/>
      <c r="V783" s="1032"/>
      <c r="W783" s="1032"/>
      <c r="X783" s="1032"/>
      <c r="Y783" s="1032"/>
      <c r="Z783" s="1032"/>
      <c r="AA783" s="1032"/>
      <c r="AB783" s="1032"/>
      <c r="AC783" s="1032"/>
      <c r="AD783" s="1032"/>
      <c r="AF783" s="360">
        <f t="shared" si="98"/>
        <v>0</v>
      </c>
      <c r="AG783" s="80"/>
      <c r="AH783" s="80"/>
      <c r="AI783" s="59"/>
      <c r="AJ783" s="44"/>
      <c r="AK783" s="44"/>
      <c r="AL783" s="76"/>
    </row>
    <row r="784" spans="1:39" s="23" customFormat="1" ht="14.1" hidden="1" customHeight="1" outlineLevel="2">
      <c r="A784" s="145"/>
      <c r="B784" s="891" t="s">
        <v>717</v>
      </c>
      <c r="C784" s="1032" t="s">
        <v>298</v>
      </c>
      <c r="D784" s="1032"/>
      <c r="E784" s="1032"/>
      <c r="F784" s="1032"/>
      <c r="G784" s="1032"/>
      <c r="H784" s="1032"/>
      <c r="I784" s="1032"/>
      <c r="J784" s="1032"/>
      <c r="K784" s="1032"/>
      <c r="L784" s="1032"/>
      <c r="M784" s="1032"/>
      <c r="N784" s="1032"/>
      <c r="O784" s="1032"/>
      <c r="P784" s="1032"/>
      <c r="Q784" s="1032"/>
      <c r="R784" s="1032"/>
      <c r="S784" s="1032"/>
      <c r="T784" s="1032"/>
      <c r="U784" s="1032"/>
      <c r="V784" s="1032"/>
      <c r="W784" s="1032"/>
      <c r="X784" s="1032"/>
      <c r="Y784" s="1032"/>
      <c r="Z784" s="1032"/>
      <c r="AA784" s="1032"/>
      <c r="AB784" s="1032"/>
      <c r="AC784" s="1032"/>
      <c r="AD784" s="1032"/>
      <c r="AF784" s="360">
        <f t="shared" si="98"/>
        <v>0</v>
      </c>
      <c r="AG784" s="80"/>
      <c r="AH784" s="80"/>
      <c r="AI784" s="59"/>
      <c r="AJ784" s="44"/>
      <c r="AK784" s="44"/>
      <c r="AL784" s="76"/>
    </row>
    <row r="785" spans="1:39" ht="14.1" customHeight="1" outlineLevel="2">
      <c r="A785" s="145"/>
      <c r="B785" s="203" t="s">
        <v>718</v>
      </c>
      <c r="C785" s="538"/>
      <c r="D785" s="701"/>
      <c r="E785" s="701"/>
      <c r="F785"/>
      <c r="G785"/>
      <c r="H785"/>
      <c r="I785" s="740"/>
      <c r="AF785" s="360">
        <v>1</v>
      </c>
      <c r="AG785" s="76"/>
      <c r="AH785" s="76"/>
      <c r="AI785" s="59"/>
      <c r="AJ785" s="44"/>
      <c r="AK785" s="44"/>
      <c r="AL785" s="76"/>
      <c r="AM785"/>
    </row>
    <row r="786" spans="1:39" s="23" customFormat="1" ht="14.1" customHeight="1" outlineLevel="2">
      <c r="A786" s="145"/>
      <c r="B786" s="1082" t="str">
        <f>AK786</f>
        <v>- Leah for lead manager approval</v>
      </c>
      <c r="C786" s="1083" t="s">
        <v>0</v>
      </c>
      <c r="D786" s="1084"/>
      <c r="E786" s="1084"/>
      <c r="F786" s="1085"/>
      <c r="G786" s="1086">
        <v>41900</v>
      </c>
      <c r="H786" s="1086">
        <v>41901</v>
      </c>
      <c r="I786" s="740"/>
      <c r="J786"/>
      <c r="K786"/>
      <c r="L786"/>
      <c r="M786"/>
      <c r="N786"/>
      <c r="O786"/>
      <c r="P786"/>
      <c r="Q786"/>
      <c r="R786"/>
      <c r="S786"/>
      <c r="T786"/>
      <c r="U786"/>
      <c r="X786"/>
      <c r="AB786"/>
      <c r="AC786"/>
      <c r="AF786" s="360">
        <v>1</v>
      </c>
      <c r="AG786" s="60">
        <f>S.EQC.BANNER.Begin</f>
        <v>41857</v>
      </c>
      <c r="AH786" s="60">
        <f>S.EQC.SubmitStaffRpt</f>
        <v>41911</v>
      </c>
      <c r="AI786" s="59"/>
      <c r="AJ786" s="159"/>
      <c r="AK786" s="67" t="str">
        <f>"- "&amp;S.Staff.Program.Mgr.FirstName&amp;" for lead manager approval"</f>
        <v>- Leah for lead manager approval</v>
      </c>
      <c r="AL786" s="76"/>
    </row>
    <row r="787" spans="1:39" s="23" customFormat="1" ht="14.1" customHeight="1" outlineLevel="2">
      <c r="A787" s="145"/>
      <c r="B787" s="1082" t="str">
        <f>AK787</f>
        <v>- Lydia for division administrator approval</v>
      </c>
      <c r="C787" s="1083" t="s">
        <v>0</v>
      </c>
      <c r="D787" s="1084"/>
      <c r="E787" s="1084"/>
      <c r="F787" s="1085"/>
      <c r="G787" s="1086">
        <v>41904</v>
      </c>
      <c r="H787" s="1086">
        <v>41906</v>
      </c>
      <c r="I787" s="740"/>
      <c r="J787"/>
      <c r="K787"/>
      <c r="L787"/>
      <c r="M787"/>
      <c r="N787"/>
      <c r="O787"/>
      <c r="P787"/>
      <c r="Q787"/>
      <c r="R787"/>
      <c r="S787"/>
      <c r="T787"/>
      <c r="U787"/>
      <c r="X787"/>
      <c r="AB787"/>
      <c r="AC787"/>
      <c r="AF787" s="360">
        <v>1</v>
      </c>
      <c r="AG787" s="60">
        <f>S.EQC.BANNER.Begin</f>
        <v>41857</v>
      </c>
      <c r="AH787" s="60">
        <f>S.EQC.SubmitStaffRpt</f>
        <v>41911</v>
      </c>
      <c r="AI787" s="59"/>
      <c r="AJ787" s="159"/>
      <c r="AK787" s="67" t="str">
        <f>"- "&amp;S.Staff.Assistant.DA.ShortName&amp; " for division administrator approval"</f>
        <v>- Lydia for division administrator approval</v>
      </c>
      <c r="AL787" s="76"/>
    </row>
    <row r="788" spans="1:39" s="23" customFormat="1" ht="14.1" customHeight="1" outlineLevel="2">
      <c r="A788" s="145" t="s">
        <v>0</v>
      </c>
      <c r="B788" s="1075" t="s">
        <v>719</v>
      </c>
      <c r="C788" s="1106"/>
      <c r="D788" s="1104"/>
      <c r="E788" s="1104"/>
      <c r="F788" s="1085"/>
      <c r="G788" s="1105">
        <v>41904</v>
      </c>
      <c r="H788" s="1105">
        <f t="shared" ref="G786:H788" si="99">AH788</f>
        <v>41947</v>
      </c>
      <c r="I788" s="740"/>
      <c r="J788"/>
      <c r="K788"/>
      <c r="L788"/>
      <c r="M788"/>
      <c r="N788"/>
      <c r="O788"/>
      <c r="P788"/>
      <c r="Q788"/>
      <c r="R788"/>
      <c r="S788"/>
      <c r="T788"/>
      <c r="U788"/>
      <c r="X788"/>
      <c r="AB788"/>
      <c r="AC788"/>
      <c r="AF788" s="360">
        <v>1</v>
      </c>
      <c r="AG788" s="60">
        <f>S.EQC.BANNER.Begin</f>
        <v>41857</v>
      </c>
      <c r="AH788" s="60">
        <f>S.EQC.Meeting-1</f>
        <v>41947</v>
      </c>
      <c r="AI788" s="59"/>
      <c r="AJ788" s="59"/>
      <c r="AK788" s="74"/>
      <c r="AL788" s="76"/>
    </row>
    <row r="789" spans="1:39" s="23" customFormat="1" ht="14.1" customHeight="1" outlineLevel="2">
      <c r="A789" s="145"/>
      <c r="B789" s="1107" t="s">
        <v>720</v>
      </c>
      <c r="C789" s="1083" t="s">
        <v>0</v>
      </c>
      <c r="D789" s="1104"/>
      <c r="E789" s="1108"/>
      <c r="F789" s="1085"/>
      <c r="G789" s="1085"/>
      <c r="H789" s="1085"/>
      <c r="I789" s="740"/>
      <c r="AF789" s="360">
        <v>1</v>
      </c>
      <c r="AG789" s="59"/>
      <c r="AH789" s="59"/>
      <c r="AI789" s="59"/>
      <c r="AJ789" s="44"/>
      <c r="AK789" s="44"/>
      <c r="AL789" s="76"/>
    </row>
    <row r="790" spans="1:39" s="23" customFormat="1" ht="14.1" customHeight="1" outlineLevel="2">
      <c r="A790" s="145"/>
      <c r="B790" s="1107" t="s">
        <v>245</v>
      </c>
      <c r="C790" s="1083" t="s">
        <v>0</v>
      </c>
      <c r="D790" s="1104"/>
      <c r="E790" s="1108"/>
      <c r="F790" s="1085"/>
      <c r="G790" s="1085"/>
      <c r="H790" s="1085"/>
      <c r="I790" s="740"/>
      <c r="J790"/>
      <c r="K790"/>
      <c r="L790"/>
      <c r="M790"/>
      <c r="N790"/>
      <c r="O790"/>
      <c r="P790"/>
      <c r="Q790"/>
      <c r="R790"/>
      <c r="S790"/>
      <c r="T790"/>
      <c r="U790"/>
      <c r="X790"/>
      <c r="AB790"/>
      <c r="AC790"/>
      <c r="AF790" s="360">
        <v>1</v>
      </c>
      <c r="AG790" s="59"/>
      <c r="AH790" s="59"/>
      <c r="AI790" s="59"/>
      <c r="AJ790" s="44"/>
      <c r="AK790" s="44"/>
      <c r="AL790" s="76"/>
    </row>
    <row r="791" spans="1:39" s="23" customFormat="1" ht="14.1" hidden="1" customHeight="1" outlineLevel="2">
      <c r="A791" s="145"/>
      <c r="B791" s="1107" t="s">
        <v>246</v>
      </c>
      <c r="C791" s="1083" t="s">
        <v>0</v>
      </c>
      <c r="D791" s="1104"/>
      <c r="E791" s="1108"/>
      <c r="F791" s="1085"/>
      <c r="G791" s="1085"/>
      <c r="H791" s="1085"/>
      <c r="I791" s="740"/>
      <c r="J791"/>
      <c r="K791"/>
      <c r="L791"/>
      <c r="M791"/>
      <c r="N791"/>
      <c r="O791"/>
      <c r="P791"/>
      <c r="Q791"/>
      <c r="R791"/>
      <c r="S791"/>
      <c r="T791"/>
      <c r="U791"/>
      <c r="X791"/>
      <c r="AB791"/>
      <c r="AC791"/>
      <c r="AF791" s="360">
        <f>IF(S.AC.CommitteeInvolved="Y",1,0)</f>
        <v>0</v>
      </c>
      <c r="AG791" s="59"/>
      <c r="AH791" s="59"/>
      <c r="AI791" s="59"/>
      <c r="AJ791" s="44"/>
      <c r="AK791" s="44"/>
      <c r="AL791" s="76"/>
    </row>
    <row r="792" spans="1:39" s="23" customFormat="1" ht="14.1" hidden="1" customHeight="1" outlineLevel="2">
      <c r="A792" s="145"/>
      <c r="B792" s="1107" t="s">
        <v>247</v>
      </c>
      <c r="C792" s="1083" t="s">
        <v>0</v>
      </c>
      <c r="D792" s="1104"/>
      <c r="E792" s="1108"/>
      <c r="F792" s="1085"/>
      <c r="G792" s="1085"/>
      <c r="H792" s="1085"/>
      <c r="I792" s="740"/>
      <c r="J792"/>
      <c r="K792"/>
      <c r="L792"/>
      <c r="M792"/>
      <c r="N792"/>
      <c r="O792"/>
      <c r="P792"/>
      <c r="Q792"/>
      <c r="R792"/>
      <c r="S792"/>
      <c r="T792"/>
      <c r="U792"/>
      <c r="X792"/>
      <c r="AB792"/>
      <c r="AC792"/>
      <c r="AF792" s="360">
        <f>IF(S.Notice.Involved="Y",1,0)</f>
        <v>0</v>
      </c>
      <c r="AG792" s="59"/>
      <c r="AH792" s="59"/>
      <c r="AI792" s="59"/>
      <c r="AJ792" s="44"/>
      <c r="AK792" s="44"/>
      <c r="AL792" s="76"/>
    </row>
    <row r="793" spans="1:39" s="23" customFormat="1" ht="14.1" customHeight="1" outlineLevel="2">
      <c r="A793" s="145"/>
      <c r="B793" s="1107" t="s">
        <v>248</v>
      </c>
      <c r="C793" s="1083" t="s">
        <v>0</v>
      </c>
      <c r="D793" s="1104"/>
      <c r="E793" s="1108"/>
      <c r="F793" s="1085"/>
      <c r="G793" s="1085"/>
      <c r="H793" s="1085"/>
      <c r="I793" s="740"/>
      <c r="J793"/>
      <c r="K793"/>
      <c r="L793"/>
      <c r="M793"/>
      <c r="N793"/>
      <c r="O793"/>
      <c r="P793"/>
      <c r="Q793"/>
      <c r="R793"/>
      <c r="S793"/>
      <c r="T793"/>
      <c r="U793"/>
      <c r="X793"/>
      <c r="AB793"/>
      <c r="AC793"/>
      <c r="AF793" s="360">
        <v>1</v>
      </c>
      <c r="AG793" s="59"/>
      <c r="AH793" s="59"/>
      <c r="AI793" s="59"/>
      <c r="AJ793" s="44"/>
      <c r="AK793" s="44"/>
      <c r="AL793" s="76"/>
    </row>
    <row r="794" spans="1:39" ht="14.1" customHeight="1" outlineLevel="2">
      <c r="A794" s="145"/>
      <c r="B794" s="1103" t="s">
        <v>236</v>
      </c>
      <c r="C794" s="1083" t="s">
        <v>0</v>
      </c>
      <c r="D794" s="1104"/>
      <c r="E794" s="1104"/>
      <c r="F794" s="1085"/>
      <c r="G794" s="1105">
        <f t="shared" ref="G794:H798" si="100">AG794</f>
        <v>41906</v>
      </c>
      <c r="H794" s="1105">
        <f t="shared" si="100"/>
        <v>41947</v>
      </c>
      <c r="I794" s="740"/>
      <c r="AF794" s="360">
        <v>1</v>
      </c>
      <c r="AG794" s="60">
        <f>H787</f>
        <v>41906</v>
      </c>
      <c r="AH794" s="60">
        <f>S.EQC.Meeting-1</f>
        <v>41947</v>
      </c>
      <c r="AI794" s="59"/>
      <c r="AJ794" s="44"/>
      <c r="AK794" s="44"/>
      <c r="AL794" s="76"/>
      <c r="AM794"/>
    </row>
    <row r="795" spans="1:39" ht="14.1" customHeight="1" outlineLevel="2">
      <c r="A795" s="145"/>
      <c r="B795" s="1109" t="s">
        <v>238</v>
      </c>
      <c r="C795" s="1101" t="s">
        <v>0</v>
      </c>
      <c r="D795" s="1104"/>
      <c r="E795" s="1104"/>
      <c r="F795" s="1085"/>
      <c r="G795" s="1105">
        <f t="shared" si="100"/>
        <v>41947</v>
      </c>
      <c r="H795" s="1105">
        <f t="shared" si="100"/>
        <v>41947</v>
      </c>
      <c r="I795" s="740"/>
      <c r="AF795" s="360">
        <v>1</v>
      </c>
      <c r="AG795" s="60">
        <f>H788</f>
        <v>41947</v>
      </c>
      <c r="AH795" s="60">
        <f>S.EQC.Meeting-1</f>
        <v>41947</v>
      </c>
      <c r="AI795" s="59"/>
      <c r="AJ795" s="44"/>
      <c r="AK795" s="44" t="s">
        <v>0</v>
      </c>
      <c r="AL795" s="76"/>
      <c r="AM795"/>
    </row>
    <row r="796" spans="1:39" ht="14.1" customHeight="1" outlineLevel="2">
      <c r="A796" s="145"/>
      <c r="B796" s="1110" t="s">
        <v>237</v>
      </c>
      <c r="C796" s="1090" t="s">
        <v>0</v>
      </c>
      <c r="D796" s="1104"/>
      <c r="E796" s="1104"/>
      <c r="F796" s="1085"/>
      <c r="G796" s="1105">
        <f t="shared" si="100"/>
        <v>41947</v>
      </c>
      <c r="H796" s="1105">
        <f t="shared" si="100"/>
        <v>41947</v>
      </c>
      <c r="I796" s="740"/>
      <c r="AF796" s="360">
        <v>1</v>
      </c>
      <c r="AG796" s="60">
        <f>G795</f>
        <v>41947</v>
      </c>
      <c r="AH796" s="60">
        <f>S.EQC.Meeting-1</f>
        <v>41947</v>
      </c>
      <c r="AI796" s="59"/>
      <c r="AJ796" s="43"/>
      <c r="AK796" s="43"/>
      <c r="AL796" s="76"/>
      <c r="AM796"/>
    </row>
    <row r="797" spans="1:39" ht="14.1" customHeight="1" outlineLevel="2">
      <c r="A797" s="145"/>
      <c r="B797" s="305" t="s">
        <v>193</v>
      </c>
      <c r="C797" s="324"/>
      <c r="D797" s="305"/>
      <c r="E797" s="305"/>
      <c r="F797"/>
      <c r="G797" s="436">
        <f t="shared" si="100"/>
        <v>0</v>
      </c>
      <c r="H797" s="437">
        <f t="shared" si="100"/>
        <v>41948</v>
      </c>
      <c r="I797" s="740"/>
      <c r="AF797" s="360">
        <v>1</v>
      </c>
      <c r="AG797" s="59"/>
      <c r="AH797" s="60">
        <f>S.EQC.Meeting</f>
        <v>41948</v>
      </c>
      <c r="AI797" s="59"/>
      <c r="AJ797" s="44"/>
      <c r="AK797" s="44"/>
      <c r="AL797" s="76"/>
      <c r="AM797"/>
    </row>
    <row r="798" spans="1:39" s="23" customFormat="1" ht="14.1" customHeight="1" outlineLevel="2">
      <c r="A798" s="145"/>
      <c r="B798" s="208" t="str">
        <f>AK798</f>
        <v>Jerry collects emails about EQC preparations for Rule Record and saves as:</v>
      </c>
      <c r="C798" s="505" t="str">
        <f>HYPERLINK("\\deqhq1\Rule_Development\Currrent Plan","i")</f>
        <v>i</v>
      </c>
      <c r="D798" s="292"/>
      <c r="E798" s="745"/>
      <c r="F798"/>
      <c r="G798" s="521">
        <f t="shared" si="100"/>
        <v>41948</v>
      </c>
      <c r="H798" s="521">
        <f t="shared" si="100"/>
        <v>41948</v>
      </c>
      <c r="I798" s="740"/>
      <c r="J798"/>
      <c r="K798"/>
      <c r="L798"/>
      <c r="M798"/>
      <c r="N798"/>
      <c r="O798"/>
      <c r="P798"/>
      <c r="Q798"/>
      <c r="R798"/>
      <c r="S798"/>
      <c r="T798"/>
      <c r="U798"/>
      <c r="X798"/>
      <c r="AB798"/>
      <c r="AC798"/>
      <c r="AF798" s="360">
        <v>1</v>
      </c>
      <c r="AG798" s="60">
        <f>S.EQC.Meeting</f>
        <v>41948</v>
      </c>
      <c r="AH798" s="60">
        <f>G798</f>
        <v>41948</v>
      </c>
      <c r="AI798" s="59"/>
      <c r="AJ798" s="59"/>
      <c r="AK798" s="78" t="str">
        <f>S.Staff.Subject.Expert.FirstName&amp;" collects emails about EQC preparations for Rule Record and saves as:"</f>
        <v>Jerry collects emails about EQC preparations for Rule Record and saves as:</v>
      </c>
      <c r="AL798" s="76"/>
    </row>
    <row r="799" spans="1:39" s="23" customFormat="1" ht="14.1" customHeight="1" outlineLevel="2">
      <c r="A799" s="145"/>
      <c r="B799" s="277" t="s">
        <v>135</v>
      </c>
      <c r="C799" s="268"/>
      <c r="D799" s="278"/>
      <c r="E799" s="278"/>
      <c r="F799" s="262"/>
      <c r="G799" s="258"/>
      <c r="H799" s="258"/>
      <c r="I799" s="740"/>
      <c r="J799"/>
      <c r="K799"/>
      <c r="L799"/>
      <c r="M799"/>
      <c r="N799"/>
      <c r="O799"/>
      <c r="P799"/>
      <c r="Q799"/>
      <c r="R799"/>
      <c r="S799"/>
      <c r="T799"/>
      <c r="U799"/>
      <c r="X799"/>
      <c r="AB799"/>
      <c r="AC799"/>
      <c r="AF799" s="360">
        <v>1</v>
      </c>
      <c r="AG799" s="58"/>
      <c r="AH799" s="58"/>
      <c r="AI799" s="58"/>
      <c r="AJ799" s="44"/>
      <c r="AK799" s="58" t="s">
        <v>0</v>
      </c>
      <c r="AL799" s="76"/>
    </row>
    <row r="800" spans="1:39" ht="5.25" customHeight="1" outlineLevel="1">
      <c r="A800" s="145"/>
      <c r="B800" s="209"/>
      <c r="C800" s="102"/>
      <c r="D800" s="101"/>
      <c r="E800" s="101"/>
      <c r="F800" s="103"/>
      <c r="G800" s="127"/>
      <c r="H800" s="128"/>
      <c r="I800" s="740"/>
      <c r="AF800" s="360" t="s">
        <v>20</v>
      </c>
      <c r="AG800" s="47"/>
      <c r="AH800" s="47"/>
      <c r="AI800" s="59"/>
      <c r="AJ800" s="44"/>
      <c r="AK800" s="44"/>
      <c r="AL800" s="76"/>
      <c r="AM800"/>
    </row>
    <row r="801" spans="1:39" s="23" customFormat="1" ht="18" customHeight="1" outlineLevel="1">
      <c r="A801" s="145"/>
      <c r="B801" s="1010" t="s">
        <v>199</v>
      </c>
      <c r="C801" s="1010"/>
      <c r="D801" s="1010"/>
      <c r="E801" s="1010"/>
      <c r="F801" s="1010"/>
      <c r="G801" s="1010"/>
      <c r="H801" s="1010"/>
      <c r="I801" s="740"/>
      <c r="J801"/>
      <c r="K801"/>
      <c r="L801"/>
      <c r="M801"/>
      <c r="N801"/>
      <c r="O801"/>
      <c r="P801"/>
      <c r="Q801"/>
      <c r="R801"/>
      <c r="S801"/>
      <c r="T801"/>
      <c r="U801"/>
      <c r="X801"/>
      <c r="AB801"/>
      <c r="AC801"/>
      <c r="AF801" s="360" t="s">
        <v>21</v>
      </c>
      <c r="AG801" s="59"/>
      <c r="AH801" s="59"/>
      <c r="AI801" s="59"/>
      <c r="AJ801" s="68"/>
      <c r="AK801" s="58"/>
      <c r="AL801" s="76"/>
    </row>
    <row r="802" spans="1:39" s="375" customFormat="1" ht="14.1" hidden="1" customHeight="1" outlineLevel="2">
      <c r="A802" s="372"/>
      <c r="B802" s="453" t="s">
        <v>0</v>
      </c>
      <c r="C802" s="373" t="s">
        <v>0</v>
      </c>
      <c r="D802" s="373"/>
      <c r="E802" s="373"/>
      <c r="F802" s="381"/>
      <c r="G802" s="374" t="s">
        <v>56</v>
      </c>
      <c r="H802" s="374" t="s">
        <v>171</v>
      </c>
      <c r="I802" s="740"/>
      <c r="J802"/>
      <c r="K802"/>
      <c r="L802"/>
      <c r="M802"/>
      <c r="N802"/>
      <c r="O802"/>
      <c r="P802"/>
      <c r="Q802"/>
      <c r="R802"/>
      <c r="S802"/>
      <c r="T802"/>
      <c r="U802"/>
      <c r="V802" s="23"/>
      <c r="W802" s="23"/>
      <c r="X802"/>
      <c r="Y802" s="23"/>
      <c r="Z802" s="23"/>
      <c r="AA802" s="23"/>
      <c r="AB802"/>
      <c r="AC802"/>
      <c r="AD802" s="23"/>
      <c r="AE802" s="23"/>
      <c r="AF802" s="377" t="s">
        <v>58</v>
      </c>
      <c r="AG802" s="376"/>
      <c r="AH802" s="376"/>
      <c r="AI802" s="378"/>
      <c r="AJ802" s="379"/>
      <c r="AK802" s="380"/>
      <c r="AL802" s="376"/>
    </row>
    <row r="803" spans="1:39" ht="14.1" hidden="1" customHeight="1" outlineLevel="2">
      <c r="A803" s="145"/>
      <c r="B803" s="113"/>
      <c r="C803" s="129" t="s">
        <v>0</v>
      </c>
      <c r="D803" s="114"/>
      <c r="E803" s="114"/>
      <c r="F803" s="125"/>
      <c r="G803" s="175">
        <f>AG803</f>
        <v>41948</v>
      </c>
      <c r="H803" s="201">
        <f>AH803</f>
        <v>42038</v>
      </c>
      <c r="I803" s="740"/>
      <c r="AF803" s="360" t="s">
        <v>58</v>
      </c>
      <c r="AG803" s="60">
        <f>S.PostEQC.BANNER.Begin</f>
        <v>41948</v>
      </c>
      <c r="AH803" s="60">
        <f>S.PostEQC.BANNER.End</f>
        <v>42038</v>
      </c>
      <c r="AI803" s="59"/>
      <c r="AJ803" s="44"/>
      <c r="AK803" s="44"/>
      <c r="AL803" s="76"/>
      <c r="AM803"/>
    </row>
    <row r="804" spans="1:39" ht="6" hidden="1" customHeight="1" outlineLevel="2">
      <c r="A804" s="145"/>
      <c r="B804" s="106"/>
      <c r="C804" s="98"/>
      <c r="D804" s="687"/>
      <c r="E804" s="687"/>
      <c r="F804" s="99"/>
      <c r="G804" s="98"/>
      <c r="H804" s="98"/>
      <c r="I804" s="740"/>
      <c r="AF804" s="360" t="s">
        <v>16</v>
      </c>
      <c r="AG804" s="47"/>
      <c r="AH804" s="47"/>
      <c r="AI804" s="59"/>
      <c r="AJ804" s="44"/>
      <c r="AK804" s="44"/>
      <c r="AL804" s="76"/>
      <c r="AM804"/>
    </row>
    <row r="805" spans="1:39" s="23" customFormat="1" ht="14.1" hidden="1" customHeight="1" outlineLevel="2">
      <c r="A805" s="145"/>
      <c r="B805" s="534" t="s">
        <v>306</v>
      </c>
      <c r="C805" s="508" t="str">
        <f>HYPERLINK("\\deqhq1\Rule_Resources\i\0-VersionHistory.pdf","i")</f>
        <v>i</v>
      </c>
      <c r="D805" s="688"/>
      <c r="E805" s="688"/>
      <c r="F805" s="83"/>
      <c r="G805" s="82"/>
      <c r="H805" s="82"/>
      <c r="I805" s="740"/>
      <c r="J805"/>
      <c r="K805"/>
      <c r="L805"/>
      <c r="M805"/>
      <c r="N805"/>
      <c r="O805"/>
      <c r="P805"/>
      <c r="Q805"/>
      <c r="R805"/>
      <c r="S805"/>
      <c r="T805"/>
      <c r="U805"/>
      <c r="X805"/>
      <c r="AB805"/>
      <c r="AC805"/>
      <c r="AF805" s="361" t="s">
        <v>20</v>
      </c>
      <c r="AG805" s="47"/>
      <c r="AH805" s="47"/>
      <c r="AI805" s="69"/>
      <c r="AJ805" s="69"/>
      <c r="AK805" s="35"/>
      <c r="AL805" s="76"/>
    </row>
    <row r="806" spans="1:39" s="23" customFormat="1" ht="14.1" hidden="1" customHeight="1" outlineLevel="2">
      <c r="A806" s="145"/>
      <c r="B806" s="530" t="s">
        <v>294</v>
      </c>
      <c r="C806" s="530"/>
      <c r="D806" s="530"/>
      <c r="E806" s="530"/>
      <c r="F806" s="530"/>
      <c r="G806" s="530"/>
      <c r="H806" s="530"/>
      <c r="I806" s="740"/>
      <c r="J806"/>
      <c r="K806"/>
      <c r="L806"/>
      <c r="M806"/>
      <c r="N806"/>
      <c r="O806"/>
      <c r="P806"/>
      <c r="Q806"/>
      <c r="R806"/>
      <c r="S806"/>
      <c r="T806"/>
      <c r="U806"/>
      <c r="X806"/>
      <c r="AB806"/>
      <c r="AC806"/>
      <c r="AF806" s="360">
        <f>IF(S.Notice.Involved="Y",1,0)</f>
        <v>0</v>
      </c>
      <c r="AG806" s="47"/>
      <c r="AH806" s="47"/>
      <c r="AI806" s="47"/>
      <c r="AJ806" s="44"/>
      <c r="AK806" s="72"/>
      <c r="AL806" s="76"/>
    </row>
    <row r="807" spans="1:39" s="23" customFormat="1" ht="14.1" hidden="1" customHeight="1" outlineLevel="2">
      <c r="A807" s="145" t="s">
        <v>0</v>
      </c>
      <c r="B807" s="303" t="str">
        <f>AK807</f>
        <v>Jerry:</v>
      </c>
      <c r="C807" s="258"/>
      <c r="D807" s="307"/>
      <c r="E807" s="307"/>
      <c r="F807" s="262"/>
      <c r="G807" s="258"/>
      <c r="H807" s="258"/>
      <c r="I807" s="740"/>
      <c r="J807"/>
      <c r="K807"/>
      <c r="L807"/>
      <c r="M807"/>
      <c r="N807"/>
      <c r="O807"/>
      <c r="P807"/>
      <c r="Q807"/>
      <c r="R807"/>
      <c r="S807"/>
      <c r="T807"/>
      <c r="U807"/>
      <c r="X807"/>
      <c r="AB807"/>
      <c r="AC807"/>
      <c r="AF807" s="360">
        <v>1</v>
      </c>
      <c r="AG807" s="80"/>
      <c r="AH807" s="80"/>
      <c r="AI807" s="59"/>
      <c r="AJ807" s="159"/>
      <c r="AK807" s="67" t="str">
        <f>S.Staff.Subject.Expert.FirstName&amp;":"</f>
        <v>Jerry:</v>
      </c>
      <c r="AL807" s="76"/>
    </row>
    <row r="808" spans="1:39" ht="14.1" hidden="1" customHeight="1" outlineLevel="2">
      <c r="A808" s="145"/>
      <c r="B808" s="220" t="s">
        <v>194</v>
      </c>
      <c r="C808" s="541" t="s">
        <v>0</v>
      </c>
      <c r="D808" s="549"/>
      <c r="E808" s="888"/>
      <c r="F808"/>
      <c r="G808"/>
      <c r="H808" s="256">
        <f>AH808</f>
        <v>41948</v>
      </c>
      <c r="I808" s="740"/>
      <c r="AF808" s="360">
        <v>1</v>
      </c>
      <c r="AG808" s="80"/>
      <c r="AH808" s="60">
        <f>S.PostEQC.BANNER.Begin</f>
        <v>41948</v>
      </c>
      <c r="AI808" s="59"/>
      <c r="AJ808" s="44"/>
      <c r="AK808" s="217"/>
      <c r="AL808" s="76"/>
      <c r="AM808"/>
    </row>
    <row r="809" spans="1:39" s="23" customFormat="1" ht="14.1" hidden="1" customHeight="1" outlineLevel="2">
      <c r="A809" s="145"/>
      <c r="B809" s="428" t="s">
        <v>195</v>
      </c>
      <c r="C809" s="541" t="s">
        <v>0</v>
      </c>
      <c r="D809" s="549"/>
      <c r="E809" s="888"/>
      <c r="F809"/>
      <c r="G809"/>
      <c r="H809"/>
      <c r="I809" s="740"/>
      <c r="J809"/>
      <c r="K809"/>
      <c r="L809"/>
      <c r="M809"/>
      <c r="N809"/>
      <c r="O809"/>
      <c r="P809"/>
      <c r="Q809"/>
      <c r="R809"/>
      <c r="S809"/>
      <c r="T809"/>
      <c r="U809"/>
      <c r="X809"/>
      <c r="AB809"/>
      <c r="AC809"/>
      <c r="AF809" s="360">
        <v>1</v>
      </c>
      <c r="AG809" s="80"/>
      <c r="AH809" s="80"/>
      <c r="AI809" s="59"/>
      <c r="AJ809" s="44"/>
      <c r="AK809" s="217"/>
      <c r="AL809" s="76"/>
    </row>
    <row r="810" spans="1:39" s="23" customFormat="1" ht="14.1" hidden="1" customHeight="1" outlineLevel="2">
      <c r="A810" s="145"/>
      <c r="B810" s="428" t="s">
        <v>319</v>
      </c>
      <c r="C810" s="541" t="s">
        <v>0</v>
      </c>
      <c r="D810" s="549"/>
      <c r="E810" s="888"/>
      <c r="F810"/>
      <c r="G810"/>
      <c r="H810"/>
      <c r="I810" s="740"/>
      <c r="J810"/>
      <c r="K810"/>
      <c r="L810"/>
      <c r="M810"/>
      <c r="N810"/>
      <c r="O810"/>
      <c r="P810"/>
      <c r="Q810"/>
      <c r="R810"/>
      <c r="S810"/>
      <c r="T810"/>
      <c r="U810"/>
      <c r="X810"/>
      <c r="AB810"/>
      <c r="AC810"/>
      <c r="AF810" s="360">
        <v>1</v>
      </c>
      <c r="AG810" s="80"/>
      <c r="AH810" s="80"/>
      <c r="AI810" s="59"/>
      <c r="AJ810" s="44"/>
      <c r="AK810" s="217"/>
      <c r="AL810" s="76"/>
    </row>
    <row r="811" spans="1:39" s="23" customFormat="1" ht="14.1" hidden="1" customHeight="1" outlineLevel="2">
      <c r="A811" s="145"/>
      <c r="B811" s="428" t="s">
        <v>320</v>
      </c>
      <c r="C811" s="541" t="s">
        <v>0</v>
      </c>
      <c r="D811" s="549"/>
      <c r="E811" s="888"/>
      <c r="F811"/>
      <c r="G811"/>
      <c r="H811"/>
      <c r="I811" s="740"/>
      <c r="J811"/>
      <c r="K811"/>
      <c r="L811"/>
      <c r="M811"/>
      <c r="N811"/>
      <c r="O811"/>
      <c r="P811"/>
      <c r="Q811"/>
      <c r="R811"/>
      <c r="S811"/>
      <c r="T811"/>
      <c r="U811"/>
      <c r="X811"/>
      <c r="AB811"/>
      <c r="AC811"/>
      <c r="AF811" s="360">
        <v>1</v>
      </c>
      <c r="AG811" s="80"/>
      <c r="AH811" s="80"/>
      <c r="AI811" s="59"/>
      <c r="AJ811" s="44"/>
      <c r="AK811" s="217"/>
      <c r="AL811" s="76"/>
    </row>
    <row r="812" spans="1:39" s="23" customFormat="1" ht="14.1" hidden="1" customHeight="1" outlineLevel="2">
      <c r="A812" s="145"/>
      <c r="B812" s="428" t="s">
        <v>304</v>
      </c>
      <c r="C812" s="541" t="s">
        <v>0</v>
      </c>
      <c r="D812" s="549"/>
      <c r="E812" s="888"/>
      <c r="F812"/>
      <c r="G812"/>
      <c r="H812"/>
      <c r="I812" s="740"/>
      <c r="J812"/>
      <c r="K812"/>
      <c r="L812"/>
      <c r="M812"/>
      <c r="N812"/>
      <c r="O812"/>
      <c r="P812"/>
      <c r="Q812"/>
      <c r="R812"/>
      <c r="S812"/>
      <c r="T812"/>
      <c r="U812"/>
      <c r="X812"/>
      <c r="AB812"/>
      <c r="AC812"/>
      <c r="AF812" s="360">
        <v>1</v>
      </c>
      <c r="AG812" s="80"/>
      <c r="AH812" s="80"/>
      <c r="AI812" s="59"/>
      <c r="AJ812" s="44"/>
      <c r="AK812" s="217"/>
      <c r="AL812" s="76"/>
    </row>
    <row r="813" spans="1:39" s="23" customFormat="1" ht="14.1" hidden="1" customHeight="1" outlineLevel="2">
      <c r="A813" s="145"/>
      <c r="B813" s="428" t="s">
        <v>304</v>
      </c>
      <c r="C813" s="541" t="s">
        <v>0</v>
      </c>
      <c r="D813" s="549"/>
      <c r="E813" s="888"/>
      <c r="F813"/>
      <c r="G813"/>
      <c r="H813"/>
      <c r="I813" s="740"/>
      <c r="J813"/>
      <c r="K813"/>
      <c r="L813"/>
      <c r="M813"/>
      <c r="N813"/>
      <c r="O813"/>
      <c r="P813"/>
      <c r="Q813"/>
      <c r="R813"/>
      <c r="S813"/>
      <c r="T813"/>
      <c r="U813"/>
      <c r="X813"/>
      <c r="AB813"/>
      <c r="AC813"/>
      <c r="AF813" s="360">
        <v>1</v>
      </c>
      <c r="AG813" s="80"/>
      <c r="AH813" s="80"/>
      <c r="AI813" s="59"/>
      <c r="AJ813" s="44"/>
      <c r="AK813" s="217"/>
      <c r="AL813" s="76"/>
    </row>
    <row r="814" spans="1:39" s="23" customFormat="1" ht="14.1" hidden="1" customHeight="1" outlineLevel="2" thickBot="1">
      <c r="A814" s="145"/>
      <c r="B814" s="220" t="str">
        <f>AK814</f>
        <v>* emails Maggie to affirm EQC action and document readiness</v>
      </c>
      <c r="C814" s="541" t="s">
        <v>0</v>
      </c>
      <c r="D814" s="549"/>
      <c r="E814" s="888"/>
      <c r="F814"/>
      <c r="G814"/>
      <c r="H814"/>
      <c r="I814" s="740"/>
      <c r="J814"/>
      <c r="K814"/>
      <c r="L814"/>
      <c r="M814"/>
      <c r="N814"/>
      <c r="O814"/>
      <c r="P814"/>
      <c r="Q814"/>
      <c r="R814"/>
      <c r="S814"/>
      <c r="T814"/>
      <c r="U814"/>
      <c r="X814"/>
      <c r="AB814"/>
      <c r="AC814"/>
      <c r="AF814" s="360">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206</v>
      </c>
      <c r="C815" s="535" t="s">
        <v>16</v>
      </c>
      <c r="D815" s="312"/>
      <c r="E815" s="745"/>
      <c r="F815"/>
      <c r="G815"/>
      <c r="H815" s="256">
        <f>AH815</f>
        <v>41948</v>
      </c>
      <c r="I815" s="740"/>
      <c r="AF815" s="360">
        <f>IF(S.PostEQC.NotifyStakeholders="N",,1)</f>
        <v>1</v>
      </c>
      <c r="AG815" s="80"/>
      <c r="AH815" s="60">
        <f>IF(AF815=0,,S.PostEQC.BANNER.Begin)</f>
        <v>41948</v>
      </c>
      <c r="AI815" s="59"/>
      <c r="AJ815" s="59"/>
      <c r="AK815" s="45" t="s">
        <v>0</v>
      </c>
      <c r="AL815" s="76"/>
      <c r="AM815"/>
    </row>
    <row r="816" spans="1:39" s="23" customFormat="1" ht="14.1" hidden="1" customHeight="1" outlineLevel="2">
      <c r="A816" s="145"/>
      <c r="B816" s="269" t="str">
        <f>AK816</f>
        <v>* coordinates EPA.SIP.SUBMITAL with AndreaG</v>
      </c>
      <c r="C816" s="541" t="s">
        <v>0</v>
      </c>
      <c r="D816" s="283"/>
      <c r="E816" s="745"/>
      <c r="F816"/>
      <c r="G816"/>
      <c r="H816" s="256">
        <f>AH816</f>
        <v>41948</v>
      </c>
      <c r="I816" s="740"/>
      <c r="J816"/>
      <c r="K816"/>
      <c r="L816"/>
      <c r="M816"/>
      <c r="N816"/>
      <c r="O816"/>
      <c r="P816"/>
      <c r="Q816"/>
      <c r="R816"/>
      <c r="S816"/>
      <c r="T816"/>
      <c r="U816"/>
      <c r="X816"/>
      <c r="AB816"/>
      <c r="AC816"/>
      <c r="AF816" s="361">
        <f>IF(S.SIP.Involved="Y",1,0)</f>
        <v>0</v>
      </c>
      <c r="AG816" s="80"/>
      <c r="AH816" s="60">
        <f>S.PostEQC.BANNER.Begin</f>
        <v>41948</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Leah</v>
      </c>
      <c r="C817" s="503" t="str">
        <f>HYPERLINK("\\deqhq1\Rule_Resources\i\AC.THANK.YOU.docx","i")</f>
        <v>i</v>
      </c>
      <c r="D817" s="717"/>
      <c r="E817" s="889"/>
      <c r="F817"/>
      <c r="G817"/>
      <c r="H817" s="256">
        <f>AH817</f>
        <v>0</v>
      </c>
      <c r="I817" s="740"/>
      <c r="AF817" s="360">
        <f>IF(S.AC.CommitteeInvolved="Y",1,0)</f>
        <v>0</v>
      </c>
      <c r="AG817" s="80"/>
      <c r="AH817" s="60">
        <f>IF(AF817=0,,S.PostEQC.BANNER.Begin)</f>
        <v>0</v>
      </c>
      <c r="AI817" s="59"/>
      <c r="AJ817" s="59"/>
      <c r="AK817" s="67" t="str">
        <f>"* coordinates AC.THANK.YOU email or letter with "&amp;S.Staff.Program.Mgr.FirstName</f>
        <v>* coordinates AC.THANK.YOU email or letter with Leah</v>
      </c>
      <c r="AL817" s="76"/>
      <c r="AM817"/>
    </row>
    <row r="818" spans="1:39" ht="14.1" hidden="1" customHeight="1" outlineLevel="2">
      <c r="A818" s="145"/>
      <c r="B818" s="220" t="str">
        <f>AK818</f>
        <v>* coordinates AC.SURVEY with Leah</v>
      </c>
      <c r="C818" s="502" t="str">
        <f>HYPERLINK("\\deqhq1\Rule_Resources\i\AC.SURVEY.docx","i")</f>
        <v>i</v>
      </c>
      <c r="D818" s="283"/>
      <c r="E818" s="745"/>
      <c r="F818"/>
      <c r="G818"/>
      <c r="H818" s="256">
        <f>AH818</f>
        <v>0</v>
      </c>
      <c r="I818" s="740"/>
      <c r="AF818" s="360">
        <f>IF(S.AC.CommitteeInvolved="Y",1,0)</f>
        <v>0</v>
      </c>
      <c r="AG818" s="80"/>
      <c r="AH818" s="60">
        <f>IF(AF818=0,,S.PostEQC.BANNER.Begin)</f>
        <v>0</v>
      </c>
      <c r="AI818" s="59"/>
      <c r="AJ818" s="59"/>
      <c r="AK818" s="67" t="str">
        <f>"* coordinates AC.SURVEY with "&amp;S.Staff.Program.Mgr.FirstName</f>
        <v>* coordinates AC.SURVEY with Leah</v>
      </c>
      <c r="AL818" s="76"/>
      <c r="AM818"/>
    </row>
    <row r="819" spans="1:39" ht="14.1" hidden="1" customHeight="1" outlineLevel="2">
      <c r="A819" s="145"/>
      <c r="B819" s="220" t="s">
        <v>250</v>
      </c>
      <c r="C819" s="541" t="s">
        <v>0</v>
      </c>
      <c r="D819" s="283"/>
      <c r="E819" s="745"/>
      <c r="F819"/>
      <c r="G819"/>
      <c r="H819" s="256">
        <f>AH819</f>
        <v>41948</v>
      </c>
      <c r="I819" s="740"/>
      <c r="AF819" s="360">
        <v>1</v>
      </c>
      <c r="AG819" s="80"/>
      <c r="AH819" s="60">
        <f>S.PostEQC.BANNER.Begin</f>
        <v>41948</v>
      </c>
      <c r="AI819" s="59"/>
      <c r="AJ819" s="59"/>
      <c r="AK819" s="44" t="s">
        <v>0</v>
      </c>
      <c r="AL819" s="76"/>
      <c r="AM819"/>
    </row>
    <row r="820" spans="1:39" s="23" customFormat="1" ht="14.1" hidden="1" customHeight="1" outlineLevel="2">
      <c r="A820" s="145"/>
      <c r="B820" s="303" t="str">
        <f t="shared" ref="B820:B825" si="101">AK820</f>
        <v>AndreaG:</v>
      </c>
      <c r="C820" s="306"/>
      <c r="D820" s="307"/>
      <c r="E820" s="307"/>
      <c r="F820" s="262"/>
      <c r="G820" s="306"/>
      <c r="H820" s="306"/>
      <c r="I820" s="740"/>
      <c r="J820"/>
      <c r="K820"/>
      <c r="L820"/>
      <c r="M820"/>
      <c r="N820"/>
      <c r="O820"/>
      <c r="P820"/>
      <c r="Q820"/>
      <c r="R820"/>
      <c r="S820"/>
      <c r="T820"/>
      <c r="U820"/>
      <c r="X820"/>
      <c r="AB820"/>
      <c r="AC820"/>
      <c r="AF820" s="360">
        <v>1</v>
      </c>
      <c r="AG820" s="80"/>
      <c r="AH820" s="80"/>
      <c r="AI820" s="59"/>
      <c r="AJ820" s="159"/>
      <c r="AK820" s="67" t="str">
        <f>S.Staff.RG.Lead.FirstName&amp;":"</f>
        <v>AndreaG:</v>
      </c>
      <c r="AL820" s="76"/>
    </row>
    <row r="821" spans="1:39" s="23" customFormat="1" ht="14.1" hidden="1" customHeight="1" outlineLevel="2">
      <c r="A821" s="145"/>
      <c r="B821" s="269" t="str">
        <f t="shared" si="101"/>
        <v>* no DAS involvement</v>
      </c>
      <c r="C821" s="542" t="s">
        <v>0</v>
      </c>
      <c r="D821" s="283"/>
      <c r="E821" s="745"/>
      <c r="F821"/>
      <c r="G821"/>
      <c r="H821" s="256">
        <f>AH821</f>
        <v>0</v>
      </c>
      <c r="I821" s="740"/>
      <c r="J821"/>
      <c r="K821"/>
      <c r="L821"/>
      <c r="M821"/>
      <c r="N821"/>
      <c r="O821"/>
      <c r="P821"/>
      <c r="Q821"/>
      <c r="R821"/>
      <c r="S821"/>
      <c r="T821"/>
      <c r="U821"/>
      <c r="X821"/>
      <c r="AB821"/>
      <c r="AC821"/>
      <c r="AF821" s="360">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si="101"/>
        <v>* no DAS involvement</v>
      </c>
      <c r="C822" s="542" t="s">
        <v>0</v>
      </c>
      <c r="D822" s="283"/>
      <c r="E822" s="745"/>
      <c r="F822"/>
      <c r="G822"/>
      <c r="H822" s="256">
        <f>AH822</f>
        <v>0</v>
      </c>
      <c r="I822" s="740"/>
      <c r="J822"/>
      <c r="K822"/>
      <c r="L822"/>
      <c r="M822"/>
      <c r="N822"/>
      <c r="O822"/>
      <c r="P822"/>
      <c r="Q822"/>
      <c r="R822"/>
      <c r="S822"/>
      <c r="T822"/>
      <c r="U822"/>
      <c r="X822"/>
      <c r="AB822"/>
      <c r="AC822"/>
      <c r="AF822" s="360">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si="101"/>
        <v>* no DAS involvement</v>
      </c>
      <c r="C823" s="542" t="s">
        <v>0</v>
      </c>
      <c r="D823" s="283"/>
      <c r="E823" s="745"/>
      <c r="F823"/>
      <c r="G823"/>
      <c r="H823" s="256">
        <f>AH823</f>
        <v>0</v>
      </c>
      <c r="I823" s="740"/>
      <c r="J823"/>
      <c r="K823"/>
      <c r="L823"/>
      <c r="M823"/>
      <c r="N823"/>
      <c r="O823"/>
      <c r="P823"/>
      <c r="Q823"/>
      <c r="R823"/>
      <c r="S823"/>
      <c r="T823"/>
      <c r="U823"/>
      <c r="X823"/>
      <c r="AB823"/>
      <c r="AC823"/>
      <c r="AF823" s="360">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si="101"/>
        <v>* no DAS involvement</v>
      </c>
      <c r="C824" s="542" t="s">
        <v>0</v>
      </c>
      <c r="D824" s="283"/>
      <c r="E824" s="745"/>
      <c r="F824"/>
      <c r="G824"/>
      <c r="H824" s="256">
        <f>AH824</f>
        <v>0</v>
      </c>
      <c r="I824" s="740"/>
      <c r="J824"/>
      <c r="K824"/>
      <c r="L824"/>
      <c r="M824"/>
      <c r="N824"/>
      <c r="O824"/>
      <c r="P824"/>
      <c r="Q824"/>
      <c r="R824"/>
      <c r="S824"/>
      <c r="T824"/>
      <c r="U824"/>
      <c r="X824"/>
      <c r="AB824"/>
      <c r="AC824"/>
      <c r="AF824" s="360">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 t="shared" si="101"/>
        <v>Maggie:</v>
      </c>
      <c r="C825" s="300"/>
      <c r="D825" s="700"/>
      <c r="E825" s="700"/>
      <c r="F825" s="262"/>
      <c r="G825" s="258"/>
      <c r="H825" s="258"/>
      <c r="I825" s="740"/>
      <c r="J825"/>
      <c r="K825"/>
      <c r="L825"/>
      <c r="M825"/>
      <c r="N825"/>
      <c r="O825"/>
      <c r="P825"/>
      <c r="Q825"/>
      <c r="R825"/>
      <c r="S825"/>
      <c r="T825"/>
      <c r="U825"/>
      <c r="X825"/>
      <c r="AB825"/>
      <c r="AC825"/>
      <c r="AF825" s="360">
        <v>1</v>
      </c>
      <c r="AG825" s="47"/>
      <c r="AH825" s="47"/>
      <c r="AI825" s="47"/>
      <c r="AJ825" s="61"/>
      <c r="AK825" s="215" t="str">
        <f>S.Staff.AgencyRulesCoordinator&amp;":"</f>
        <v>Maggie:</v>
      </c>
      <c r="AL825" s="76"/>
    </row>
    <row r="826" spans="1:39" ht="14.1" hidden="1" customHeight="1" outlineLevel="2">
      <c r="A826" s="145"/>
      <c r="B826" s="219" t="s">
        <v>137</v>
      </c>
      <c r="C826" s="508" t="str">
        <f>HYPERLINK("http://arcweb.sos.state.or.us/pages/rules/resources/fileonline.html","i")</f>
        <v>i</v>
      </c>
      <c r="D826" s="356"/>
      <c r="E826" s="745"/>
      <c r="F826"/>
      <c r="G826"/>
      <c r="H826" s="256">
        <f t="shared" ref="H826:H833" si="102">AH826</f>
        <v>41950</v>
      </c>
      <c r="I826" s="740"/>
      <c r="AF826" s="360">
        <v>1</v>
      </c>
      <c r="AG826" s="47"/>
      <c r="AH826" s="60">
        <f>S.PostEQC.FileRuleWithSOS</f>
        <v>41950</v>
      </c>
      <c r="AI826" s="59"/>
      <c r="AJ826" s="61"/>
      <c r="AK826" s="44"/>
      <c r="AL826" s="76"/>
      <c r="AM826"/>
    </row>
    <row r="827" spans="1:39" s="23" customFormat="1" ht="14.1" hidden="1" customHeight="1" outlineLevel="2">
      <c r="A827" s="145"/>
      <c r="B827" s="310" t="s">
        <v>47</v>
      </c>
      <c r="C827" s="324"/>
      <c r="D827" s="356"/>
      <c r="E827" s="745"/>
      <c r="F827"/>
      <c r="G827"/>
      <c r="H827" s="256">
        <f t="shared" si="102"/>
        <v>41950</v>
      </c>
      <c r="I827" s="740"/>
      <c r="J827"/>
      <c r="K827"/>
      <c r="L827"/>
      <c r="M827"/>
      <c r="N827"/>
      <c r="O827"/>
      <c r="P827"/>
      <c r="Q827"/>
      <c r="R827"/>
      <c r="S827"/>
      <c r="T827"/>
      <c r="U827"/>
      <c r="X827"/>
      <c r="AB827"/>
      <c r="AC827"/>
      <c r="AF827" s="360">
        <v>1</v>
      </c>
      <c r="AG827" s="71"/>
      <c r="AH827" s="60">
        <f>S.PostEQC.RuleEffective</f>
        <v>41950</v>
      </c>
      <c r="AI827" s="59"/>
      <c r="AJ827" s="59"/>
      <c r="AK827" s="44"/>
      <c r="AL827" s="76"/>
    </row>
    <row r="828" spans="1:39" s="23" customFormat="1" ht="14.1" hidden="1" customHeight="1" outlineLevel="2">
      <c r="A828" s="145"/>
      <c r="B828" s="219" t="s">
        <v>307</v>
      </c>
      <c r="C828" s="508" t="str">
        <f>HYPERLINK("http://www.lc.state.or.us/arrs.htm","i")</f>
        <v>i</v>
      </c>
      <c r="D828" s="717"/>
      <c r="E828" s="889"/>
      <c r="F828"/>
      <c r="G828"/>
      <c r="H828" s="259">
        <f t="shared" si="102"/>
        <v>41950</v>
      </c>
      <c r="I828" s="740"/>
      <c r="J828"/>
      <c r="K828"/>
      <c r="L828"/>
      <c r="M828"/>
      <c r="N828"/>
      <c r="O828"/>
      <c r="P828"/>
      <c r="Q828"/>
      <c r="R828"/>
      <c r="S828"/>
      <c r="T828"/>
      <c r="U828"/>
      <c r="X828"/>
      <c r="AB828"/>
      <c r="AC828"/>
      <c r="AF828" s="360">
        <v>1</v>
      </c>
      <c r="AG828" s="71"/>
      <c r="AH828" s="60">
        <f>S.PostEQC.FileRuleWithSOS</f>
        <v>41950</v>
      </c>
      <c r="AI828" s="59"/>
      <c r="AJ828" s="61"/>
      <c r="AK828" s="44"/>
      <c r="AL828" s="76"/>
    </row>
    <row r="829" spans="1:39" s="23" customFormat="1" ht="14.1" hidden="1" customHeight="1" outlineLevel="2">
      <c r="A829" s="145"/>
      <c r="B829" s="428" t="s">
        <v>317</v>
      </c>
      <c r="C829" s="306"/>
      <c r="D829" s="718"/>
      <c r="E829" s="718"/>
      <c r="F829" s="262"/>
      <c r="G829" s="306"/>
      <c r="H829" s="306"/>
      <c r="I829" s="740"/>
      <c r="J829"/>
      <c r="K829"/>
      <c r="L829"/>
      <c r="M829"/>
      <c r="N829"/>
      <c r="O829"/>
      <c r="P829"/>
      <c r="Q829"/>
      <c r="R829"/>
      <c r="S829"/>
      <c r="T829"/>
      <c r="U829"/>
      <c r="X829"/>
      <c r="AB829"/>
      <c r="AC829"/>
      <c r="AF829" s="360">
        <v>1</v>
      </c>
      <c r="AG829" s="71"/>
      <c r="AH829" s="71"/>
      <c r="AI829" s="59"/>
      <c r="AJ829" s="61"/>
      <c r="AK829" s="41"/>
      <c r="AL829" s="76"/>
    </row>
    <row r="830" spans="1:39" s="23" customFormat="1" ht="14.1" hidden="1" customHeight="1" outlineLevel="2">
      <c r="A830" s="145"/>
      <c r="B830" s="428" t="s">
        <v>318</v>
      </c>
      <c r="C830" s="306"/>
      <c r="D830" s="718"/>
      <c r="E830" s="718"/>
      <c r="F830" s="262"/>
      <c r="G830" s="306"/>
      <c r="H830" s="306"/>
      <c r="I830" s="740"/>
      <c r="J830"/>
      <c r="K830"/>
      <c r="L830"/>
      <c r="M830"/>
      <c r="N830"/>
      <c r="O830"/>
      <c r="P830"/>
      <c r="Q830"/>
      <c r="R830"/>
      <c r="S830"/>
      <c r="T830"/>
      <c r="U830"/>
      <c r="X830"/>
      <c r="AB830"/>
      <c r="AC830"/>
      <c r="AF830" s="360">
        <v>1</v>
      </c>
      <c r="AG830" s="71"/>
      <c r="AH830" s="71"/>
      <c r="AI830" s="59"/>
      <c r="AJ830" s="61"/>
      <c r="AK830" s="41"/>
      <c r="AL830" s="76"/>
    </row>
    <row r="831" spans="1:39" s="23" customFormat="1" ht="14.1" hidden="1" customHeight="1" outlineLevel="2">
      <c r="A831" s="145"/>
      <c r="B831" s="428" t="s">
        <v>196</v>
      </c>
      <c r="C831" s="306"/>
      <c r="D831" s="718"/>
      <c r="E831" s="718"/>
      <c r="F831" s="262"/>
      <c r="G831" s="306"/>
      <c r="H831" s="306"/>
      <c r="I831" s="740"/>
      <c r="J831"/>
      <c r="K831"/>
      <c r="L831"/>
      <c r="M831"/>
      <c r="N831"/>
      <c r="O831"/>
      <c r="P831"/>
      <c r="Q831"/>
      <c r="R831"/>
      <c r="S831"/>
      <c r="T831"/>
      <c r="U831"/>
      <c r="X831"/>
      <c r="AB831"/>
      <c r="AC831"/>
      <c r="AF831" s="360">
        <v>1</v>
      </c>
      <c r="AG831" s="71"/>
      <c r="AH831" s="71"/>
      <c r="AI831" s="59"/>
      <c r="AJ831" s="61"/>
      <c r="AK831" s="41"/>
      <c r="AL831" s="76"/>
    </row>
    <row r="832" spans="1:39" s="23" customFormat="1" ht="14.1" hidden="1" customHeight="1" outlineLevel="2" thickBot="1">
      <c r="A832" s="145"/>
      <c r="B832" s="366" t="s">
        <v>197</v>
      </c>
      <c r="C832" s="306"/>
      <c r="D832" s="718"/>
      <c r="E832" s="718"/>
      <c r="F832" s="262"/>
      <c r="G832" s="306"/>
      <c r="H832" s="306"/>
      <c r="I832" s="740"/>
      <c r="J832"/>
      <c r="K832"/>
      <c r="L832"/>
      <c r="M832"/>
      <c r="N832"/>
      <c r="O832"/>
      <c r="P832"/>
      <c r="Q832"/>
      <c r="R832"/>
      <c r="S832"/>
      <c r="T832"/>
      <c r="U832"/>
      <c r="X832"/>
      <c r="AB832"/>
      <c r="AC832"/>
      <c r="AF832" s="360">
        <v>1</v>
      </c>
      <c r="AG832" s="71"/>
      <c r="AH832" s="71"/>
      <c r="AI832" s="59"/>
      <c r="AJ832" s="61"/>
      <c r="AK832" s="41"/>
      <c r="AL832" s="76"/>
    </row>
    <row r="833" spans="1:39" s="23" customFormat="1" ht="14.1" hidden="1" customHeight="1" outlineLevel="2" thickBot="1">
      <c r="A833" s="145"/>
      <c r="B833" s="220" t="s">
        <v>322</v>
      </c>
      <c r="C833" s="357" t="str">
        <f>HYPERLINK("http://oarnoticefilings.sos.state.or.us","i")</f>
        <v>i</v>
      </c>
      <c r="D833" s="719"/>
      <c r="E833" s="889"/>
      <c r="F833"/>
      <c r="G833"/>
      <c r="H833" s="256">
        <f t="shared" si="102"/>
        <v>41950</v>
      </c>
      <c r="I833" s="740"/>
      <c r="J833"/>
      <c r="K833"/>
      <c r="L833"/>
      <c r="M833"/>
      <c r="N833"/>
      <c r="O833"/>
      <c r="P833"/>
      <c r="Q833"/>
      <c r="R833"/>
      <c r="S833"/>
      <c r="T833"/>
      <c r="U833"/>
      <c r="X833"/>
      <c r="AB833"/>
      <c r="AC833"/>
      <c r="AF833" s="360">
        <v>1</v>
      </c>
      <c r="AG833" s="71"/>
      <c r="AH833" s="60">
        <f>S.PostEQC.FileRuleWithSOS</f>
        <v>41950</v>
      </c>
      <c r="AI833" s="59"/>
      <c r="AJ833" s="61"/>
      <c r="AK833" s="44"/>
      <c r="AL833" s="76"/>
    </row>
    <row r="834" spans="1:39" s="23" customFormat="1" ht="14.1" hidden="1" customHeight="1" outlineLevel="2">
      <c r="A834" s="145"/>
      <c r="B834" s="550" t="s">
        <v>321</v>
      </c>
      <c r="C834" s="306"/>
      <c r="D834" s="718"/>
      <c r="E834" s="718"/>
      <c r="F834" s="262"/>
      <c r="G834" s="306"/>
      <c r="H834" s="306"/>
      <c r="I834" s="740"/>
      <c r="J834"/>
      <c r="K834"/>
      <c r="L834"/>
      <c r="M834"/>
      <c r="N834"/>
      <c r="O834"/>
      <c r="P834"/>
      <c r="Q834"/>
      <c r="R834"/>
      <c r="S834"/>
      <c r="T834"/>
      <c r="U834"/>
      <c r="X834"/>
      <c r="AB834"/>
      <c r="AC834"/>
      <c r="AF834" s="360">
        <v>1</v>
      </c>
      <c r="AG834" s="71"/>
      <c r="AH834" s="71"/>
      <c r="AI834" s="59"/>
      <c r="AJ834" s="61"/>
      <c r="AK834" s="41"/>
      <c r="AL834" s="76"/>
    </row>
    <row r="835" spans="1:39" ht="14.1" hidden="1" customHeight="1" outlineLevel="2">
      <c r="A835" s="145"/>
      <c r="B835" s="206" t="s">
        <v>316</v>
      </c>
      <c r="C835" s="306"/>
      <c r="D835" s="718"/>
      <c r="E835" s="718"/>
      <c r="F835" s="262"/>
      <c r="G835" s="306"/>
      <c r="H835" s="306"/>
      <c r="I835" s="740"/>
      <c r="AF835" s="360">
        <v>1</v>
      </c>
      <c r="AG835" s="71"/>
      <c r="AH835" s="71"/>
      <c r="AI835" s="59"/>
      <c r="AJ835" s="61"/>
      <c r="AK835" s="41"/>
      <c r="AL835" s="76"/>
      <c r="AM835"/>
    </row>
    <row r="836" spans="1:39" s="23" customFormat="1" ht="14.1" hidden="1" customHeight="1" outlineLevel="2">
      <c r="A836" s="145"/>
      <c r="B836" s="207" t="str">
        <f>AK836</f>
        <v>1a Justification.SOS.Stamped.pdf</v>
      </c>
      <c r="C836" s="306"/>
      <c r="D836" s="718"/>
      <c r="E836" s="718"/>
      <c r="F836" s="262"/>
      <c r="G836" s="306"/>
      <c r="H836" s="306"/>
      <c r="I836" s="740"/>
      <c r="J836"/>
      <c r="K836"/>
      <c r="L836"/>
      <c r="M836"/>
      <c r="N836"/>
      <c r="O836"/>
      <c r="P836"/>
      <c r="Q836"/>
      <c r="R836"/>
      <c r="S836"/>
      <c r="T836"/>
      <c r="U836"/>
      <c r="X836"/>
      <c r="AB836"/>
      <c r="AC836"/>
      <c r="AF836" s="360">
        <f>IF(S.General.RuleType="T",1,0)</f>
        <v>1</v>
      </c>
      <c r="AG836" s="71"/>
      <c r="AH836" s="71"/>
      <c r="AI836" s="59"/>
      <c r="AJ836" s="61"/>
      <c r="AK836" s="206" t="str">
        <f>IF(S.General.RuleType="P","reserved for temporary rules","1a Justification.SOS.Stamped.pdf")</f>
        <v>1a Justification.SOS.Stamped.pdf</v>
      </c>
      <c r="AL836" s="76"/>
    </row>
    <row r="837" spans="1:39" s="23" customFormat="1" ht="14.1" hidden="1" customHeight="1" outlineLevel="2">
      <c r="A837" s="145"/>
      <c r="B837" s="206" t="s">
        <v>309</v>
      </c>
      <c r="C837" s="306"/>
      <c r="D837" s="718"/>
      <c r="E837" s="718"/>
      <c r="F837" s="262"/>
      <c r="G837" s="306"/>
      <c r="H837" s="306"/>
      <c r="I837" s="740"/>
      <c r="J837"/>
      <c r="K837"/>
      <c r="L837"/>
      <c r="M837"/>
      <c r="N837"/>
      <c r="O837"/>
      <c r="P837"/>
      <c r="Q837"/>
      <c r="R837"/>
      <c r="S837"/>
      <c r="T837"/>
      <c r="U837"/>
      <c r="X837"/>
      <c r="AB837"/>
      <c r="AC837"/>
      <c r="AF837" s="360">
        <v>1</v>
      </c>
      <c r="AG837" s="71"/>
      <c r="AH837" s="71"/>
      <c r="AI837" s="59"/>
      <c r="AJ837" s="61"/>
      <c r="AK837" s="41"/>
      <c r="AL837" s="76"/>
    </row>
    <row r="838" spans="1:39" s="23" customFormat="1" ht="14.1" hidden="1" customHeight="1" outlineLevel="2">
      <c r="A838" s="145"/>
      <c r="B838" s="207" t="s">
        <v>310</v>
      </c>
      <c r="C838" s="306"/>
      <c r="D838" s="718"/>
      <c r="E838" s="718"/>
      <c r="F838" s="262"/>
      <c r="G838" s="306"/>
      <c r="H838" s="306"/>
      <c r="I838" s="740"/>
      <c r="J838"/>
      <c r="K838"/>
      <c r="L838"/>
      <c r="M838"/>
      <c r="N838"/>
      <c r="O838"/>
      <c r="P838"/>
      <c r="Q838"/>
      <c r="R838"/>
      <c r="S838"/>
      <c r="T838"/>
      <c r="U838"/>
      <c r="X838"/>
      <c r="AB838"/>
      <c r="AC838"/>
      <c r="AF838" s="360">
        <v>1</v>
      </c>
      <c r="AG838" s="71"/>
      <c r="AH838" s="71"/>
      <c r="AI838" s="59"/>
      <c r="AJ838" s="61"/>
      <c r="AK838" s="41"/>
      <c r="AL838" s="76"/>
    </row>
    <row r="839" spans="1:39" s="23" customFormat="1" ht="14.1" hidden="1" customHeight="1" outlineLevel="2">
      <c r="A839" s="145"/>
      <c r="B839" s="207" t="s">
        <v>311</v>
      </c>
      <c r="C839" s="306"/>
      <c r="D839" s="718"/>
      <c r="E839" s="718"/>
      <c r="F839" s="262"/>
      <c r="G839" s="306"/>
      <c r="H839" s="306"/>
      <c r="I839" s="740"/>
      <c r="J839"/>
      <c r="K839"/>
      <c r="L839"/>
      <c r="M839"/>
      <c r="N839"/>
      <c r="O839"/>
      <c r="P839"/>
      <c r="Q839"/>
      <c r="R839"/>
      <c r="S839"/>
      <c r="T839"/>
      <c r="U839"/>
      <c r="X839"/>
      <c r="AB839"/>
      <c r="AC839"/>
      <c r="AF839" s="360">
        <v>1</v>
      </c>
      <c r="AG839" s="71"/>
      <c r="AH839" s="71"/>
      <c r="AI839" s="59"/>
      <c r="AJ839" s="61"/>
      <c r="AK839" s="41"/>
      <c r="AL839" s="76"/>
    </row>
    <row r="840" spans="1:39" s="23" customFormat="1" ht="14.1" hidden="1" customHeight="1" outlineLevel="2">
      <c r="A840" s="145"/>
      <c r="B840" s="206" t="s">
        <v>308</v>
      </c>
      <c r="C840" s="306"/>
      <c r="D840" s="718"/>
      <c r="E840" s="718"/>
      <c r="F840" s="262"/>
      <c r="G840" s="306"/>
      <c r="H840" s="306"/>
      <c r="I840" s="740"/>
      <c r="J840"/>
      <c r="K840"/>
      <c r="L840"/>
      <c r="M840"/>
      <c r="N840"/>
      <c r="O840"/>
      <c r="P840"/>
      <c r="Q840"/>
      <c r="R840"/>
      <c r="S840"/>
      <c r="T840"/>
      <c r="U840"/>
      <c r="X840"/>
      <c r="AB840"/>
      <c r="AC840"/>
      <c r="AF840" s="360">
        <v>1</v>
      </c>
      <c r="AG840" s="71"/>
      <c r="AH840" s="71"/>
      <c r="AI840" s="490"/>
      <c r="AJ840" s="61"/>
      <c r="AK840" s="41"/>
      <c r="AL840" s="76"/>
    </row>
    <row r="841" spans="1:39" s="23" customFormat="1" ht="14.1" hidden="1" customHeight="1" outlineLevel="2">
      <c r="A841" s="145"/>
      <c r="B841" s="206" t="s">
        <v>312</v>
      </c>
      <c r="C841" s="306"/>
      <c r="D841" s="718"/>
      <c r="E841" s="718"/>
      <c r="F841" s="262"/>
      <c r="G841" s="306"/>
      <c r="H841" s="306"/>
      <c r="I841" s="740"/>
      <c r="J841"/>
      <c r="K841"/>
      <c r="L841"/>
      <c r="M841"/>
      <c r="N841"/>
      <c r="O841"/>
      <c r="P841"/>
      <c r="Q841"/>
      <c r="R841"/>
      <c r="S841"/>
      <c r="T841"/>
      <c r="U841"/>
      <c r="X841"/>
      <c r="AB841"/>
      <c r="AC841"/>
      <c r="AF841" s="360">
        <v>1</v>
      </c>
      <c r="AG841" s="71"/>
      <c r="AH841" s="71"/>
      <c r="AI841" s="59"/>
      <c r="AJ841" s="61"/>
      <c r="AK841" s="41"/>
      <c r="AL841" s="76"/>
    </row>
    <row r="842" spans="1:39" s="23" customFormat="1" ht="14.1" hidden="1" customHeight="1" outlineLevel="2">
      <c r="A842" s="145"/>
      <c r="B842" s="206" t="s">
        <v>313</v>
      </c>
      <c r="C842" s="306"/>
      <c r="D842" s="718"/>
      <c r="E842" s="718"/>
      <c r="F842" s="262"/>
      <c r="G842" s="306"/>
      <c r="H842" s="306"/>
      <c r="I842" s="740"/>
      <c r="J842"/>
      <c r="K842"/>
      <c r="L842"/>
      <c r="M842"/>
      <c r="N842"/>
      <c r="O842"/>
      <c r="P842"/>
      <c r="Q842"/>
      <c r="R842"/>
      <c r="S842"/>
      <c r="T842"/>
      <c r="U842"/>
      <c r="X842"/>
      <c r="AB842"/>
      <c r="AC842"/>
      <c r="AF842" s="360">
        <v>1</v>
      </c>
      <c r="AG842" s="71"/>
      <c r="AH842" s="71"/>
      <c r="AI842" s="59"/>
      <c r="AJ842" s="61"/>
      <c r="AK842" s="41"/>
      <c r="AL842" s="76"/>
    </row>
    <row r="843" spans="1:39" s="23" customFormat="1" ht="14.1" hidden="1" customHeight="1" outlineLevel="2">
      <c r="A843" s="145"/>
      <c r="B843" s="206" t="s">
        <v>314</v>
      </c>
      <c r="C843" s="306"/>
      <c r="D843" s="718"/>
      <c r="E843" s="718"/>
      <c r="F843" s="262"/>
      <c r="G843" s="306"/>
      <c r="H843" s="306"/>
      <c r="I843" s="740"/>
      <c r="J843"/>
      <c r="K843"/>
      <c r="L843"/>
      <c r="M843"/>
      <c r="N843"/>
      <c r="O843"/>
      <c r="P843"/>
      <c r="Q843"/>
      <c r="R843"/>
      <c r="S843"/>
      <c r="T843"/>
      <c r="U843"/>
      <c r="X843"/>
      <c r="AB843"/>
      <c r="AC843"/>
      <c r="AF843" s="360">
        <v>1</v>
      </c>
      <c r="AG843" s="71"/>
      <c r="AH843" s="71"/>
      <c r="AI843" s="59"/>
      <c r="AJ843" s="61"/>
      <c r="AK843" s="41"/>
      <c r="AL843" s="76"/>
    </row>
    <row r="844" spans="1:39" s="23" customFormat="1" ht="14.1" hidden="1" customHeight="1" outlineLevel="2">
      <c r="A844" s="145"/>
      <c r="B844" s="206" t="s">
        <v>315</v>
      </c>
      <c r="C844" s="306"/>
      <c r="D844" s="718"/>
      <c r="E844" s="718"/>
      <c r="F844" s="262"/>
      <c r="G844" s="306"/>
      <c r="H844" s="306"/>
      <c r="I844" s="740"/>
      <c r="J844"/>
      <c r="K844"/>
      <c r="L844"/>
      <c r="M844"/>
      <c r="N844"/>
      <c r="O844"/>
      <c r="P844"/>
      <c r="Q844"/>
      <c r="R844"/>
      <c r="S844"/>
      <c r="T844"/>
      <c r="U844"/>
      <c r="X844"/>
      <c r="AB844"/>
      <c r="AC844"/>
      <c r="AF844" s="360">
        <v>1</v>
      </c>
      <c r="AG844" s="71"/>
      <c r="AH844" s="71"/>
      <c r="AI844" s="59"/>
      <c r="AJ844" s="61"/>
      <c r="AK844" s="41"/>
      <c r="AL844" s="76"/>
    </row>
    <row r="845" spans="1:39" s="23" customFormat="1" ht="14.1" hidden="1" customHeight="1" outlineLevel="2">
      <c r="A845" s="145"/>
      <c r="B845" s="303" t="str">
        <f>AK845</f>
        <v>* coordinates with Jerry to:</v>
      </c>
      <c r="C845" s="504" t="str">
        <f>HYPERLINK("\\deqhq1\Rule_Resources\i\EMAIL.Post.EQC.CloseOut.docx","i")</f>
        <v>i</v>
      </c>
      <c r="D845" s="283"/>
      <c r="E845" s="283"/>
      <c r="F845" s="255">
        <f>NETWORKDAYS(G845,H845,S.DDL_DEQClosed)</f>
        <v>1</v>
      </c>
      <c r="G845" s="256">
        <f>AG845</f>
        <v>41950</v>
      </c>
      <c r="H845" s="256">
        <f>AH845</f>
        <v>41950</v>
      </c>
      <c r="I845" s="740"/>
      <c r="J845"/>
      <c r="K845"/>
      <c r="L845"/>
      <c r="M845"/>
      <c r="N845"/>
      <c r="O845"/>
      <c r="P845"/>
      <c r="Q845"/>
      <c r="R845"/>
      <c r="S845"/>
      <c r="T845"/>
      <c r="U845"/>
      <c r="X845"/>
      <c r="AB845"/>
      <c r="AC845"/>
      <c r="AF845" s="360">
        <v>1</v>
      </c>
      <c r="AG845" s="60">
        <f>S.PostEQC.FileRuleWithSOS</f>
        <v>41950</v>
      </c>
      <c r="AH845" s="60">
        <f>G845</f>
        <v>41950</v>
      </c>
      <c r="AI845" s="59"/>
      <c r="AJ845" s="43"/>
      <c r="AK845" s="78" t="str">
        <f>"* coordinates with "&amp;S.Staff.Subject.Expert.FirstName&amp;" to:"</f>
        <v>* coordinates with Jerry to:</v>
      </c>
      <c r="AL845" s="76"/>
    </row>
    <row r="846" spans="1:39" s="23" customFormat="1" ht="14.1" hidden="1" customHeight="1" outlineLevel="2">
      <c r="A846" s="145" t="s">
        <v>0</v>
      </c>
      <c r="B846" s="551" t="s">
        <v>323</v>
      </c>
      <c r="C846" s="504" t="str">
        <f>HYPERLINK("\\deqhq1\Rule_Development\Filed Rules","i")</f>
        <v>i</v>
      </c>
      <c r="D846" s="704"/>
      <c r="E846" s="704"/>
      <c r="F846" s="279"/>
      <c r="G846" s="279"/>
      <c r="H846" s="279"/>
      <c r="I846" s="740"/>
      <c r="J846"/>
      <c r="K846"/>
      <c r="L846"/>
      <c r="M846"/>
      <c r="N846"/>
      <c r="O846"/>
      <c r="P846"/>
      <c r="Q846"/>
      <c r="R846"/>
      <c r="S846"/>
      <c r="T846"/>
      <c r="U846"/>
      <c r="X846"/>
      <c r="AB846"/>
      <c r="AC846"/>
      <c r="AF846" s="360">
        <v>1</v>
      </c>
      <c r="AG846" s="58"/>
      <c r="AH846" s="58"/>
      <c r="AI846" s="59"/>
      <c r="AJ846" s="43"/>
      <c r="AK846" s="41"/>
      <c r="AL846" s="76"/>
    </row>
    <row r="847" spans="1:39" s="23" customFormat="1" ht="14.1" hidden="1" customHeight="1" outlineLevel="2">
      <c r="A847" s="145" t="s">
        <v>0</v>
      </c>
      <c r="B847" s="551" t="s">
        <v>324</v>
      </c>
      <c r="C847" s="321"/>
      <c r="D847" s="704"/>
      <c r="E847" s="704"/>
      <c r="F847" s="279"/>
      <c r="G847" s="279"/>
      <c r="H847" s="279"/>
      <c r="I847" s="740"/>
      <c r="J847"/>
      <c r="K847"/>
      <c r="L847"/>
      <c r="M847"/>
      <c r="N847"/>
      <c r="O847"/>
      <c r="P847"/>
      <c r="Q847"/>
      <c r="R847"/>
      <c r="S847"/>
      <c r="T847"/>
      <c r="U847"/>
      <c r="X847"/>
      <c r="AB847"/>
      <c r="AC847"/>
      <c r="AF847" s="360">
        <v>1</v>
      </c>
      <c r="AG847" s="58"/>
      <c r="AH847" s="58"/>
      <c r="AI847" s="59"/>
      <c r="AJ847" s="43"/>
      <c r="AK847" s="41"/>
      <c r="AL847" s="76"/>
    </row>
    <row r="848" spans="1:39" s="23" customFormat="1" ht="14.1" hidden="1" customHeight="1" outlineLevel="2">
      <c r="A848" s="145" t="s">
        <v>0</v>
      </c>
      <c r="B848" s="428" t="s">
        <v>325</v>
      </c>
      <c r="C848" s="306"/>
      <c r="D848" s="719"/>
      <c r="E848" s="889"/>
      <c r="F848"/>
      <c r="G848"/>
      <c r="H848" s="256">
        <f>AH848</f>
        <v>41950</v>
      </c>
      <c r="I848" s="740"/>
      <c r="J848"/>
      <c r="K848"/>
      <c r="L848"/>
      <c r="M848"/>
      <c r="N848"/>
      <c r="O848"/>
      <c r="P848"/>
      <c r="Q848"/>
      <c r="R848"/>
      <c r="S848"/>
      <c r="T848"/>
      <c r="U848"/>
      <c r="X848"/>
      <c r="AB848"/>
      <c r="AC848"/>
      <c r="AF848" s="360">
        <v>1</v>
      </c>
      <c r="AG848" s="80"/>
      <c r="AH848" s="60">
        <f>S.PostEQC.FileRuleWithSOS</f>
        <v>41950</v>
      </c>
      <c r="AI848" s="59"/>
      <c r="AJ848" s="61"/>
      <c r="AK848" s="41"/>
      <c r="AL848" s="76"/>
    </row>
    <row r="849" spans="1:39" s="23" customFormat="1" ht="14.1" hidden="1" customHeight="1" outlineLevel="2">
      <c r="A849" s="145" t="s">
        <v>0</v>
      </c>
      <c r="B849" s="551" t="s">
        <v>326</v>
      </c>
      <c r="C849" s="306"/>
      <c r="D849" s="307"/>
      <c r="E849" s="307"/>
      <c r="F849" s="262"/>
      <c r="G849" s="306"/>
      <c r="H849" s="306"/>
      <c r="I849" s="740"/>
      <c r="J849"/>
      <c r="K849"/>
      <c r="L849"/>
      <c r="M849"/>
      <c r="N849"/>
      <c r="O849"/>
      <c r="P849"/>
      <c r="Q849"/>
      <c r="R849"/>
      <c r="S849"/>
      <c r="T849"/>
      <c r="U849"/>
      <c r="X849"/>
      <c r="AB849"/>
      <c r="AC849"/>
      <c r="AF849" s="360">
        <v>1</v>
      </c>
      <c r="AG849" s="80"/>
      <c r="AH849" s="80"/>
      <c r="AI849" s="59"/>
      <c r="AJ849" s="159"/>
      <c r="AK849" s="41"/>
      <c r="AL849" s="76"/>
    </row>
    <row r="850" spans="1:39" s="23" customFormat="1" ht="14.1" hidden="1" customHeight="1" outlineLevel="2">
      <c r="A850" s="145"/>
      <c r="B850" s="303" t="str">
        <f>AK850</f>
        <v>Jerry:</v>
      </c>
      <c r="C850" s="306"/>
      <c r="D850" s="307"/>
      <c r="E850" s="307"/>
      <c r="F850" s="262"/>
      <c r="G850" s="306"/>
      <c r="H850" s="306"/>
      <c r="I850" s="740"/>
      <c r="J850"/>
      <c r="K850"/>
      <c r="L850"/>
      <c r="M850"/>
      <c r="N850"/>
      <c r="O850"/>
      <c r="P850"/>
      <c r="Q850"/>
      <c r="R850"/>
      <c r="S850"/>
      <c r="T850"/>
      <c r="U850"/>
      <c r="X850"/>
      <c r="AB850"/>
      <c r="AC850"/>
      <c r="AF850" s="360">
        <v>1</v>
      </c>
      <c r="AG850" s="80"/>
      <c r="AH850" s="80"/>
      <c r="AI850" s="59"/>
      <c r="AJ850" s="159"/>
      <c r="AK850" s="67" t="str">
        <f>S.Staff.Subject.Expert.FirstName&amp;":"</f>
        <v>Jerry:</v>
      </c>
      <c r="AL850" s="76"/>
    </row>
    <row r="851" spans="1:39" s="23" customFormat="1" ht="14.1" hidden="1" customHeight="1" outlineLevel="2">
      <c r="A851" s="145"/>
      <c r="B851" s="269" t="s">
        <v>235</v>
      </c>
      <c r="C851" s="538"/>
      <c r="D851" s="283"/>
      <c r="E851" s="356"/>
      <c r="F851" s="313">
        <f>NETWORKDAYS(G851,H851,S.DDL_DEQClosed)</f>
        <v>1</v>
      </c>
      <c r="G851" s="256">
        <f>AG851</f>
        <v>41950</v>
      </c>
      <c r="H851" s="256">
        <f>AH851</f>
        <v>41950</v>
      </c>
      <c r="I851" s="740"/>
      <c r="J851"/>
      <c r="K851"/>
      <c r="L851"/>
      <c r="M851"/>
      <c r="N851"/>
      <c r="O851"/>
      <c r="P851"/>
      <c r="Q851"/>
      <c r="R851"/>
      <c r="S851"/>
      <c r="T851"/>
      <c r="U851"/>
      <c r="X851"/>
      <c r="AB851"/>
      <c r="AC851"/>
      <c r="AF851" s="360">
        <v>1</v>
      </c>
      <c r="AG851" s="60">
        <f>S.PostEQC.FileRuleWithSOS</f>
        <v>41950</v>
      </c>
      <c r="AH851" s="60">
        <f>G851</f>
        <v>41950</v>
      </c>
      <c r="AI851" s="59"/>
      <c r="AJ851" s="59"/>
      <c r="AK851" s="58" t="s">
        <v>0</v>
      </c>
      <c r="AL851" s="76"/>
    </row>
    <row r="852" spans="1:39" s="23" customFormat="1" ht="14.1" hidden="1" customHeight="1" outlineLevel="2">
      <c r="A852" s="145"/>
      <c r="B852" s="277" t="s">
        <v>136</v>
      </c>
      <c r="C852" s="268"/>
      <c r="D852" s="278"/>
      <c r="E852" s="278"/>
      <c r="F852" s="262"/>
      <c r="G852" s="264"/>
      <c r="H852" s="258"/>
      <c r="I852" s="740"/>
      <c r="J852"/>
      <c r="K852"/>
      <c r="L852"/>
      <c r="M852"/>
      <c r="N852"/>
      <c r="O852"/>
      <c r="P852"/>
      <c r="Q852"/>
      <c r="R852"/>
      <c r="S852"/>
      <c r="T852"/>
      <c r="U852"/>
      <c r="X852"/>
      <c r="AB852"/>
      <c r="AC852"/>
      <c r="AF852" s="360">
        <v>1</v>
      </c>
      <c r="AG852" s="58"/>
      <c r="AH852" s="58"/>
      <c r="AI852" s="58"/>
      <c r="AJ852" s="44"/>
      <c r="AK852" s="58" t="s">
        <v>0</v>
      </c>
      <c r="AL852" s="76"/>
    </row>
    <row r="853" spans="1:39" s="23" customFormat="1" ht="14.1" hidden="1" customHeight="1" outlineLevel="2" thickBot="1">
      <c r="A853" s="145"/>
      <c r="B853" s="269" t="s">
        <v>198</v>
      </c>
      <c r="C853" s="538"/>
      <c r="D853" s="283" t="s">
        <v>0</v>
      </c>
      <c r="E853" s="356"/>
      <c r="F853" s="313">
        <f>NETWORKDAYS(G853,H853,S.DDL_DEQClosed)</f>
        <v>1</v>
      </c>
      <c r="G853" s="256">
        <f t="shared" ref="G853:H855" si="103">AG853</f>
        <v>41967</v>
      </c>
      <c r="H853" s="256">
        <f t="shared" si="103"/>
        <v>41967</v>
      </c>
      <c r="I853" s="740"/>
      <c r="J853"/>
      <c r="K853"/>
      <c r="L853"/>
      <c r="M853"/>
      <c r="N853"/>
      <c r="O853"/>
      <c r="P853"/>
      <c r="Q853"/>
      <c r="R853"/>
      <c r="S853"/>
      <c r="T853"/>
      <c r="U853"/>
      <c r="X853"/>
      <c r="AB853"/>
      <c r="AC853"/>
      <c r="AF853" s="360">
        <v>1</v>
      </c>
      <c r="AG853" s="60">
        <f>AH853</f>
        <v>41967</v>
      </c>
      <c r="AH853" s="60">
        <f>WORKDAY(S.PostEQC.FileRuleWithSOS+14,1,S.DDL_DEQClosed)</f>
        <v>41967</v>
      </c>
      <c r="AI853" s="59"/>
      <c r="AJ853" s="59"/>
      <c r="AK853" s="58" t="s">
        <v>0</v>
      </c>
      <c r="AL853" s="76"/>
    </row>
    <row r="854" spans="1:39" s="23" customFormat="1" ht="14.1" hidden="1" customHeight="1" outlineLevel="2" thickBot="1">
      <c r="A854" s="145"/>
      <c r="B854" s="341" t="str">
        <f>AK854</f>
        <v>If errors, Jerry works with Maggie to correct and selects 'Y'  &gt;</v>
      </c>
      <c r="C854" s="535" t="s">
        <v>16</v>
      </c>
      <c r="D854" s="356" t="s">
        <v>0</v>
      </c>
      <c r="E854" s="356"/>
      <c r="F854" s="255">
        <f>NETWORKDAYS(G854,H854,S.DDL_DEQClosed)</f>
        <v>1</v>
      </c>
      <c r="G854" s="256">
        <f t="shared" si="103"/>
        <v>41967</v>
      </c>
      <c r="H854" s="256">
        <f t="shared" si="103"/>
        <v>41967</v>
      </c>
      <c r="I854" s="740"/>
      <c r="J854"/>
      <c r="K854"/>
      <c r="L854"/>
      <c r="M854"/>
      <c r="N854"/>
      <c r="O854"/>
      <c r="P854"/>
      <c r="Q854"/>
      <c r="R854"/>
      <c r="S854"/>
      <c r="T854"/>
      <c r="U854"/>
      <c r="X854"/>
      <c r="AB854"/>
      <c r="AC854"/>
      <c r="AF854" s="360">
        <f>IF(C854="Y",1,0)</f>
        <v>1</v>
      </c>
      <c r="AG854" s="60">
        <f>IF(AF854=0,,H853)</f>
        <v>41967</v>
      </c>
      <c r="AH854" s="60">
        <f>IF(AF854=0,,G854)</f>
        <v>41967</v>
      </c>
      <c r="AI854" s="59"/>
      <c r="AJ854" s="59"/>
      <c r="AK854" s="78" t="str">
        <f>"If errors, "&amp;S.Staff.Subject.Expert.FirstName&amp;" works with "&amp;S.Staff.AgencyRulesCoordinator&amp;" to correct and selects 'Y'  &gt;"</f>
        <v>If errors, Jerry works with Maggie to correct and selects 'Y'  &gt;</v>
      </c>
      <c r="AL854" s="76"/>
    </row>
    <row r="855" spans="1:39" s="23" customFormat="1" ht="14.1" hidden="1" customHeight="1" outlineLevel="2">
      <c r="A855" s="145"/>
      <c r="B855" s="267" t="str">
        <f>AK855</f>
        <v>AndreaG submits SIP to EPA within 60 days AFTER adoption</v>
      </c>
      <c r="C855" s="538"/>
      <c r="D855" s="283"/>
      <c r="E855" s="356"/>
      <c r="F855" s="313">
        <f>NETWORKDAYS(G855,H855,S.DDL_DEQClosed)</f>
        <v>32</v>
      </c>
      <c r="G855" s="263">
        <f t="shared" si="103"/>
        <v>41948</v>
      </c>
      <c r="H855" s="256">
        <f t="shared" si="103"/>
        <v>41995</v>
      </c>
      <c r="I855" s="740"/>
      <c r="J855"/>
      <c r="K855"/>
      <c r="L855"/>
      <c r="M855"/>
      <c r="N855"/>
      <c r="O855"/>
      <c r="P855"/>
      <c r="Q855"/>
      <c r="R855"/>
      <c r="S855"/>
      <c r="T855"/>
      <c r="U855"/>
      <c r="X855"/>
      <c r="AB855"/>
      <c r="AC855"/>
      <c r="AF855" s="360">
        <v>1</v>
      </c>
      <c r="AG855" s="60">
        <f>S.EQC.Meeting</f>
        <v>41948</v>
      </c>
      <c r="AH855" s="60">
        <f>WORKDAY(S.EQC.Meeting+44,1,S.DDL_DEQClosed)</f>
        <v>41995</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Jerry:</v>
      </c>
      <c r="C856" s="306"/>
      <c r="D856" s="307"/>
      <c r="E856" s="307"/>
      <c r="F856" s="262"/>
      <c r="G856" s="306"/>
      <c r="H856" s="306"/>
      <c r="I856" s="740"/>
      <c r="J856"/>
      <c r="K856"/>
      <c r="L856"/>
      <c r="M856"/>
      <c r="N856"/>
      <c r="O856"/>
      <c r="P856"/>
      <c r="Q856"/>
      <c r="R856"/>
      <c r="S856"/>
      <c r="T856"/>
      <c r="U856"/>
      <c r="X856"/>
      <c r="AB856"/>
      <c r="AC856"/>
      <c r="AF856" s="360">
        <v>1</v>
      </c>
      <c r="AG856" s="80"/>
      <c r="AH856" s="80"/>
      <c r="AI856" s="59"/>
      <c r="AJ856" s="159"/>
      <c r="AK856" s="67" t="str">
        <f>S.Staff.Subject.Expert.FirstName&amp;":"</f>
        <v>Jerry:</v>
      </c>
      <c r="AL856" s="76"/>
    </row>
    <row r="857" spans="1:39" ht="14.1" hidden="1" customHeight="1" outlineLevel="2">
      <c r="A857" s="145"/>
      <c r="B857" s="220" t="s">
        <v>286</v>
      </c>
      <c r="C857" s="541"/>
      <c r="D857" s="283"/>
      <c r="E857" s="283"/>
      <c r="F857" s="255">
        <f>NETWORKDAYS(G857,H857,S.DDL_DEQClosed)</f>
        <v>58</v>
      </c>
      <c r="G857" s="299">
        <f>AG857</f>
        <v>41950</v>
      </c>
      <c r="H857" s="299">
        <f>AH857</f>
        <v>42038</v>
      </c>
      <c r="I857" s="740"/>
      <c r="AF857" s="360">
        <v>1</v>
      </c>
      <c r="AG857" s="60">
        <f>AH845</f>
        <v>41950</v>
      </c>
      <c r="AH857" s="60">
        <f>S.PostEQC.BANNER.End</f>
        <v>42038</v>
      </c>
      <c r="AI857" s="59"/>
      <c r="AJ857" s="46"/>
      <c r="AK857" s="41"/>
      <c r="AL857" s="76"/>
      <c r="AM857"/>
    </row>
    <row r="858" spans="1:39" s="23" customFormat="1" ht="14.1" hidden="1" customHeight="1" outlineLevel="2">
      <c r="A858" s="145"/>
      <c r="B858" s="220" t="s">
        <v>281</v>
      </c>
      <c r="C858" s="541"/>
      <c r="D858" s="283"/>
      <c r="E858" s="745"/>
      <c r="F858"/>
      <c r="G858"/>
      <c r="H858" s="299">
        <f>AH858</f>
        <v>42038</v>
      </c>
      <c r="I858" s="740"/>
      <c r="J858"/>
      <c r="K858"/>
      <c r="L858"/>
      <c r="M858"/>
      <c r="N858"/>
      <c r="O858"/>
      <c r="P858"/>
      <c r="Q858"/>
      <c r="R858"/>
      <c r="S858"/>
      <c r="T858"/>
      <c r="U858"/>
      <c r="X858"/>
      <c r="AB858"/>
      <c r="AC858"/>
      <c r="AF858" s="360">
        <v>1</v>
      </c>
      <c r="AG858" s="60">
        <f>AH846</f>
        <v>0</v>
      </c>
      <c r="AH858" s="60">
        <f>S.PostEQC.BANNER.End</f>
        <v>42038</v>
      </c>
      <c r="AI858" s="59"/>
      <c r="AJ858" s="46"/>
      <c r="AK858" s="41"/>
      <c r="AL858" s="76"/>
    </row>
    <row r="859" spans="1:39" s="23" customFormat="1" ht="14.1" hidden="1" customHeight="1" outlineLevel="2">
      <c r="A859" s="145"/>
      <c r="B859" s="220" t="str">
        <f>AK859</f>
        <v>* delivers archival box to Maggie</v>
      </c>
      <c r="C859" s="541"/>
      <c r="D859" s="283"/>
      <c r="E859" s="745"/>
      <c r="F859"/>
      <c r="G859"/>
      <c r="H859" s="299">
        <f>AH859</f>
        <v>42038</v>
      </c>
      <c r="I859" s="740"/>
      <c r="J859"/>
      <c r="K859"/>
      <c r="L859"/>
      <c r="M859"/>
      <c r="N859"/>
      <c r="O859"/>
      <c r="P859"/>
      <c r="Q859"/>
      <c r="R859"/>
      <c r="S859"/>
      <c r="T859"/>
      <c r="U859"/>
      <c r="X859"/>
      <c r="AB859"/>
      <c r="AC859"/>
      <c r="AF859" s="360">
        <v>1</v>
      </c>
      <c r="AG859" s="60">
        <f>AH846</f>
        <v>0</v>
      </c>
      <c r="AH859" s="60">
        <f>S.PostEQC.BANNER.End</f>
        <v>42038</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41950</v>
      </c>
      <c r="H860" s="256">
        <f>AH860</f>
        <v>41950</v>
      </c>
      <c r="I860" s="740"/>
      <c r="J860"/>
      <c r="K860"/>
      <c r="L860"/>
      <c r="M860"/>
      <c r="N860"/>
      <c r="O860"/>
      <c r="P860"/>
      <c r="Q860"/>
      <c r="R860"/>
      <c r="S860"/>
      <c r="T860"/>
      <c r="U860"/>
      <c r="X860"/>
      <c r="AB860"/>
      <c r="AC860"/>
      <c r="AF860" s="360">
        <v>1</v>
      </c>
      <c r="AG860" s="60">
        <f>AH845</f>
        <v>41950</v>
      </c>
      <c r="AH860" s="60">
        <f>G860</f>
        <v>41950</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0"/>
      <c r="J861"/>
      <c r="K861"/>
      <c r="L861"/>
      <c r="M861"/>
      <c r="N861"/>
      <c r="O861"/>
      <c r="P861"/>
      <c r="Q861"/>
      <c r="R861"/>
      <c r="S861"/>
      <c r="T861"/>
      <c r="U861"/>
      <c r="X861"/>
      <c r="AB861"/>
      <c r="AC861"/>
      <c r="AF861" s="360">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498" t="s">
        <v>288</v>
      </c>
      <c r="C862" s="505" t="str">
        <f>HYPERLINK("\\deqhq1\Rule_Development\Currrent Plan","i")</f>
        <v>i</v>
      </c>
      <c r="D862" s="307"/>
      <c r="E862" s="307"/>
      <c r="F862" s="262"/>
      <c r="G862" s="306"/>
      <c r="H862" s="306"/>
      <c r="I862" s="740"/>
      <c r="J862"/>
      <c r="K862"/>
      <c r="L862"/>
      <c r="M862"/>
      <c r="N862"/>
      <c r="O862"/>
      <c r="P862"/>
      <c r="Q862"/>
      <c r="R862"/>
      <c r="S862"/>
      <c r="T862"/>
      <c r="U862"/>
      <c r="X862"/>
      <c r="AB862"/>
      <c r="AC862"/>
      <c r="AF862" s="360">
        <v>1</v>
      </c>
      <c r="AG862" s="80"/>
      <c r="AH862" s="80"/>
      <c r="AI862" s="59"/>
      <c r="AJ862" s="159"/>
      <c r="AK862" s="41"/>
      <c r="AL862" s="76"/>
    </row>
    <row r="863" spans="1:39" s="23" customFormat="1" ht="14.1" hidden="1" customHeight="1" outlineLevel="2">
      <c r="A863" s="145"/>
      <c r="B863" s="498" t="s">
        <v>289</v>
      </c>
      <c r="C863" s="306"/>
      <c r="D863" s="307"/>
      <c r="E863" s="307"/>
      <c r="F863" s="262"/>
      <c r="G863" s="306"/>
      <c r="H863" s="306"/>
      <c r="I863" s="740"/>
      <c r="J863"/>
      <c r="K863"/>
      <c r="L863"/>
      <c r="M863"/>
      <c r="N863"/>
      <c r="O863"/>
      <c r="P863"/>
      <c r="Q863"/>
      <c r="R863"/>
      <c r="S863"/>
      <c r="T863"/>
      <c r="U863"/>
      <c r="X863"/>
      <c r="AB863"/>
      <c r="AC863"/>
      <c r="AF863" s="360">
        <v>1</v>
      </c>
      <c r="AG863" s="80"/>
      <c r="AH863" s="80"/>
      <c r="AI863" s="59"/>
      <c r="AJ863" s="159"/>
      <c r="AK863" s="41"/>
      <c r="AL863" s="76"/>
    </row>
    <row r="864" spans="1:39" s="23" customFormat="1" ht="14.1" hidden="1" customHeight="1" outlineLevel="2">
      <c r="A864" s="145"/>
      <c r="B864" s="222" t="s">
        <v>138</v>
      </c>
      <c r="C864" s="541"/>
      <c r="D864" s="283"/>
      <c r="E864" s="283"/>
      <c r="F864" s="255">
        <f>NETWORKDAYS(G864,H864,S.DDL_DEQClosed)</f>
        <v>58</v>
      </c>
      <c r="G864" s="299">
        <f>AG864</f>
        <v>41950</v>
      </c>
      <c r="H864" s="299">
        <f>AH864</f>
        <v>42038</v>
      </c>
      <c r="I864" s="740"/>
      <c r="J864"/>
      <c r="K864"/>
      <c r="L864"/>
      <c r="M864"/>
      <c r="N864"/>
      <c r="O864"/>
      <c r="P864"/>
      <c r="Q864"/>
      <c r="R864"/>
      <c r="S864"/>
      <c r="T864"/>
      <c r="U864"/>
      <c r="X864"/>
      <c r="AB864"/>
      <c r="AC864"/>
      <c r="AF864" s="360">
        <v>1</v>
      </c>
      <c r="AG864" s="60">
        <f>AH845</f>
        <v>41950</v>
      </c>
      <c r="AH864" s="60">
        <f>S.PostEQC.BANNER.End</f>
        <v>42038</v>
      </c>
      <c r="AI864" s="59"/>
      <c r="AJ864" s="46"/>
      <c r="AK864" s="41"/>
      <c r="AL864" s="76"/>
    </row>
    <row r="865" spans="1:39" s="23" customFormat="1" ht="14.1" hidden="1" customHeight="1" outlineLevel="2">
      <c r="A865" s="145"/>
      <c r="B865" s="303" t="str">
        <f>AK865</f>
        <v>Jerry takes a vacation</v>
      </c>
      <c r="C865" s="306"/>
      <c r="D865" s="307"/>
      <c r="E865" s="307"/>
      <c r="F865" s="262"/>
      <c r="G865" s="306"/>
      <c r="H865" s="306"/>
      <c r="I865" s="740"/>
      <c r="J865"/>
      <c r="K865"/>
      <c r="L865"/>
      <c r="M865"/>
      <c r="N865"/>
      <c r="O865"/>
      <c r="P865"/>
      <c r="Q865"/>
      <c r="R865"/>
      <c r="S865"/>
      <c r="T865"/>
      <c r="U865"/>
      <c r="X865"/>
      <c r="AB865"/>
      <c r="AC865"/>
      <c r="AF865" s="360">
        <v>1</v>
      </c>
      <c r="AG865" s="80"/>
      <c r="AH865" s="80"/>
      <c r="AI865" s="59"/>
      <c r="AJ865" s="159"/>
      <c r="AK865" s="67" t="str">
        <f>S.Staff.Subject.Expert.FirstName&amp;" takes a vacation"</f>
        <v>Jerry takes a vacation</v>
      </c>
      <c r="AL865" s="76"/>
    </row>
    <row r="866" spans="1:39" outlineLevel="1" collapsed="1">
      <c r="A866" s="145"/>
      <c r="B866" s="314"/>
      <c r="C866" s="300"/>
      <c r="D866" s="700"/>
      <c r="E866" s="700"/>
      <c r="F866" s="315"/>
      <c r="G866" s="300"/>
      <c r="H866" s="489" t="str">
        <f>"$H"&amp;"$"&amp;ROW(S.General.LastCellSchedule)</f>
        <v>$H$866</v>
      </c>
      <c r="I866" s="740"/>
      <c r="AF866" s="362" t="s">
        <v>0</v>
      </c>
      <c r="AG866" s="47"/>
      <c r="AH866" s="47"/>
      <c r="AI866" s="491" t="s">
        <v>0</v>
      </c>
      <c r="AJ866" s="46"/>
      <c r="AK866" s="36"/>
      <c r="AL866" s="76"/>
      <c r="AM866"/>
    </row>
    <row r="867" spans="1:39" ht="12.75" customHeight="1">
      <c r="A867" s="145"/>
      <c r="B867" s="165"/>
      <c r="C867" s="166"/>
      <c r="D867" s="720"/>
      <c r="E867" s="720"/>
      <c r="F867" s="167"/>
      <c r="G867" s="166"/>
      <c r="H867" s="166"/>
      <c r="I867" s="740"/>
      <c r="AF867" s="553" t="s">
        <v>58</v>
      </c>
      <c r="AG867" s="552"/>
      <c r="AH867" s="552"/>
      <c r="AI867" s="552"/>
      <c r="AJ867" s="552"/>
      <c r="AK867" s="552"/>
      <c r="AL867" s="552"/>
      <c r="AM867" s="75"/>
    </row>
    <row r="868" spans="1:39">
      <c r="I868" s="740"/>
    </row>
    <row r="869" spans="1:39">
      <c r="I869" s="740"/>
    </row>
    <row r="870" spans="1:39">
      <c r="I870" s="740"/>
    </row>
    <row r="871" spans="1:39">
      <c r="I871" s="740"/>
    </row>
    <row r="872" spans="1:39">
      <c r="I872" s="740"/>
    </row>
    <row r="873" spans="1:39">
      <c r="I873" s="740"/>
    </row>
    <row r="874" spans="1:39">
      <c r="I874" s="740"/>
    </row>
    <row r="875" spans="1:39">
      <c r="I875" s="740"/>
    </row>
    <row r="876" spans="1:39">
      <c r="I876" s="740"/>
    </row>
    <row r="877" spans="1:39">
      <c r="I877" s="740"/>
    </row>
    <row r="878" spans="1:39">
      <c r="I878" s="740"/>
    </row>
    <row r="879" spans="1:39">
      <c r="I879" s="740"/>
    </row>
    <row r="880" spans="1:39">
      <c r="I880" s="740"/>
    </row>
    <row r="881" spans="3:39">
      <c r="C881"/>
      <c r="D881"/>
      <c r="E881"/>
      <c r="F881"/>
      <c r="G881"/>
      <c r="H881"/>
      <c r="I881" s="740"/>
      <c r="V881"/>
      <c r="W881"/>
      <c r="Y881"/>
      <c r="Z881"/>
      <c r="AA881"/>
      <c r="AD881"/>
      <c r="AE881"/>
      <c r="AF881"/>
      <c r="AH881"/>
      <c r="AI881"/>
      <c r="AJ881"/>
      <c r="AM881"/>
    </row>
    <row r="882" spans="3:39">
      <c r="C882"/>
      <c r="D882"/>
      <c r="E882"/>
      <c r="F882"/>
      <c r="G882"/>
      <c r="H882"/>
      <c r="I882" s="740"/>
      <c r="V882"/>
      <c r="W882"/>
      <c r="Y882"/>
      <c r="Z882"/>
      <c r="AA882"/>
      <c r="AD882"/>
      <c r="AE882"/>
      <c r="AF882"/>
      <c r="AH882"/>
      <c r="AI882"/>
      <c r="AJ882"/>
      <c r="AM882"/>
    </row>
    <row r="883" spans="3:39">
      <c r="C883"/>
      <c r="D883"/>
      <c r="E883"/>
      <c r="F883"/>
      <c r="G883"/>
      <c r="H883"/>
      <c r="I883" s="740"/>
      <c r="V883"/>
      <c r="W883"/>
      <c r="Y883"/>
      <c r="Z883"/>
      <c r="AA883"/>
      <c r="AD883"/>
      <c r="AE883"/>
      <c r="AF883"/>
      <c r="AH883"/>
      <c r="AI883"/>
      <c r="AJ883"/>
      <c r="AM883"/>
    </row>
    <row r="884" spans="3:39">
      <c r="C884"/>
      <c r="D884"/>
      <c r="E884"/>
      <c r="F884"/>
      <c r="G884"/>
      <c r="H884"/>
      <c r="I884" s="740"/>
      <c r="V884"/>
      <c r="W884"/>
      <c r="Y884"/>
      <c r="Z884"/>
      <c r="AA884"/>
      <c r="AD884"/>
      <c r="AE884"/>
      <c r="AF884"/>
      <c r="AH884"/>
      <c r="AI884"/>
      <c r="AJ884"/>
      <c r="AM884"/>
    </row>
    <row r="885" spans="3:39">
      <c r="C885"/>
      <c r="D885"/>
      <c r="E885"/>
      <c r="F885"/>
      <c r="G885"/>
      <c r="H885"/>
      <c r="I885" s="740"/>
      <c r="V885"/>
      <c r="W885"/>
      <c r="Y885"/>
      <c r="Z885"/>
      <c r="AA885"/>
      <c r="AD885"/>
      <c r="AE885"/>
      <c r="AF885"/>
      <c r="AH885"/>
      <c r="AI885"/>
      <c r="AJ885"/>
      <c r="AM885"/>
    </row>
    <row r="886" spans="3:39">
      <c r="C886"/>
      <c r="D886"/>
      <c r="E886"/>
      <c r="F886"/>
      <c r="G886"/>
      <c r="H886"/>
      <c r="I886" s="740"/>
      <c r="V886"/>
      <c r="W886"/>
      <c r="Y886"/>
      <c r="Z886"/>
      <c r="AA886"/>
      <c r="AD886"/>
      <c r="AE886"/>
      <c r="AF886"/>
      <c r="AH886"/>
      <c r="AI886"/>
      <c r="AJ886"/>
      <c r="AM886"/>
    </row>
    <row r="887" spans="3:39">
      <c r="C887"/>
      <c r="D887"/>
      <c r="E887"/>
      <c r="F887"/>
      <c r="G887"/>
      <c r="H887"/>
      <c r="I887" s="740"/>
      <c r="V887"/>
      <c r="W887"/>
      <c r="Y887"/>
      <c r="Z887"/>
      <c r="AA887"/>
      <c r="AD887"/>
      <c r="AE887"/>
      <c r="AF887"/>
      <c r="AH887"/>
      <c r="AI887"/>
      <c r="AJ887"/>
      <c r="AM887"/>
    </row>
    <row r="888" spans="3:39">
      <c r="C888"/>
      <c r="D888"/>
      <c r="E888"/>
      <c r="F888"/>
      <c r="G888"/>
      <c r="H888"/>
      <c r="I888" s="740"/>
      <c r="V888"/>
      <c r="W888"/>
      <c r="Y888"/>
      <c r="Z888"/>
      <c r="AA888"/>
      <c r="AD888"/>
      <c r="AE888"/>
      <c r="AF888"/>
      <c r="AH888"/>
      <c r="AI888"/>
      <c r="AJ888"/>
      <c r="AM888"/>
    </row>
    <row r="889" spans="3:39">
      <c r="C889"/>
      <c r="D889"/>
      <c r="E889"/>
      <c r="F889"/>
      <c r="G889"/>
      <c r="H889"/>
      <c r="I889" s="740"/>
      <c r="V889"/>
      <c r="W889"/>
      <c r="Y889"/>
      <c r="Z889"/>
      <c r="AA889"/>
      <c r="AD889"/>
      <c r="AE889"/>
      <c r="AF889"/>
      <c r="AH889"/>
      <c r="AI889"/>
      <c r="AJ889"/>
      <c r="AM889"/>
    </row>
    <row r="890" spans="3:39">
      <c r="C890"/>
      <c r="D890"/>
      <c r="E890"/>
      <c r="F890"/>
      <c r="G890"/>
      <c r="H890"/>
      <c r="I890" s="740"/>
      <c r="V890"/>
      <c r="W890"/>
      <c r="Y890"/>
      <c r="Z890"/>
      <c r="AA890"/>
      <c r="AD890"/>
      <c r="AE890"/>
      <c r="AF890"/>
      <c r="AH890"/>
      <c r="AI890"/>
      <c r="AJ890"/>
      <c r="AM890"/>
    </row>
    <row r="891" spans="3:39">
      <c r="C891"/>
      <c r="D891"/>
      <c r="E891"/>
      <c r="F891"/>
      <c r="G891"/>
      <c r="H891"/>
      <c r="I891" s="740"/>
      <c r="V891"/>
      <c r="W891"/>
      <c r="Y891"/>
      <c r="Z891"/>
      <c r="AA891"/>
      <c r="AD891"/>
      <c r="AE891"/>
      <c r="AF891"/>
      <c r="AH891"/>
      <c r="AI891"/>
      <c r="AJ891"/>
      <c r="AM891"/>
    </row>
    <row r="892" spans="3:39">
      <c r="C892"/>
      <c r="D892"/>
      <c r="E892"/>
      <c r="F892"/>
      <c r="G892"/>
      <c r="H892"/>
      <c r="I892" s="740"/>
      <c r="V892"/>
      <c r="W892"/>
      <c r="Y892"/>
      <c r="Z892"/>
      <c r="AA892"/>
      <c r="AD892"/>
      <c r="AE892"/>
      <c r="AF892"/>
      <c r="AH892"/>
      <c r="AI892"/>
      <c r="AJ892"/>
      <c r="AM892"/>
    </row>
    <row r="893" spans="3:39">
      <c r="C893"/>
      <c r="D893"/>
      <c r="E893"/>
      <c r="F893"/>
      <c r="G893"/>
      <c r="H893"/>
      <c r="I893" s="740"/>
      <c r="V893"/>
      <c r="W893"/>
      <c r="Y893"/>
      <c r="Z893"/>
      <c r="AA893"/>
      <c r="AD893"/>
      <c r="AE893"/>
      <c r="AF893"/>
      <c r="AH893"/>
      <c r="AI893"/>
      <c r="AJ893"/>
      <c r="AM893"/>
    </row>
    <row r="894" spans="3:39">
      <c r="C894"/>
      <c r="D894"/>
      <c r="E894"/>
      <c r="F894"/>
      <c r="G894"/>
      <c r="H894"/>
      <c r="I894" s="740"/>
      <c r="V894"/>
      <c r="W894"/>
      <c r="Y894"/>
      <c r="Z894"/>
      <c r="AA894"/>
      <c r="AD894"/>
      <c r="AE894"/>
      <c r="AF894"/>
      <c r="AH894"/>
      <c r="AI894"/>
      <c r="AJ894"/>
      <c r="AM894"/>
    </row>
    <row r="895" spans="3:39">
      <c r="C895"/>
      <c r="D895"/>
      <c r="E895"/>
      <c r="F895"/>
      <c r="G895"/>
      <c r="H895"/>
      <c r="I895" s="740"/>
      <c r="V895"/>
      <c r="W895"/>
      <c r="Y895"/>
      <c r="Z895"/>
      <c r="AA895"/>
      <c r="AD895"/>
      <c r="AE895"/>
      <c r="AF895"/>
      <c r="AH895"/>
      <c r="AI895"/>
      <c r="AJ895"/>
      <c r="AM895"/>
    </row>
    <row r="896" spans="3:39">
      <c r="C896"/>
      <c r="D896"/>
      <c r="E896"/>
      <c r="F896"/>
      <c r="G896"/>
      <c r="H896"/>
      <c r="I896" s="740"/>
      <c r="V896"/>
      <c r="W896"/>
      <c r="Y896"/>
      <c r="Z896"/>
      <c r="AA896"/>
      <c r="AD896"/>
      <c r="AE896"/>
      <c r="AF896"/>
      <c r="AH896"/>
      <c r="AI896"/>
      <c r="AJ896"/>
      <c r="AM896"/>
    </row>
    <row r="897" spans="3:39">
      <c r="C897"/>
      <c r="D897"/>
      <c r="E897"/>
      <c r="F897"/>
      <c r="G897"/>
      <c r="H897"/>
      <c r="I897" s="740"/>
      <c r="V897"/>
      <c r="W897"/>
      <c r="Y897"/>
      <c r="Z897"/>
      <c r="AA897"/>
      <c r="AD897"/>
      <c r="AE897"/>
      <c r="AF897"/>
      <c r="AH897"/>
      <c r="AI897"/>
      <c r="AJ897"/>
      <c r="AM897"/>
    </row>
    <row r="898" spans="3:39">
      <c r="C898"/>
      <c r="D898"/>
      <c r="E898"/>
      <c r="F898"/>
      <c r="G898"/>
      <c r="H898"/>
      <c r="I898" s="740"/>
      <c r="V898"/>
      <c r="W898"/>
      <c r="Y898"/>
      <c r="Z898"/>
      <c r="AA898"/>
      <c r="AD898"/>
      <c r="AE898"/>
      <c r="AF898"/>
      <c r="AH898"/>
      <c r="AI898"/>
      <c r="AJ898"/>
      <c r="AM898"/>
    </row>
    <row r="899" spans="3:39">
      <c r="C899"/>
      <c r="D899"/>
      <c r="E899"/>
      <c r="F899"/>
      <c r="G899"/>
      <c r="H899"/>
      <c r="I899" s="740"/>
      <c r="V899"/>
      <c r="W899"/>
      <c r="Y899"/>
      <c r="Z899"/>
      <c r="AA899"/>
      <c r="AD899"/>
      <c r="AE899"/>
      <c r="AF899"/>
      <c r="AH899"/>
      <c r="AI899"/>
      <c r="AJ899"/>
      <c r="AM899"/>
    </row>
    <row r="900" spans="3:39">
      <c r="C900"/>
      <c r="D900"/>
      <c r="E900"/>
      <c r="F900"/>
      <c r="G900"/>
      <c r="H900"/>
      <c r="I900" s="740"/>
      <c r="V900"/>
      <c r="W900"/>
      <c r="Y900"/>
      <c r="Z900"/>
      <c r="AA900"/>
      <c r="AD900"/>
      <c r="AE900"/>
      <c r="AF900"/>
      <c r="AH900"/>
      <c r="AI900"/>
      <c r="AJ900"/>
      <c r="AM900"/>
    </row>
    <row r="901" spans="3:39">
      <c r="C901"/>
      <c r="D901"/>
      <c r="E901"/>
      <c r="F901"/>
      <c r="G901"/>
      <c r="H901"/>
      <c r="I901" s="740"/>
      <c r="V901"/>
      <c r="W901"/>
      <c r="Y901"/>
      <c r="Z901"/>
      <c r="AA901"/>
      <c r="AD901"/>
      <c r="AE901"/>
      <c r="AF901"/>
      <c r="AH901"/>
      <c r="AI901"/>
      <c r="AJ901"/>
      <c r="AM901"/>
    </row>
    <row r="902" spans="3:39">
      <c r="C902"/>
      <c r="D902"/>
      <c r="E902"/>
      <c r="F902"/>
      <c r="G902"/>
      <c r="H902"/>
      <c r="I902" s="740"/>
      <c r="V902"/>
      <c r="W902"/>
      <c r="Y902"/>
      <c r="Z902"/>
      <c r="AA902"/>
      <c r="AD902"/>
      <c r="AE902"/>
      <c r="AF902"/>
      <c r="AH902"/>
      <c r="AI902"/>
      <c r="AJ902"/>
      <c r="AM902"/>
    </row>
    <row r="903" spans="3:39">
      <c r="C903"/>
      <c r="D903"/>
      <c r="E903"/>
      <c r="F903"/>
      <c r="G903"/>
      <c r="H903"/>
      <c r="I903" s="740"/>
      <c r="V903"/>
      <c r="W903"/>
      <c r="Y903"/>
      <c r="Z903"/>
      <c r="AA903"/>
      <c r="AD903"/>
      <c r="AE903"/>
      <c r="AF903"/>
      <c r="AH903"/>
      <c r="AI903"/>
      <c r="AJ903"/>
      <c r="AM903"/>
    </row>
    <row r="904" spans="3:39">
      <c r="C904"/>
      <c r="D904"/>
      <c r="E904"/>
      <c r="F904"/>
      <c r="G904"/>
      <c r="H904"/>
      <c r="I904" s="740"/>
      <c r="V904"/>
      <c r="W904"/>
      <c r="Y904"/>
      <c r="Z904"/>
      <c r="AA904"/>
      <c r="AD904"/>
      <c r="AE904"/>
      <c r="AF904"/>
      <c r="AH904"/>
      <c r="AI904"/>
      <c r="AJ904"/>
      <c r="AM904"/>
    </row>
    <row r="905" spans="3:39">
      <c r="C905"/>
      <c r="D905"/>
      <c r="E905"/>
      <c r="F905"/>
      <c r="G905"/>
      <c r="H905"/>
      <c r="I905" s="740"/>
      <c r="V905"/>
      <c r="W905"/>
      <c r="Y905"/>
      <c r="Z905"/>
      <c r="AA905"/>
      <c r="AD905"/>
      <c r="AE905"/>
      <c r="AF905"/>
      <c r="AH905"/>
      <c r="AI905"/>
      <c r="AJ905"/>
      <c r="AM905"/>
    </row>
    <row r="906" spans="3:39">
      <c r="C906"/>
      <c r="D906"/>
      <c r="E906"/>
      <c r="F906"/>
      <c r="G906"/>
      <c r="H906"/>
      <c r="I906" s="740"/>
      <c r="V906"/>
      <c r="W906"/>
      <c r="Y906"/>
      <c r="Z906"/>
      <c r="AA906"/>
      <c r="AD906"/>
      <c r="AE906"/>
      <c r="AF906"/>
      <c r="AH906"/>
      <c r="AI906"/>
      <c r="AJ906"/>
      <c r="AM906"/>
    </row>
    <row r="907" spans="3:39">
      <c r="C907"/>
      <c r="D907"/>
      <c r="E907"/>
      <c r="F907"/>
      <c r="G907"/>
      <c r="H907"/>
      <c r="I907" s="740"/>
      <c r="V907"/>
      <c r="W907"/>
      <c r="Y907"/>
      <c r="Z907"/>
      <c r="AA907"/>
      <c r="AD907"/>
      <c r="AE907"/>
      <c r="AF907"/>
      <c r="AH907"/>
      <c r="AI907"/>
      <c r="AJ907"/>
      <c r="AM907"/>
    </row>
    <row r="908" spans="3:39">
      <c r="C908"/>
      <c r="D908"/>
      <c r="E908"/>
      <c r="F908"/>
      <c r="G908"/>
      <c r="H908"/>
      <c r="I908" s="740"/>
      <c r="V908"/>
      <c r="W908"/>
      <c r="Y908"/>
      <c r="Z908"/>
      <c r="AA908"/>
      <c r="AD908"/>
      <c r="AE908"/>
      <c r="AF908"/>
      <c r="AH908"/>
      <c r="AI908"/>
      <c r="AJ908"/>
      <c r="AM908"/>
    </row>
    <row r="909" spans="3:39">
      <c r="C909"/>
      <c r="D909"/>
      <c r="E909"/>
      <c r="F909"/>
      <c r="G909"/>
      <c r="H909"/>
      <c r="I909" s="740"/>
      <c r="V909"/>
      <c r="W909"/>
      <c r="Y909"/>
      <c r="Z909"/>
      <c r="AA909"/>
      <c r="AD909"/>
      <c r="AE909"/>
      <c r="AF909"/>
      <c r="AH909"/>
      <c r="AI909"/>
      <c r="AJ909"/>
      <c r="AM909"/>
    </row>
    <row r="910" spans="3:39">
      <c r="C910"/>
      <c r="D910"/>
      <c r="E910"/>
      <c r="F910"/>
      <c r="G910"/>
      <c r="H910"/>
      <c r="I910" s="740"/>
      <c r="V910"/>
      <c r="W910"/>
      <c r="Y910"/>
      <c r="Z910"/>
      <c r="AA910"/>
      <c r="AD910"/>
      <c r="AE910"/>
      <c r="AF910"/>
      <c r="AH910"/>
      <c r="AI910"/>
      <c r="AJ910"/>
      <c r="AM910"/>
    </row>
    <row r="911" spans="3:39">
      <c r="C911"/>
      <c r="D911"/>
      <c r="E911"/>
      <c r="F911"/>
      <c r="G911"/>
      <c r="H911"/>
      <c r="I911" s="740"/>
      <c r="V911"/>
      <c r="W911"/>
      <c r="Y911"/>
      <c r="Z911"/>
      <c r="AA911"/>
      <c r="AD911"/>
      <c r="AE911"/>
      <c r="AF911"/>
      <c r="AH911"/>
      <c r="AI911"/>
      <c r="AJ911"/>
      <c r="AM911"/>
    </row>
    <row r="912" spans="3:39">
      <c r="C912"/>
      <c r="D912"/>
      <c r="E912"/>
      <c r="F912"/>
      <c r="G912"/>
      <c r="H912"/>
      <c r="I912" s="740"/>
      <c r="V912"/>
      <c r="W912"/>
      <c r="Y912"/>
      <c r="Z912"/>
      <c r="AA912"/>
      <c r="AD912"/>
      <c r="AE912"/>
      <c r="AF912"/>
      <c r="AH912"/>
      <c r="AI912"/>
      <c r="AJ912"/>
      <c r="AM912"/>
    </row>
    <row r="913" spans="3:39">
      <c r="C913"/>
      <c r="D913"/>
      <c r="E913"/>
      <c r="F913"/>
      <c r="G913"/>
      <c r="H913"/>
      <c r="I913" s="740"/>
      <c r="V913"/>
      <c r="W913"/>
      <c r="Y913"/>
      <c r="Z913"/>
      <c r="AA913"/>
      <c r="AD913"/>
      <c r="AE913"/>
      <c r="AF913"/>
      <c r="AH913"/>
      <c r="AI913"/>
      <c r="AJ913"/>
      <c r="AM913"/>
    </row>
    <row r="914" spans="3:39">
      <c r="C914"/>
      <c r="D914"/>
      <c r="E914"/>
      <c r="F914"/>
      <c r="G914"/>
      <c r="H914"/>
      <c r="I914" s="740"/>
      <c r="V914"/>
      <c r="W914"/>
      <c r="Y914"/>
      <c r="Z914"/>
      <c r="AA914"/>
      <c r="AD914"/>
      <c r="AE914"/>
      <c r="AF914"/>
      <c r="AH914"/>
      <c r="AI914"/>
      <c r="AJ914"/>
      <c r="AM914"/>
    </row>
    <row r="915" spans="3:39">
      <c r="C915"/>
      <c r="D915"/>
      <c r="E915"/>
      <c r="F915"/>
      <c r="G915"/>
      <c r="H915"/>
      <c r="I915" s="740"/>
      <c r="V915"/>
      <c r="W915"/>
      <c r="Y915"/>
      <c r="Z915"/>
      <c r="AA915"/>
      <c r="AD915"/>
      <c r="AE915"/>
      <c r="AF915"/>
      <c r="AH915"/>
      <c r="AI915"/>
      <c r="AJ915"/>
      <c r="AM915"/>
    </row>
    <row r="916" spans="3:39">
      <c r="C916"/>
      <c r="D916"/>
      <c r="E916"/>
      <c r="F916"/>
      <c r="G916"/>
      <c r="H916"/>
      <c r="I916" s="740"/>
      <c r="V916"/>
      <c r="W916"/>
      <c r="Y916"/>
      <c r="Z916"/>
      <c r="AA916"/>
      <c r="AD916"/>
      <c r="AE916"/>
      <c r="AF916"/>
      <c r="AH916"/>
      <c r="AI916"/>
      <c r="AJ916"/>
      <c r="AM916"/>
    </row>
    <row r="917" spans="3:39">
      <c r="C917"/>
      <c r="D917"/>
      <c r="E917"/>
      <c r="F917"/>
      <c r="G917"/>
      <c r="H917"/>
      <c r="I917" s="740"/>
      <c r="V917"/>
      <c r="W917"/>
      <c r="Y917"/>
      <c r="Z917"/>
      <c r="AA917"/>
      <c r="AD917"/>
      <c r="AE917"/>
      <c r="AF917"/>
      <c r="AH917"/>
      <c r="AI917"/>
      <c r="AJ917"/>
      <c r="AM917"/>
    </row>
    <row r="918" spans="3:39">
      <c r="C918"/>
      <c r="D918"/>
      <c r="E918"/>
      <c r="F918"/>
      <c r="G918"/>
      <c r="H918"/>
      <c r="I918" s="740"/>
      <c r="V918"/>
      <c r="W918"/>
      <c r="Y918"/>
      <c r="Z918"/>
      <c r="AA918"/>
      <c r="AD918"/>
      <c r="AE918"/>
      <c r="AF918"/>
      <c r="AH918"/>
      <c r="AI918"/>
      <c r="AJ918"/>
      <c r="AM918"/>
    </row>
    <row r="919" spans="3:39">
      <c r="C919"/>
      <c r="D919"/>
      <c r="E919"/>
      <c r="F919"/>
      <c r="G919"/>
      <c r="H919"/>
      <c r="I919" s="740"/>
      <c r="V919"/>
      <c r="W919"/>
      <c r="Y919"/>
      <c r="Z919"/>
      <c r="AA919"/>
      <c r="AD919"/>
      <c r="AE919"/>
      <c r="AF919"/>
      <c r="AH919"/>
      <c r="AI919"/>
      <c r="AJ919"/>
      <c r="AM919"/>
    </row>
    <row r="920" spans="3:39">
      <c r="C920"/>
      <c r="D920"/>
      <c r="E920"/>
      <c r="F920"/>
      <c r="G920"/>
      <c r="H920"/>
      <c r="I920" s="740"/>
      <c r="V920"/>
      <c r="W920"/>
      <c r="Y920"/>
      <c r="Z920"/>
      <c r="AA920"/>
      <c r="AD920"/>
      <c r="AE920"/>
      <c r="AF920"/>
      <c r="AH920"/>
      <c r="AI920"/>
      <c r="AJ920"/>
      <c r="AM920"/>
    </row>
    <row r="921" spans="3:39">
      <c r="C921"/>
      <c r="D921"/>
      <c r="E921"/>
      <c r="F921"/>
      <c r="G921"/>
      <c r="H921"/>
      <c r="I921" s="740"/>
      <c r="V921"/>
      <c r="W921"/>
      <c r="Y921"/>
      <c r="Z921"/>
      <c r="AA921"/>
      <c r="AD921"/>
      <c r="AE921"/>
      <c r="AF921"/>
      <c r="AH921"/>
      <c r="AI921"/>
      <c r="AJ921"/>
      <c r="AM921"/>
    </row>
    <row r="922" spans="3:39">
      <c r="C922"/>
      <c r="D922"/>
      <c r="E922"/>
      <c r="F922"/>
      <c r="G922"/>
      <c r="H922"/>
      <c r="I922" s="740"/>
      <c r="V922"/>
      <c r="W922"/>
      <c r="Y922"/>
      <c r="Z922"/>
      <c r="AA922"/>
      <c r="AD922"/>
      <c r="AE922"/>
      <c r="AF922"/>
      <c r="AH922"/>
      <c r="AI922"/>
      <c r="AJ922"/>
      <c r="AM922"/>
    </row>
    <row r="923" spans="3:39">
      <c r="C923"/>
      <c r="D923"/>
      <c r="E923"/>
      <c r="F923"/>
      <c r="G923"/>
      <c r="H923"/>
      <c r="I923" s="740"/>
      <c r="V923"/>
      <c r="W923"/>
      <c r="Y923"/>
      <c r="Z923"/>
      <c r="AA923"/>
      <c r="AD923"/>
      <c r="AE923"/>
      <c r="AF923"/>
      <c r="AH923"/>
      <c r="AI923"/>
      <c r="AJ923"/>
      <c r="AM923"/>
    </row>
    <row r="924" spans="3:39">
      <c r="C924"/>
      <c r="D924"/>
      <c r="E924"/>
      <c r="F924"/>
      <c r="G924"/>
      <c r="H924"/>
      <c r="I924" s="740"/>
      <c r="V924"/>
      <c r="W924"/>
      <c r="Y924"/>
      <c r="Z924"/>
      <c r="AA924"/>
      <c r="AD924"/>
      <c r="AE924"/>
      <c r="AF924"/>
      <c r="AH924"/>
      <c r="AI924"/>
      <c r="AJ924"/>
      <c r="AM924"/>
    </row>
    <row r="925" spans="3:39">
      <c r="C925"/>
      <c r="D925"/>
      <c r="E925"/>
      <c r="F925"/>
      <c r="G925"/>
      <c r="H925"/>
      <c r="I925" s="740"/>
      <c r="V925"/>
      <c r="W925"/>
      <c r="Y925"/>
      <c r="Z925"/>
      <c r="AA925"/>
      <c r="AD925"/>
      <c r="AE925"/>
      <c r="AF925"/>
      <c r="AH925"/>
      <c r="AI925"/>
      <c r="AJ925"/>
      <c r="AM925"/>
    </row>
    <row r="926" spans="3:39">
      <c r="C926"/>
      <c r="D926"/>
      <c r="E926"/>
      <c r="F926"/>
      <c r="G926"/>
      <c r="H926"/>
      <c r="I926" s="740"/>
      <c r="V926"/>
      <c r="W926"/>
      <c r="Y926"/>
      <c r="Z926"/>
      <c r="AA926"/>
      <c r="AD926"/>
      <c r="AE926"/>
      <c r="AF926"/>
      <c r="AH926"/>
      <c r="AI926"/>
      <c r="AJ926"/>
      <c r="AM926"/>
    </row>
    <row r="927" spans="3:39">
      <c r="C927"/>
      <c r="D927"/>
      <c r="E927"/>
      <c r="F927"/>
      <c r="G927"/>
      <c r="H927"/>
      <c r="I927" s="740"/>
      <c r="V927"/>
      <c r="W927"/>
      <c r="Y927"/>
      <c r="Z927"/>
      <c r="AA927"/>
      <c r="AD927"/>
      <c r="AE927"/>
      <c r="AF927"/>
      <c r="AH927"/>
      <c r="AI927"/>
      <c r="AJ927"/>
      <c r="AM927"/>
    </row>
    <row r="928" spans="3:39">
      <c r="C928"/>
      <c r="D928"/>
      <c r="E928"/>
      <c r="F928"/>
      <c r="G928"/>
      <c r="H928"/>
      <c r="I928" s="740"/>
      <c r="V928"/>
      <c r="W928"/>
      <c r="Y928"/>
      <c r="Z928"/>
      <c r="AA928"/>
      <c r="AD928"/>
      <c r="AE928"/>
      <c r="AF928"/>
      <c r="AH928"/>
      <c r="AI928"/>
      <c r="AJ928"/>
      <c r="AM928"/>
    </row>
    <row r="929" spans="3:39">
      <c r="C929"/>
      <c r="D929"/>
      <c r="E929"/>
      <c r="F929"/>
      <c r="G929"/>
      <c r="H929"/>
      <c r="I929" s="740"/>
      <c r="V929"/>
      <c r="W929"/>
      <c r="Y929"/>
      <c r="Z929"/>
      <c r="AA929"/>
      <c r="AD929"/>
      <c r="AE929"/>
      <c r="AF929"/>
      <c r="AH929"/>
      <c r="AI929"/>
      <c r="AJ929"/>
      <c r="AM929"/>
    </row>
    <row r="930" spans="3:39">
      <c r="C930"/>
      <c r="D930"/>
      <c r="E930"/>
      <c r="F930"/>
      <c r="G930"/>
      <c r="H930"/>
      <c r="I930" s="740"/>
      <c r="V930"/>
      <c r="W930"/>
      <c r="Y930"/>
      <c r="Z930"/>
      <c r="AA930"/>
      <c r="AD930"/>
      <c r="AE930"/>
      <c r="AF930"/>
      <c r="AH930"/>
      <c r="AI930"/>
      <c r="AJ930"/>
      <c r="AM930"/>
    </row>
    <row r="931" spans="3:39">
      <c r="C931"/>
      <c r="D931"/>
      <c r="E931"/>
      <c r="F931"/>
      <c r="G931"/>
      <c r="H931"/>
      <c r="I931" s="740"/>
      <c r="V931"/>
      <c r="W931"/>
      <c r="Y931"/>
      <c r="Z931"/>
      <c r="AA931"/>
      <c r="AD931"/>
      <c r="AE931"/>
      <c r="AF931"/>
      <c r="AH931"/>
      <c r="AI931"/>
      <c r="AJ931"/>
      <c r="AM931"/>
    </row>
    <row r="932" spans="3:39">
      <c r="C932"/>
      <c r="D932"/>
      <c r="E932"/>
      <c r="F932"/>
      <c r="G932"/>
      <c r="H932"/>
      <c r="I932" s="740"/>
      <c r="V932"/>
      <c r="W932"/>
      <c r="Y932"/>
      <c r="Z932"/>
      <c r="AA932"/>
      <c r="AD932"/>
      <c r="AE932"/>
      <c r="AF932"/>
      <c r="AH932"/>
      <c r="AI932"/>
      <c r="AJ932"/>
      <c r="AM932"/>
    </row>
    <row r="933" spans="3:39">
      <c r="C933"/>
      <c r="D933"/>
      <c r="E933"/>
      <c r="F933"/>
      <c r="G933"/>
      <c r="H933"/>
      <c r="I933" s="740"/>
      <c r="V933"/>
      <c r="W933"/>
      <c r="Y933"/>
      <c r="Z933"/>
      <c r="AA933"/>
      <c r="AD933"/>
      <c r="AE933"/>
      <c r="AF933"/>
      <c r="AH933"/>
      <c r="AI933"/>
      <c r="AJ933"/>
      <c r="AM933"/>
    </row>
    <row r="934" spans="3:39">
      <c r="C934"/>
      <c r="D934"/>
      <c r="E934"/>
      <c r="F934"/>
      <c r="G934"/>
      <c r="H934"/>
      <c r="I934" s="740"/>
      <c r="V934"/>
      <c r="W934"/>
      <c r="Y934"/>
      <c r="Z934"/>
      <c r="AA934"/>
      <c r="AD934"/>
      <c r="AE934"/>
      <c r="AF934"/>
      <c r="AH934"/>
      <c r="AI934"/>
      <c r="AJ934"/>
      <c r="AM934"/>
    </row>
    <row r="935" spans="3:39">
      <c r="C935"/>
      <c r="D935"/>
      <c r="E935"/>
      <c r="F935"/>
      <c r="G935"/>
      <c r="H935"/>
      <c r="I935" s="740"/>
      <c r="V935"/>
      <c r="W935"/>
      <c r="Y935"/>
      <c r="Z935"/>
      <c r="AA935"/>
      <c r="AD935"/>
      <c r="AE935"/>
      <c r="AF935"/>
      <c r="AH935"/>
      <c r="AI935"/>
      <c r="AJ935"/>
      <c r="AM935"/>
    </row>
    <row r="936" spans="3:39">
      <c r="C936"/>
      <c r="D936"/>
      <c r="E936"/>
      <c r="F936"/>
      <c r="G936"/>
      <c r="H936"/>
      <c r="I936" s="740"/>
      <c r="V936"/>
      <c r="W936"/>
      <c r="Y936"/>
      <c r="Z936"/>
      <c r="AA936"/>
      <c r="AD936"/>
      <c r="AE936"/>
      <c r="AF936"/>
      <c r="AH936"/>
      <c r="AI936"/>
      <c r="AJ936"/>
      <c r="AM936"/>
    </row>
    <row r="937" spans="3:39">
      <c r="C937"/>
      <c r="D937"/>
      <c r="E937"/>
      <c r="F937"/>
      <c r="G937"/>
      <c r="H937"/>
      <c r="I937" s="740"/>
      <c r="V937"/>
      <c r="W937"/>
      <c r="Y937"/>
      <c r="Z937"/>
      <c r="AA937"/>
      <c r="AD937"/>
      <c r="AE937"/>
      <c r="AF937"/>
      <c r="AH937"/>
      <c r="AI937"/>
      <c r="AJ937"/>
      <c r="AM937"/>
    </row>
    <row r="938" spans="3:39">
      <c r="C938"/>
      <c r="D938"/>
      <c r="E938"/>
      <c r="F938"/>
      <c r="G938"/>
      <c r="H938"/>
      <c r="I938" s="740"/>
      <c r="V938"/>
      <c r="W938"/>
      <c r="Y938"/>
      <c r="Z938"/>
      <c r="AA938"/>
      <c r="AD938"/>
      <c r="AE938"/>
      <c r="AF938"/>
      <c r="AH938"/>
      <c r="AI938"/>
      <c r="AJ938"/>
      <c r="AM938"/>
    </row>
    <row r="939" spans="3:39">
      <c r="C939"/>
      <c r="D939"/>
      <c r="E939"/>
      <c r="F939"/>
      <c r="G939"/>
      <c r="H939"/>
      <c r="I939" s="740"/>
      <c r="V939"/>
      <c r="W939"/>
      <c r="Y939"/>
      <c r="Z939"/>
      <c r="AA939"/>
      <c r="AD939"/>
      <c r="AE939"/>
      <c r="AF939"/>
      <c r="AH939"/>
      <c r="AI939"/>
      <c r="AJ939"/>
      <c r="AM939"/>
    </row>
    <row r="940" spans="3:39">
      <c r="C940"/>
      <c r="D940"/>
      <c r="E940"/>
      <c r="F940"/>
      <c r="G940"/>
      <c r="H940"/>
      <c r="I940" s="740"/>
      <c r="V940"/>
      <c r="W940"/>
      <c r="Y940"/>
      <c r="Z940"/>
      <c r="AA940"/>
      <c r="AD940"/>
      <c r="AE940"/>
      <c r="AF940"/>
      <c r="AH940"/>
      <c r="AI940"/>
      <c r="AJ940"/>
      <c r="AM940"/>
    </row>
    <row r="941" spans="3:39">
      <c r="C941"/>
      <c r="D941"/>
      <c r="E941"/>
      <c r="F941"/>
      <c r="G941"/>
      <c r="H941"/>
      <c r="I941" s="740"/>
      <c r="V941"/>
      <c r="W941"/>
      <c r="Y941"/>
      <c r="Z941"/>
      <c r="AA941"/>
      <c r="AD941"/>
      <c r="AE941"/>
      <c r="AF941"/>
      <c r="AH941"/>
      <c r="AI941"/>
      <c r="AJ941"/>
      <c r="AM941"/>
    </row>
    <row r="942" spans="3:39">
      <c r="C942"/>
      <c r="D942"/>
      <c r="E942"/>
      <c r="F942"/>
      <c r="G942"/>
      <c r="H942"/>
      <c r="I942" s="740"/>
      <c r="V942"/>
      <c r="W942"/>
      <c r="Y942"/>
      <c r="Z942"/>
      <c r="AA942"/>
      <c r="AD942"/>
      <c r="AE942"/>
      <c r="AF942"/>
      <c r="AH942"/>
      <c r="AI942"/>
      <c r="AJ942"/>
      <c r="AM942"/>
    </row>
    <row r="943" spans="3:39">
      <c r="C943"/>
      <c r="D943"/>
      <c r="E943"/>
      <c r="F943"/>
      <c r="G943"/>
      <c r="H943"/>
      <c r="I943" s="740"/>
      <c r="V943"/>
      <c r="W943"/>
      <c r="Y943"/>
      <c r="Z943"/>
      <c r="AA943"/>
      <c r="AD943"/>
      <c r="AE943"/>
      <c r="AF943"/>
      <c r="AH943"/>
      <c r="AI943"/>
      <c r="AJ943"/>
      <c r="AM943"/>
    </row>
    <row r="944" spans="3:39">
      <c r="C944"/>
      <c r="D944"/>
      <c r="E944"/>
      <c r="F944"/>
      <c r="G944"/>
      <c r="H944"/>
      <c r="I944" s="740"/>
      <c r="V944"/>
      <c r="W944"/>
      <c r="Y944"/>
      <c r="Z944"/>
      <c r="AA944"/>
      <c r="AD944"/>
      <c r="AE944"/>
      <c r="AF944"/>
      <c r="AH944"/>
      <c r="AI944"/>
      <c r="AJ944"/>
      <c r="AM944"/>
    </row>
    <row r="945" spans="3:39">
      <c r="C945"/>
      <c r="D945"/>
      <c r="E945"/>
      <c r="F945"/>
      <c r="G945"/>
      <c r="H945"/>
      <c r="I945" s="740"/>
      <c r="V945"/>
      <c r="W945"/>
      <c r="Y945"/>
      <c r="Z945"/>
      <c r="AA945"/>
      <c r="AD945"/>
      <c r="AE945"/>
      <c r="AF945"/>
      <c r="AH945"/>
      <c r="AI945"/>
      <c r="AJ945"/>
      <c r="AM945"/>
    </row>
    <row r="946" spans="3:39">
      <c r="C946"/>
      <c r="D946"/>
      <c r="E946"/>
      <c r="F946"/>
      <c r="G946"/>
      <c r="H946"/>
      <c r="I946" s="740"/>
      <c r="V946"/>
      <c r="W946"/>
      <c r="Y946"/>
      <c r="Z946"/>
      <c r="AA946"/>
      <c r="AD946"/>
      <c r="AE946"/>
      <c r="AF946"/>
      <c r="AH946"/>
      <c r="AI946"/>
      <c r="AJ946"/>
      <c r="AM946"/>
    </row>
    <row r="947" spans="3:39">
      <c r="C947"/>
      <c r="D947"/>
      <c r="E947"/>
      <c r="F947"/>
      <c r="G947"/>
      <c r="H947"/>
      <c r="I947" s="740"/>
      <c r="V947"/>
      <c r="W947"/>
      <c r="Y947"/>
      <c r="Z947"/>
      <c r="AA947"/>
      <c r="AD947"/>
      <c r="AE947"/>
      <c r="AF947"/>
      <c r="AH947"/>
      <c r="AI947"/>
      <c r="AJ947"/>
      <c r="AM947"/>
    </row>
    <row r="948" spans="3:39">
      <c r="C948"/>
      <c r="D948"/>
      <c r="E948"/>
      <c r="F948"/>
      <c r="G948"/>
      <c r="H948"/>
      <c r="I948" s="740"/>
      <c r="V948"/>
      <c r="W948"/>
      <c r="Y948"/>
      <c r="Z948"/>
      <c r="AA948"/>
      <c r="AD948"/>
      <c r="AE948"/>
      <c r="AF948"/>
      <c r="AH948"/>
      <c r="AI948"/>
      <c r="AJ948"/>
      <c r="AM948"/>
    </row>
    <row r="949" spans="3:39">
      <c r="C949"/>
      <c r="D949"/>
      <c r="E949"/>
      <c r="F949"/>
      <c r="G949"/>
      <c r="H949"/>
      <c r="I949" s="740"/>
      <c r="V949"/>
      <c r="W949"/>
      <c r="Y949"/>
      <c r="Z949"/>
      <c r="AA949"/>
      <c r="AD949"/>
      <c r="AE949"/>
      <c r="AF949"/>
      <c r="AH949"/>
      <c r="AI949"/>
      <c r="AJ949"/>
      <c r="AM949"/>
    </row>
    <row r="950" spans="3:39">
      <c r="C950"/>
      <c r="D950"/>
      <c r="E950"/>
      <c r="F950"/>
      <c r="G950"/>
      <c r="H950"/>
      <c r="I950" s="740"/>
      <c r="V950"/>
      <c r="W950"/>
      <c r="Y950"/>
      <c r="Z950"/>
      <c r="AA950"/>
      <c r="AD950"/>
      <c r="AE950"/>
      <c r="AF950"/>
      <c r="AH950"/>
      <c r="AI950"/>
      <c r="AJ950"/>
      <c r="AM950"/>
    </row>
    <row r="951" spans="3:39">
      <c r="C951"/>
      <c r="D951"/>
      <c r="E951"/>
      <c r="F951"/>
      <c r="G951"/>
      <c r="H951"/>
      <c r="I951" s="740"/>
      <c r="V951"/>
      <c r="W951"/>
      <c r="Y951"/>
      <c r="Z951"/>
      <c r="AA951"/>
      <c r="AD951"/>
      <c r="AE951"/>
      <c r="AF951"/>
      <c r="AH951"/>
      <c r="AI951"/>
      <c r="AJ951"/>
      <c r="AM951"/>
    </row>
    <row r="952" spans="3:39">
      <c r="C952"/>
      <c r="D952"/>
      <c r="E952"/>
      <c r="F952"/>
      <c r="G952"/>
      <c r="H952"/>
      <c r="I952" s="740"/>
      <c r="V952"/>
      <c r="W952"/>
      <c r="Y952"/>
      <c r="Z952"/>
      <c r="AA952"/>
      <c r="AD952"/>
      <c r="AE952"/>
      <c r="AF952"/>
      <c r="AH952"/>
      <c r="AI952"/>
      <c r="AJ952"/>
      <c r="AM952"/>
    </row>
    <row r="953" spans="3:39">
      <c r="C953"/>
      <c r="D953"/>
      <c r="E953"/>
      <c r="F953"/>
      <c r="G953"/>
      <c r="H953"/>
      <c r="I953" s="740"/>
      <c r="V953"/>
      <c r="W953"/>
      <c r="Y953"/>
      <c r="Z953"/>
      <c r="AA953"/>
      <c r="AD953"/>
      <c r="AE953"/>
      <c r="AF953"/>
      <c r="AH953"/>
      <c r="AI953"/>
      <c r="AJ953"/>
      <c r="AM953"/>
    </row>
    <row r="954" spans="3:39">
      <c r="C954"/>
      <c r="D954"/>
      <c r="E954"/>
      <c r="F954"/>
      <c r="G954"/>
      <c r="H954"/>
      <c r="I954" s="740"/>
      <c r="V954"/>
      <c r="W954"/>
      <c r="Y954"/>
      <c r="Z954"/>
      <c r="AA954"/>
      <c r="AD954"/>
      <c r="AE954"/>
      <c r="AF954"/>
      <c r="AH954"/>
      <c r="AI954"/>
      <c r="AJ954"/>
      <c r="AM954"/>
    </row>
    <row r="955" spans="3:39">
      <c r="C955"/>
      <c r="D955"/>
      <c r="E955"/>
      <c r="F955"/>
      <c r="G955"/>
      <c r="H955"/>
      <c r="I955" s="740"/>
      <c r="V955"/>
      <c r="W955"/>
      <c r="Y955"/>
      <c r="Z955"/>
      <c r="AA955"/>
      <c r="AD955"/>
      <c r="AE955"/>
      <c r="AF955"/>
      <c r="AH955"/>
      <c r="AI955"/>
      <c r="AJ955"/>
      <c r="AM955"/>
    </row>
    <row r="956" spans="3:39">
      <c r="C956"/>
      <c r="D956"/>
      <c r="E956"/>
      <c r="F956"/>
      <c r="G956"/>
      <c r="H956"/>
      <c r="I956" s="740"/>
      <c r="V956"/>
      <c r="W956"/>
      <c r="Y956"/>
      <c r="Z956"/>
      <c r="AA956"/>
      <c r="AD956"/>
      <c r="AE956"/>
      <c r="AF956"/>
      <c r="AH956"/>
      <c r="AI956"/>
      <c r="AJ956"/>
      <c r="AM956"/>
    </row>
    <row r="957" spans="3:39">
      <c r="C957"/>
      <c r="D957"/>
      <c r="E957"/>
      <c r="F957"/>
      <c r="G957"/>
      <c r="H957"/>
      <c r="I957" s="740"/>
      <c r="V957"/>
      <c r="W957"/>
      <c r="Y957"/>
      <c r="Z957"/>
      <c r="AA957"/>
      <c r="AD957"/>
      <c r="AE957"/>
      <c r="AF957"/>
      <c r="AH957"/>
      <c r="AI957"/>
      <c r="AJ957"/>
      <c r="AM957"/>
    </row>
    <row r="958" spans="3:39">
      <c r="C958"/>
      <c r="D958"/>
      <c r="E958"/>
      <c r="F958"/>
      <c r="G958"/>
      <c r="H958"/>
      <c r="I958" s="740"/>
      <c r="V958"/>
      <c r="W958"/>
      <c r="Y958"/>
      <c r="Z958"/>
      <c r="AA958"/>
      <c r="AD958"/>
      <c r="AE958"/>
      <c r="AF958"/>
      <c r="AH958"/>
      <c r="AI958"/>
      <c r="AJ958"/>
      <c r="AM958"/>
    </row>
    <row r="959" spans="3:39">
      <c r="C959"/>
      <c r="D959"/>
      <c r="E959"/>
      <c r="F959"/>
      <c r="G959"/>
      <c r="H959"/>
      <c r="I959" s="740"/>
      <c r="V959"/>
      <c r="W959"/>
      <c r="Y959"/>
      <c r="Z959"/>
      <c r="AA959"/>
      <c r="AD959"/>
      <c r="AE959"/>
      <c r="AF959"/>
      <c r="AH959"/>
      <c r="AI959"/>
      <c r="AJ959"/>
      <c r="AM959"/>
    </row>
    <row r="960" spans="3:39">
      <c r="C960"/>
      <c r="D960"/>
      <c r="E960"/>
      <c r="F960"/>
      <c r="G960"/>
      <c r="H960"/>
      <c r="I960" s="740"/>
      <c r="V960"/>
      <c r="W960"/>
      <c r="Y960"/>
      <c r="Z960"/>
      <c r="AA960"/>
      <c r="AD960"/>
      <c r="AE960"/>
      <c r="AF960"/>
      <c r="AH960"/>
      <c r="AI960"/>
      <c r="AJ960"/>
      <c r="AM960"/>
    </row>
    <row r="961" spans="3:39">
      <c r="C961"/>
      <c r="D961"/>
      <c r="E961"/>
      <c r="F961"/>
      <c r="G961"/>
      <c r="H961"/>
      <c r="I961" s="740"/>
      <c r="V961"/>
      <c r="W961"/>
      <c r="Y961"/>
      <c r="Z961"/>
      <c r="AA961"/>
      <c r="AD961"/>
      <c r="AE961"/>
      <c r="AF961"/>
      <c r="AH961"/>
      <c r="AI961"/>
      <c r="AJ961"/>
      <c r="AM961"/>
    </row>
    <row r="962" spans="3:39">
      <c r="C962"/>
      <c r="D962"/>
      <c r="E962"/>
      <c r="F962"/>
      <c r="G962"/>
      <c r="H962"/>
      <c r="I962" s="740"/>
      <c r="V962"/>
      <c r="W962"/>
      <c r="Y962"/>
      <c r="Z962"/>
      <c r="AA962"/>
      <c r="AD962"/>
      <c r="AE962"/>
      <c r="AF962"/>
      <c r="AH962"/>
      <c r="AI962"/>
      <c r="AJ962"/>
      <c r="AM962"/>
    </row>
    <row r="963" spans="3:39">
      <c r="C963"/>
      <c r="D963"/>
      <c r="E963"/>
      <c r="F963"/>
      <c r="G963"/>
      <c r="H963"/>
      <c r="I963" s="740"/>
      <c r="V963"/>
      <c r="W963"/>
      <c r="Y963"/>
      <c r="Z963"/>
      <c r="AA963"/>
      <c r="AD963"/>
      <c r="AE963"/>
      <c r="AF963"/>
      <c r="AH963"/>
      <c r="AI963"/>
      <c r="AJ963"/>
      <c r="AM963"/>
    </row>
    <row r="964" spans="3:39">
      <c r="C964"/>
      <c r="D964"/>
      <c r="E964"/>
      <c r="F964"/>
      <c r="G964"/>
      <c r="H964"/>
      <c r="I964" s="740"/>
      <c r="V964"/>
      <c r="W964"/>
      <c r="Y964"/>
      <c r="Z964"/>
      <c r="AA964"/>
      <c r="AD964"/>
      <c r="AE964"/>
      <c r="AF964"/>
      <c r="AH964"/>
      <c r="AI964"/>
      <c r="AJ964"/>
      <c r="AM964"/>
    </row>
    <row r="965" spans="3:39">
      <c r="C965"/>
      <c r="D965"/>
      <c r="E965"/>
      <c r="F965"/>
      <c r="G965"/>
      <c r="H965"/>
      <c r="I965" s="740"/>
      <c r="V965"/>
      <c r="W965"/>
      <c r="Y965"/>
      <c r="Z965"/>
      <c r="AA965"/>
      <c r="AD965"/>
      <c r="AE965"/>
      <c r="AF965"/>
      <c r="AH965"/>
      <c r="AI965"/>
      <c r="AJ965"/>
      <c r="AM965"/>
    </row>
    <row r="966" spans="3:39">
      <c r="C966"/>
      <c r="D966"/>
      <c r="E966"/>
      <c r="F966"/>
      <c r="G966"/>
      <c r="H966"/>
      <c r="I966" s="740"/>
      <c r="V966"/>
      <c r="W966"/>
      <c r="Y966"/>
      <c r="Z966"/>
      <c r="AA966"/>
      <c r="AD966"/>
      <c r="AE966"/>
      <c r="AF966"/>
      <c r="AH966"/>
      <c r="AI966"/>
      <c r="AJ966"/>
      <c r="AM966"/>
    </row>
    <row r="967" spans="3:39">
      <c r="C967"/>
      <c r="D967"/>
      <c r="E967"/>
      <c r="F967"/>
      <c r="G967"/>
      <c r="H967"/>
      <c r="I967" s="740"/>
      <c r="V967"/>
      <c r="W967"/>
      <c r="Y967"/>
      <c r="Z967"/>
      <c r="AA967"/>
      <c r="AD967"/>
      <c r="AE967"/>
      <c r="AF967"/>
      <c r="AH967"/>
      <c r="AI967"/>
      <c r="AJ967"/>
      <c r="AM967"/>
    </row>
    <row r="968" spans="3:39">
      <c r="C968"/>
      <c r="D968"/>
      <c r="E968"/>
      <c r="F968"/>
      <c r="G968"/>
      <c r="H968"/>
      <c r="I968" s="740"/>
      <c r="V968"/>
      <c r="W968"/>
      <c r="Y968"/>
      <c r="Z968"/>
      <c r="AA968"/>
      <c r="AD968"/>
      <c r="AE968"/>
      <c r="AF968"/>
      <c r="AH968"/>
      <c r="AI968"/>
      <c r="AJ968"/>
      <c r="AM968"/>
    </row>
    <row r="969" spans="3:39">
      <c r="C969"/>
      <c r="D969"/>
      <c r="E969"/>
      <c r="F969"/>
      <c r="G969"/>
      <c r="H969"/>
      <c r="I969" s="740"/>
      <c r="V969"/>
      <c r="W969"/>
      <c r="Y969"/>
      <c r="Z969"/>
      <c r="AA969"/>
      <c r="AD969"/>
      <c r="AE969"/>
      <c r="AF969"/>
      <c r="AH969"/>
      <c r="AI969"/>
      <c r="AJ969"/>
      <c r="AM969"/>
    </row>
    <row r="970" spans="3:39">
      <c r="C970"/>
      <c r="D970"/>
      <c r="E970"/>
      <c r="F970"/>
      <c r="G970"/>
      <c r="H970"/>
      <c r="I970" s="740"/>
      <c r="V970"/>
      <c r="W970"/>
      <c r="Y970"/>
      <c r="Z970"/>
      <c r="AA970"/>
      <c r="AD970"/>
      <c r="AE970"/>
      <c r="AF970"/>
      <c r="AH970"/>
      <c r="AI970"/>
      <c r="AJ970"/>
      <c r="AM970"/>
    </row>
    <row r="971" spans="3:39">
      <c r="C971"/>
      <c r="D971"/>
      <c r="E971"/>
      <c r="F971"/>
      <c r="G971"/>
      <c r="H971"/>
      <c r="I971" s="740"/>
      <c r="V971"/>
      <c r="W971"/>
      <c r="Y971"/>
      <c r="Z971"/>
      <c r="AA971"/>
      <c r="AD971"/>
      <c r="AE971"/>
      <c r="AF971"/>
      <c r="AH971"/>
      <c r="AI971"/>
      <c r="AJ971"/>
      <c r="AM971"/>
    </row>
    <row r="972" spans="3:39">
      <c r="C972"/>
      <c r="D972"/>
      <c r="E972"/>
      <c r="F972"/>
      <c r="G972"/>
      <c r="H972"/>
      <c r="I972" s="740"/>
      <c r="V972"/>
      <c r="W972"/>
      <c r="Y972"/>
      <c r="Z972"/>
      <c r="AA972"/>
      <c r="AD972"/>
      <c r="AE972"/>
      <c r="AF972"/>
      <c r="AH972"/>
      <c r="AI972"/>
      <c r="AJ972"/>
      <c r="AM972"/>
    </row>
    <row r="973" spans="3:39">
      <c r="C973"/>
      <c r="D973"/>
      <c r="E973"/>
      <c r="F973"/>
      <c r="G973"/>
      <c r="H973"/>
      <c r="I973" s="740"/>
      <c r="V973"/>
      <c r="W973"/>
      <c r="Y973"/>
      <c r="Z973"/>
      <c r="AA973"/>
      <c r="AD973"/>
      <c r="AE973"/>
      <c r="AF973"/>
      <c r="AH973"/>
      <c r="AI973"/>
      <c r="AJ973"/>
      <c r="AM973"/>
    </row>
    <row r="974" spans="3:39">
      <c r="C974"/>
      <c r="D974"/>
      <c r="E974"/>
      <c r="F974"/>
      <c r="G974"/>
      <c r="H974"/>
      <c r="I974" s="740"/>
      <c r="V974"/>
      <c r="W974"/>
      <c r="Y974"/>
      <c r="Z974"/>
      <c r="AA974"/>
      <c r="AD974"/>
      <c r="AE974"/>
      <c r="AF974"/>
      <c r="AH974"/>
      <c r="AI974"/>
      <c r="AJ974"/>
      <c r="AM974"/>
    </row>
    <row r="975" spans="3:39">
      <c r="C975"/>
      <c r="D975"/>
      <c r="E975"/>
      <c r="F975"/>
      <c r="G975"/>
      <c r="H975"/>
      <c r="I975" s="740"/>
      <c r="V975"/>
      <c r="W975"/>
      <c r="Y975"/>
      <c r="Z975"/>
      <c r="AA975"/>
      <c r="AD975"/>
      <c r="AE975"/>
      <c r="AF975"/>
      <c r="AH975"/>
      <c r="AI975"/>
      <c r="AJ975"/>
      <c r="AM975"/>
    </row>
    <row r="976" spans="3:39">
      <c r="C976"/>
      <c r="D976"/>
      <c r="E976"/>
      <c r="F976"/>
      <c r="G976"/>
      <c r="H976"/>
      <c r="I976" s="740"/>
      <c r="V976"/>
      <c r="W976"/>
      <c r="Y976"/>
      <c r="Z976"/>
      <c r="AA976"/>
      <c r="AD976"/>
      <c r="AE976"/>
      <c r="AF976"/>
      <c r="AH976"/>
      <c r="AI976"/>
      <c r="AJ976"/>
      <c r="AM976"/>
    </row>
    <row r="977" spans="3:39">
      <c r="C977"/>
      <c r="D977"/>
      <c r="E977"/>
      <c r="F977"/>
      <c r="G977"/>
      <c r="H977"/>
      <c r="I977" s="740"/>
      <c r="V977"/>
      <c r="W977"/>
      <c r="Y977"/>
      <c r="Z977"/>
      <c r="AA977"/>
      <c r="AD977"/>
      <c r="AE977"/>
      <c r="AF977"/>
      <c r="AH977"/>
      <c r="AI977"/>
      <c r="AJ977"/>
      <c r="AM977"/>
    </row>
    <row r="978" spans="3:39">
      <c r="C978"/>
      <c r="D978"/>
      <c r="E978"/>
      <c r="F978"/>
      <c r="G978"/>
      <c r="H978"/>
      <c r="I978" s="740"/>
      <c r="V978"/>
      <c r="W978"/>
      <c r="Y978"/>
      <c r="Z978"/>
      <c r="AA978"/>
      <c r="AD978"/>
      <c r="AE978"/>
      <c r="AF978"/>
      <c r="AH978"/>
      <c r="AI978"/>
      <c r="AJ978"/>
      <c r="AM978"/>
    </row>
    <row r="979" spans="3:39">
      <c r="C979"/>
      <c r="D979"/>
      <c r="E979"/>
      <c r="F979"/>
      <c r="G979"/>
      <c r="H979"/>
      <c r="I979" s="740"/>
      <c r="V979"/>
      <c r="W979"/>
      <c r="Y979"/>
      <c r="Z979"/>
      <c r="AA979"/>
      <c r="AD979"/>
      <c r="AE979"/>
      <c r="AF979"/>
      <c r="AH979"/>
      <c r="AI979"/>
      <c r="AJ979"/>
      <c r="AM979"/>
    </row>
    <row r="980" spans="3:39">
      <c r="C980"/>
      <c r="D980"/>
      <c r="E980"/>
      <c r="F980"/>
      <c r="G980"/>
      <c r="H980"/>
      <c r="I980" s="740"/>
      <c r="V980"/>
      <c r="W980"/>
      <c r="Y980"/>
      <c r="Z980"/>
      <c r="AA980"/>
      <c r="AD980"/>
      <c r="AE980"/>
      <c r="AF980"/>
      <c r="AH980"/>
      <c r="AI980"/>
      <c r="AJ980"/>
      <c r="AM980"/>
    </row>
    <row r="981" spans="3:39">
      <c r="C981"/>
      <c r="D981"/>
      <c r="E981"/>
      <c r="F981"/>
      <c r="G981"/>
      <c r="H981"/>
      <c r="I981" s="740"/>
      <c r="V981"/>
      <c r="W981"/>
      <c r="Y981"/>
      <c r="Z981"/>
      <c r="AA981"/>
      <c r="AD981"/>
      <c r="AE981"/>
      <c r="AF981"/>
      <c r="AH981"/>
      <c r="AI981"/>
      <c r="AJ981"/>
      <c r="AM981"/>
    </row>
    <row r="982" spans="3:39">
      <c r="C982"/>
      <c r="D982"/>
      <c r="E982"/>
      <c r="F982"/>
      <c r="G982"/>
      <c r="H982"/>
      <c r="I982" s="740"/>
      <c r="V982"/>
      <c r="W982"/>
      <c r="Y982"/>
      <c r="Z982"/>
      <c r="AA982"/>
      <c r="AD982"/>
      <c r="AE982"/>
      <c r="AF982"/>
      <c r="AH982"/>
      <c r="AI982"/>
      <c r="AJ982"/>
      <c r="AM982"/>
    </row>
    <row r="983" spans="3:39">
      <c r="C983"/>
      <c r="D983"/>
      <c r="E983"/>
      <c r="F983"/>
      <c r="G983"/>
      <c r="H983"/>
      <c r="I983" s="740"/>
      <c r="V983"/>
      <c r="W983"/>
      <c r="Y983"/>
      <c r="Z983"/>
      <c r="AA983"/>
      <c r="AD983"/>
      <c r="AE983"/>
      <c r="AF983"/>
      <c r="AH983"/>
      <c r="AI983"/>
      <c r="AJ983"/>
      <c r="AM983"/>
    </row>
    <row r="984" spans="3:39">
      <c r="C984"/>
      <c r="D984"/>
      <c r="E984"/>
      <c r="F984"/>
      <c r="G984"/>
      <c r="H984"/>
      <c r="I984" s="740"/>
      <c r="V984"/>
      <c r="W984"/>
      <c r="Y984"/>
      <c r="Z984"/>
      <c r="AA984"/>
      <c r="AD984"/>
      <c r="AE984"/>
      <c r="AF984"/>
      <c r="AH984"/>
      <c r="AI984"/>
      <c r="AJ984"/>
      <c r="AM984"/>
    </row>
    <row r="985" spans="3:39">
      <c r="C985"/>
      <c r="D985"/>
      <c r="E985"/>
      <c r="F985"/>
      <c r="G985"/>
      <c r="H985"/>
      <c r="I985" s="740"/>
      <c r="V985"/>
      <c r="W985"/>
      <c r="Y985"/>
      <c r="Z985"/>
      <c r="AA985"/>
      <c r="AD985"/>
      <c r="AE985"/>
      <c r="AF985"/>
      <c r="AH985"/>
      <c r="AI985"/>
      <c r="AJ985"/>
      <c r="AM985"/>
    </row>
    <row r="986" spans="3:39">
      <c r="C986"/>
      <c r="D986"/>
      <c r="E986"/>
      <c r="F986"/>
      <c r="G986"/>
      <c r="H986"/>
      <c r="I986" s="740"/>
      <c r="V986"/>
      <c r="W986"/>
      <c r="Y986"/>
      <c r="Z986"/>
      <c r="AA986"/>
      <c r="AD986"/>
      <c r="AE986"/>
      <c r="AF986"/>
      <c r="AH986"/>
      <c r="AI986"/>
      <c r="AJ986"/>
      <c r="AM986"/>
    </row>
    <row r="987" spans="3:39">
      <c r="C987"/>
      <c r="D987"/>
      <c r="E987"/>
      <c r="F987"/>
      <c r="G987"/>
      <c r="H987"/>
      <c r="I987" s="740"/>
      <c r="V987"/>
      <c r="W987"/>
      <c r="Y987"/>
      <c r="Z987"/>
      <c r="AA987"/>
      <c r="AD987"/>
      <c r="AE987"/>
      <c r="AF987"/>
      <c r="AH987"/>
      <c r="AI987"/>
      <c r="AJ987"/>
      <c r="AM987"/>
    </row>
    <row r="988" spans="3:39">
      <c r="C988"/>
      <c r="D988"/>
      <c r="E988"/>
      <c r="F988"/>
      <c r="G988"/>
      <c r="H988"/>
      <c r="I988" s="740"/>
      <c r="V988"/>
      <c r="W988"/>
      <c r="Y988"/>
      <c r="Z988"/>
      <c r="AA988"/>
      <c r="AD988"/>
      <c r="AE988"/>
      <c r="AF988"/>
      <c r="AH988"/>
      <c r="AI988"/>
      <c r="AJ988"/>
      <c r="AM988"/>
    </row>
    <row r="989" spans="3:39">
      <c r="C989"/>
      <c r="D989"/>
      <c r="E989"/>
      <c r="F989"/>
      <c r="G989"/>
      <c r="H989"/>
      <c r="I989" s="740"/>
      <c r="V989"/>
      <c r="W989"/>
      <c r="Y989"/>
      <c r="Z989"/>
      <c r="AA989"/>
      <c r="AD989"/>
      <c r="AE989"/>
      <c r="AF989"/>
      <c r="AH989"/>
      <c r="AI989"/>
      <c r="AJ989"/>
      <c r="AM989"/>
    </row>
    <row r="990" spans="3:39">
      <c r="C990"/>
      <c r="D990"/>
      <c r="E990"/>
      <c r="F990"/>
      <c r="G990"/>
      <c r="H990"/>
      <c r="I990" s="740"/>
      <c r="V990"/>
      <c r="W990"/>
      <c r="Y990"/>
      <c r="Z990"/>
      <c r="AA990"/>
      <c r="AD990"/>
      <c r="AE990"/>
      <c r="AF990"/>
      <c r="AH990"/>
      <c r="AI990"/>
      <c r="AJ990"/>
      <c r="AM990"/>
    </row>
    <row r="991" spans="3:39">
      <c r="C991"/>
      <c r="D991"/>
      <c r="E991"/>
      <c r="F991"/>
      <c r="G991"/>
      <c r="H991"/>
      <c r="I991" s="740"/>
      <c r="V991"/>
      <c r="W991"/>
      <c r="Y991"/>
      <c r="Z991"/>
      <c r="AA991"/>
      <c r="AD991"/>
      <c r="AE991"/>
      <c r="AF991"/>
      <c r="AH991"/>
      <c r="AI991"/>
      <c r="AJ991"/>
      <c r="AM991"/>
    </row>
    <row r="992" spans="3:39">
      <c r="C992"/>
      <c r="D992"/>
      <c r="E992"/>
      <c r="F992"/>
      <c r="G992"/>
      <c r="H992"/>
      <c r="I992" s="740"/>
      <c r="V992"/>
      <c r="W992"/>
      <c r="Y992"/>
      <c r="Z992"/>
      <c r="AA992"/>
      <c r="AD992"/>
      <c r="AE992"/>
      <c r="AF992"/>
      <c r="AH992"/>
      <c r="AI992"/>
      <c r="AJ992"/>
      <c r="AM992"/>
    </row>
    <row r="993" spans="3:39">
      <c r="C993"/>
      <c r="D993"/>
      <c r="E993"/>
      <c r="F993"/>
      <c r="G993"/>
      <c r="H993"/>
      <c r="I993" s="740"/>
      <c r="V993"/>
      <c r="W993"/>
      <c r="Y993"/>
      <c r="Z993"/>
      <c r="AA993"/>
      <c r="AD993"/>
      <c r="AE993"/>
      <c r="AF993"/>
      <c r="AH993"/>
      <c r="AI993"/>
      <c r="AJ993"/>
      <c r="AM993"/>
    </row>
    <row r="994" spans="3:39">
      <c r="C994"/>
      <c r="D994"/>
      <c r="E994"/>
      <c r="F994"/>
      <c r="G994"/>
      <c r="H994"/>
      <c r="I994" s="740"/>
      <c r="V994"/>
      <c r="W994"/>
      <c r="Y994"/>
      <c r="Z994"/>
      <c r="AA994"/>
      <c r="AD994"/>
      <c r="AE994"/>
      <c r="AF994"/>
      <c r="AH994"/>
      <c r="AI994"/>
      <c r="AJ994"/>
      <c r="AM994"/>
    </row>
    <row r="995" spans="3:39">
      <c r="C995"/>
      <c r="D995"/>
      <c r="E995"/>
      <c r="F995"/>
      <c r="G995"/>
      <c r="H995"/>
      <c r="I995" s="740"/>
      <c r="V995"/>
      <c r="W995"/>
      <c r="Y995"/>
      <c r="Z995"/>
      <c r="AA995"/>
      <c r="AD995"/>
      <c r="AE995"/>
      <c r="AF995"/>
      <c r="AH995"/>
      <c r="AI995"/>
      <c r="AJ995"/>
      <c r="AM995"/>
    </row>
    <row r="996" spans="3:39">
      <c r="C996"/>
      <c r="D996"/>
      <c r="E996"/>
      <c r="F996"/>
      <c r="G996"/>
      <c r="H996"/>
      <c r="I996" s="740"/>
      <c r="V996"/>
      <c r="W996"/>
      <c r="Y996"/>
      <c r="Z996"/>
      <c r="AA996"/>
      <c r="AD996"/>
      <c r="AE996"/>
      <c r="AF996"/>
      <c r="AH996"/>
      <c r="AI996"/>
      <c r="AJ996"/>
      <c r="AM996"/>
    </row>
    <row r="997" spans="3:39">
      <c r="C997"/>
      <c r="D997"/>
      <c r="E997"/>
      <c r="F997"/>
      <c r="G997"/>
      <c r="H997"/>
      <c r="I997" s="740"/>
      <c r="V997"/>
      <c r="W997"/>
      <c r="Y997"/>
      <c r="Z997"/>
      <c r="AA997"/>
      <c r="AD997"/>
      <c r="AE997"/>
      <c r="AF997"/>
      <c r="AH997"/>
      <c r="AI997"/>
      <c r="AJ997"/>
      <c r="AM997"/>
    </row>
    <row r="998" spans="3:39">
      <c r="C998"/>
      <c r="D998"/>
      <c r="E998"/>
      <c r="F998"/>
      <c r="G998"/>
      <c r="H998"/>
      <c r="I998" s="740"/>
      <c r="V998"/>
      <c r="W998"/>
      <c r="Y998"/>
      <c r="Z998"/>
      <c r="AA998"/>
      <c r="AD998"/>
      <c r="AE998"/>
      <c r="AF998"/>
      <c r="AH998"/>
      <c r="AI998"/>
      <c r="AJ998"/>
      <c r="AM998"/>
    </row>
    <row r="999" spans="3:39">
      <c r="C999"/>
      <c r="D999"/>
      <c r="E999"/>
      <c r="F999"/>
      <c r="G999"/>
      <c r="H999"/>
      <c r="I999" s="740"/>
      <c r="V999"/>
      <c r="W999"/>
      <c r="Y999"/>
      <c r="Z999"/>
      <c r="AA999"/>
      <c r="AD999"/>
      <c r="AE999"/>
      <c r="AF999"/>
      <c r="AH999"/>
      <c r="AI999"/>
      <c r="AJ999"/>
      <c r="AM999"/>
    </row>
    <row r="1000" spans="3:39">
      <c r="C1000"/>
      <c r="D1000"/>
      <c r="E1000"/>
      <c r="F1000"/>
      <c r="G1000"/>
      <c r="H1000"/>
      <c r="I1000" s="740"/>
      <c r="V1000"/>
      <c r="W1000"/>
      <c r="Y1000"/>
      <c r="Z1000"/>
      <c r="AA1000"/>
      <c r="AD1000"/>
      <c r="AE1000"/>
      <c r="AF1000"/>
      <c r="AH1000"/>
      <c r="AI1000"/>
      <c r="AJ1000"/>
      <c r="AM1000"/>
    </row>
    <row r="1001" spans="3:39">
      <c r="C1001"/>
      <c r="D1001"/>
      <c r="E1001"/>
      <c r="F1001"/>
      <c r="G1001"/>
      <c r="H1001"/>
      <c r="I1001" s="740"/>
      <c r="V1001"/>
      <c r="W1001"/>
      <c r="Y1001"/>
      <c r="Z1001"/>
      <c r="AA1001"/>
      <c r="AD1001"/>
      <c r="AE1001"/>
      <c r="AF1001"/>
      <c r="AH1001"/>
      <c r="AI1001"/>
      <c r="AJ1001"/>
      <c r="AM1001"/>
    </row>
    <row r="1002" spans="3:39">
      <c r="C1002"/>
      <c r="D1002"/>
      <c r="E1002"/>
      <c r="F1002"/>
      <c r="G1002"/>
      <c r="H1002"/>
      <c r="I1002" s="740"/>
      <c r="V1002"/>
      <c r="W1002"/>
      <c r="Y1002"/>
      <c r="Z1002"/>
      <c r="AA1002"/>
      <c r="AD1002"/>
      <c r="AE1002"/>
      <c r="AF1002"/>
      <c r="AH1002"/>
      <c r="AI1002"/>
      <c r="AJ1002"/>
      <c r="AM1002"/>
    </row>
    <row r="1003" spans="3:39">
      <c r="C1003"/>
      <c r="D1003"/>
      <c r="E1003"/>
      <c r="F1003"/>
      <c r="G1003"/>
      <c r="H1003"/>
      <c r="I1003" s="740"/>
      <c r="V1003"/>
      <c r="W1003"/>
      <c r="Y1003"/>
      <c r="Z1003"/>
      <c r="AA1003"/>
      <c r="AD1003"/>
      <c r="AE1003"/>
      <c r="AF1003"/>
      <c r="AH1003"/>
      <c r="AI1003"/>
      <c r="AJ1003"/>
      <c r="AM1003"/>
    </row>
    <row r="1004" spans="3:39">
      <c r="C1004"/>
      <c r="D1004"/>
      <c r="E1004"/>
      <c r="F1004"/>
      <c r="G1004"/>
      <c r="H1004"/>
      <c r="I1004" s="740"/>
      <c r="V1004"/>
      <c r="W1004"/>
      <c r="Y1004"/>
      <c r="Z1004"/>
      <c r="AA1004"/>
      <c r="AD1004"/>
      <c r="AE1004"/>
      <c r="AF1004"/>
      <c r="AH1004"/>
      <c r="AI1004"/>
      <c r="AJ1004"/>
      <c r="AM1004"/>
    </row>
    <row r="1005" spans="3:39">
      <c r="C1005"/>
      <c r="D1005"/>
      <c r="E1005"/>
      <c r="F1005"/>
      <c r="G1005"/>
      <c r="H1005"/>
      <c r="I1005" s="740"/>
      <c r="V1005"/>
      <c r="W1005"/>
      <c r="Y1005"/>
      <c r="Z1005"/>
      <c r="AA1005"/>
      <c r="AD1005"/>
      <c r="AE1005"/>
      <c r="AF1005"/>
      <c r="AH1005"/>
      <c r="AI1005"/>
      <c r="AJ1005"/>
      <c r="AM1005"/>
    </row>
    <row r="1006" spans="3:39">
      <c r="C1006"/>
      <c r="D1006"/>
      <c r="E1006"/>
      <c r="F1006"/>
      <c r="G1006"/>
      <c r="H1006"/>
      <c r="I1006" s="740"/>
      <c r="V1006"/>
      <c r="W1006"/>
      <c r="Y1006"/>
      <c r="Z1006"/>
      <c r="AA1006"/>
      <c r="AD1006"/>
      <c r="AE1006"/>
      <c r="AF1006"/>
      <c r="AH1006"/>
      <c r="AI1006"/>
      <c r="AJ1006"/>
      <c r="AM1006"/>
    </row>
    <row r="1007" spans="3:39">
      <c r="C1007"/>
      <c r="D1007"/>
      <c r="E1007"/>
      <c r="F1007"/>
      <c r="G1007"/>
      <c r="H1007"/>
      <c r="I1007" s="740"/>
      <c r="V1007"/>
      <c r="W1007"/>
      <c r="Y1007"/>
      <c r="Z1007"/>
      <c r="AA1007"/>
      <c r="AD1007"/>
      <c r="AE1007"/>
      <c r="AF1007"/>
      <c r="AH1007"/>
      <c r="AI1007"/>
      <c r="AJ1007"/>
      <c r="AM1007"/>
    </row>
    <row r="1008" spans="3:39">
      <c r="C1008"/>
      <c r="D1008"/>
      <c r="E1008"/>
      <c r="F1008"/>
      <c r="G1008"/>
      <c r="H1008"/>
      <c r="I1008" s="740"/>
      <c r="V1008"/>
      <c r="W1008"/>
      <c r="Y1008"/>
      <c r="Z1008"/>
      <c r="AA1008"/>
      <c r="AD1008"/>
      <c r="AE1008"/>
      <c r="AF1008"/>
      <c r="AH1008"/>
      <c r="AI1008"/>
      <c r="AJ1008"/>
      <c r="AM1008"/>
    </row>
    <row r="1009" spans="3:39">
      <c r="C1009"/>
      <c r="D1009"/>
      <c r="E1009"/>
      <c r="F1009"/>
      <c r="G1009"/>
      <c r="H1009"/>
      <c r="I1009" s="740"/>
      <c r="V1009"/>
      <c r="W1009"/>
      <c r="Y1009"/>
      <c r="Z1009"/>
      <c r="AA1009"/>
      <c r="AD1009"/>
      <c r="AE1009"/>
      <c r="AF1009"/>
      <c r="AH1009"/>
      <c r="AI1009"/>
      <c r="AJ1009"/>
      <c r="AM1009"/>
    </row>
    <row r="1010" spans="3:39">
      <c r="C1010"/>
      <c r="D1010"/>
      <c r="E1010"/>
      <c r="F1010"/>
      <c r="G1010"/>
      <c r="H1010"/>
      <c r="I1010" s="740"/>
      <c r="V1010"/>
      <c r="W1010"/>
      <c r="Y1010"/>
      <c r="Z1010"/>
      <c r="AA1010"/>
      <c r="AD1010"/>
      <c r="AE1010"/>
      <c r="AF1010"/>
      <c r="AH1010"/>
      <c r="AI1010"/>
      <c r="AJ1010"/>
      <c r="AM1010"/>
    </row>
    <row r="1011" spans="3:39">
      <c r="C1011"/>
      <c r="D1011"/>
      <c r="E1011"/>
      <c r="F1011"/>
      <c r="G1011"/>
      <c r="H1011"/>
      <c r="I1011" s="740"/>
      <c r="V1011"/>
      <c r="W1011"/>
      <c r="Y1011"/>
      <c r="Z1011"/>
      <c r="AA1011"/>
      <c r="AD1011"/>
      <c r="AE1011"/>
      <c r="AF1011"/>
      <c r="AH1011"/>
      <c r="AI1011"/>
      <c r="AJ1011"/>
      <c r="AM1011"/>
    </row>
    <row r="1012" spans="3:39">
      <c r="C1012"/>
      <c r="D1012"/>
      <c r="E1012"/>
      <c r="F1012"/>
      <c r="G1012"/>
      <c r="H1012"/>
      <c r="I1012" s="740"/>
      <c r="V1012"/>
      <c r="W1012"/>
      <c r="Y1012"/>
      <c r="Z1012"/>
      <c r="AA1012"/>
      <c r="AD1012"/>
      <c r="AE1012"/>
      <c r="AF1012"/>
      <c r="AH1012"/>
      <c r="AI1012"/>
      <c r="AJ1012"/>
      <c r="AM1012"/>
    </row>
    <row r="1013" spans="3:39">
      <c r="C1013"/>
      <c r="D1013"/>
      <c r="E1013"/>
      <c r="F1013"/>
      <c r="G1013"/>
      <c r="H1013"/>
      <c r="I1013" s="740"/>
      <c r="V1013"/>
      <c r="W1013"/>
      <c r="Y1013"/>
      <c r="Z1013"/>
      <c r="AA1013"/>
      <c r="AD1013"/>
      <c r="AE1013"/>
      <c r="AF1013"/>
      <c r="AH1013"/>
      <c r="AI1013"/>
      <c r="AJ1013"/>
      <c r="AM1013"/>
    </row>
    <row r="1014" spans="3:39">
      <c r="C1014"/>
      <c r="D1014"/>
      <c r="E1014"/>
      <c r="F1014"/>
      <c r="G1014"/>
      <c r="H1014"/>
      <c r="I1014" s="740"/>
      <c r="V1014"/>
      <c r="W1014"/>
      <c r="Y1014"/>
      <c r="Z1014"/>
      <c r="AA1014"/>
      <c r="AD1014"/>
      <c r="AE1014"/>
      <c r="AF1014"/>
      <c r="AH1014"/>
      <c r="AI1014"/>
      <c r="AJ1014"/>
      <c r="AM1014"/>
    </row>
    <row r="1015" spans="3:39">
      <c r="C1015"/>
      <c r="D1015"/>
      <c r="E1015"/>
      <c r="F1015"/>
      <c r="G1015"/>
      <c r="H1015"/>
      <c r="I1015" s="740"/>
      <c r="V1015"/>
      <c r="W1015"/>
      <c r="Y1015"/>
      <c r="Z1015"/>
      <c r="AA1015"/>
      <c r="AD1015"/>
      <c r="AE1015"/>
      <c r="AF1015"/>
      <c r="AH1015"/>
      <c r="AI1015"/>
      <c r="AJ1015"/>
      <c r="AM1015"/>
    </row>
    <row r="1016" spans="3:39">
      <c r="C1016"/>
      <c r="D1016"/>
      <c r="E1016"/>
      <c r="F1016"/>
      <c r="G1016"/>
      <c r="H1016"/>
      <c r="I1016" s="740"/>
      <c r="V1016"/>
      <c r="W1016"/>
      <c r="Y1016"/>
      <c r="Z1016"/>
      <c r="AA1016"/>
      <c r="AD1016"/>
      <c r="AE1016"/>
      <c r="AF1016"/>
      <c r="AH1016"/>
      <c r="AI1016"/>
      <c r="AJ1016"/>
      <c r="AM1016"/>
    </row>
    <row r="1017" spans="3:39">
      <c r="C1017"/>
      <c r="D1017"/>
      <c r="E1017"/>
      <c r="F1017"/>
      <c r="G1017"/>
      <c r="H1017"/>
      <c r="I1017" s="740"/>
      <c r="V1017"/>
      <c r="W1017"/>
      <c r="Y1017"/>
      <c r="Z1017"/>
      <c r="AA1017"/>
      <c r="AD1017"/>
      <c r="AE1017"/>
      <c r="AF1017"/>
      <c r="AH1017"/>
      <c r="AI1017"/>
      <c r="AJ1017"/>
      <c r="AM1017"/>
    </row>
    <row r="1018" spans="3:39">
      <c r="C1018"/>
      <c r="D1018"/>
      <c r="E1018"/>
      <c r="F1018"/>
      <c r="G1018"/>
      <c r="H1018"/>
      <c r="I1018" s="740"/>
      <c r="V1018"/>
      <c r="W1018"/>
      <c r="Y1018"/>
      <c r="Z1018"/>
      <c r="AA1018"/>
      <c r="AD1018"/>
      <c r="AE1018"/>
      <c r="AF1018"/>
      <c r="AH1018"/>
      <c r="AI1018"/>
      <c r="AJ1018"/>
      <c r="AM1018"/>
    </row>
    <row r="1019" spans="3:39">
      <c r="C1019"/>
      <c r="D1019"/>
      <c r="E1019"/>
      <c r="F1019"/>
      <c r="G1019"/>
      <c r="H1019"/>
      <c r="I1019" s="740"/>
      <c r="V1019"/>
      <c r="W1019"/>
      <c r="Y1019"/>
      <c r="Z1019"/>
      <c r="AA1019"/>
      <c r="AD1019"/>
      <c r="AE1019"/>
      <c r="AF1019"/>
      <c r="AH1019"/>
      <c r="AI1019"/>
      <c r="AJ1019"/>
      <c r="AM1019"/>
    </row>
    <row r="1020" spans="3:39">
      <c r="C1020"/>
      <c r="D1020"/>
      <c r="E1020"/>
      <c r="F1020"/>
      <c r="G1020"/>
      <c r="H1020"/>
      <c r="I1020" s="740"/>
      <c r="V1020"/>
      <c r="W1020"/>
      <c r="Y1020"/>
      <c r="Z1020"/>
      <c r="AA1020"/>
      <c r="AD1020"/>
      <c r="AE1020"/>
      <c r="AF1020"/>
      <c r="AH1020"/>
      <c r="AI1020"/>
      <c r="AJ1020"/>
      <c r="AM1020"/>
    </row>
    <row r="1021" spans="3:39">
      <c r="C1021"/>
      <c r="D1021"/>
      <c r="E1021"/>
      <c r="F1021"/>
      <c r="G1021"/>
      <c r="H1021"/>
      <c r="I1021" s="740"/>
      <c r="V1021"/>
      <c r="W1021"/>
      <c r="Y1021"/>
      <c r="Z1021"/>
      <c r="AA1021"/>
      <c r="AD1021"/>
      <c r="AE1021"/>
      <c r="AF1021"/>
      <c r="AH1021"/>
      <c r="AI1021"/>
      <c r="AJ1021"/>
      <c r="AM1021"/>
    </row>
    <row r="1022" spans="3:39">
      <c r="C1022"/>
      <c r="D1022"/>
      <c r="E1022"/>
      <c r="F1022"/>
      <c r="G1022"/>
      <c r="H1022"/>
      <c r="I1022" s="740"/>
      <c r="V1022"/>
      <c r="W1022"/>
      <c r="Y1022"/>
      <c r="Z1022"/>
      <c r="AA1022"/>
      <c r="AD1022"/>
      <c r="AE1022"/>
      <c r="AF1022"/>
      <c r="AH1022"/>
      <c r="AI1022"/>
      <c r="AJ1022"/>
      <c r="AM1022"/>
    </row>
    <row r="1023" spans="3:39">
      <c r="C1023"/>
      <c r="D1023"/>
      <c r="E1023"/>
      <c r="F1023"/>
      <c r="G1023"/>
      <c r="H1023"/>
      <c r="I1023" s="740"/>
      <c r="V1023"/>
      <c r="W1023"/>
      <c r="Y1023"/>
      <c r="Z1023"/>
      <c r="AA1023"/>
      <c r="AD1023"/>
      <c r="AE1023"/>
      <c r="AF1023"/>
      <c r="AH1023"/>
      <c r="AI1023"/>
      <c r="AJ1023"/>
      <c r="AM1023"/>
    </row>
    <row r="1024" spans="3:39">
      <c r="C1024"/>
      <c r="D1024"/>
      <c r="E1024"/>
      <c r="F1024"/>
      <c r="G1024"/>
      <c r="H1024"/>
      <c r="I1024" s="740"/>
      <c r="V1024"/>
      <c r="W1024"/>
      <c r="Y1024"/>
      <c r="Z1024"/>
      <c r="AA1024"/>
      <c r="AD1024"/>
      <c r="AE1024"/>
      <c r="AF1024"/>
      <c r="AH1024"/>
      <c r="AI1024"/>
      <c r="AJ1024"/>
      <c r="AM1024"/>
    </row>
    <row r="1025" spans="3:39">
      <c r="C1025"/>
      <c r="D1025"/>
      <c r="E1025"/>
      <c r="F1025"/>
      <c r="G1025"/>
      <c r="H1025"/>
      <c r="I1025" s="740"/>
      <c r="V1025"/>
      <c r="W1025"/>
      <c r="Y1025"/>
      <c r="Z1025"/>
      <c r="AA1025"/>
      <c r="AD1025"/>
      <c r="AE1025"/>
      <c r="AF1025"/>
      <c r="AH1025"/>
      <c r="AI1025"/>
      <c r="AJ1025"/>
      <c r="AM1025"/>
    </row>
    <row r="1026" spans="3:39">
      <c r="C1026"/>
      <c r="D1026"/>
      <c r="E1026"/>
      <c r="F1026"/>
      <c r="G1026"/>
      <c r="H1026"/>
      <c r="I1026" s="740"/>
      <c r="V1026"/>
      <c r="W1026"/>
      <c r="Y1026"/>
      <c r="Z1026"/>
      <c r="AA1026"/>
      <c r="AD1026"/>
      <c r="AE1026"/>
      <c r="AF1026"/>
      <c r="AH1026"/>
      <c r="AI1026"/>
      <c r="AJ1026"/>
      <c r="AM1026"/>
    </row>
    <row r="1027" spans="3:39">
      <c r="C1027"/>
      <c r="D1027"/>
      <c r="E1027"/>
      <c r="F1027"/>
      <c r="G1027"/>
      <c r="H1027"/>
      <c r="I1027" s="740"/>
      <c r="V1027"/>
      <c r="W1027"/>
      <c r="Y1027"/>
      <c r="Z1027"/>
      <c r="AA1027"/>
      <c r="AD1027"/>
      <c r="AE1027"/>
      <c r="AF1027"/>
      <c r="AH1027"/>
      <c r="AI1027"/>
      <c r="AJ1027"/>
      <c r="AM1027"/>
    </row>
    <row r="1028" spans="3:39">
      <c r="C1028"/>
      <c r="D1028"/>
      <c r="E1028"/>
      <c r="F1028"/>
      <c r="G1028"/>
      <c r="H1028"/>
      <c r="I1028" s="740"/>
      <c r="V1028"/>
      <c r="W1028"/>
      <c r="Y1028"/>
      <c r="Z1028"/>
      <c r="AA1028"/>
      <c r="AD1028"/>
      <c r="AE1028"/>
      <c r="AF1028"/>
      <c r="AH1028"/>
      <c r="AI1028"/>
      <c r="AJ1028"/>
      <c r="AM1028"/>
    </row>
    <row r="1029" spans="3:39">
      <c r="C1029"/>
      <c r="D1029"/>
      <c r="E1029"/>
      <c r="F1029"/>
      <c r="G1029"/>
      <c r="H1029"/>
      <c r="I1029" s="740"/>
      <c r="V1029"/>
      <c r="W1029"/>
      <c r="Y1029"/>
      <c r="Z1029"/>
      <c r="AA1029"/>
      <c r="AD1029"/>
      <c r="AE1029"/>
      <c r="AF1029"/>
      <c r="AH1029"/>
      <c r="AI1029"/>
      <c r="AJ1029"/>
      <c r="AM1029"/>
    </row>
    <row r="1030" spans="3:39">
      <c r="C1030"/>
      <c r="D1030"/>
      <c r="E1030"/>
      <c r="F1030"/>
      <c r="G1030"/>
      <c r="H1030"/>
      <c r="I1030" s="740"/>
      <c r="V1030"/>
      <c r="W1030"/>
      <c r="Y1030"/>
      <c r="Z1030"/>
      <c r="AA1030"/>
      <c r="AD1030"/>
      <c r="AE1030"/>
      <c r="AF1030"/>
      <c r="AH1030"/>
      <c r="AI1030"/>
      <c r="AJ1030"/>
      <c r="AM1030"/>
    </row>
    <row r="1031" spans="3:39">
      <c r="C1031"/>
      <c r="D1031"/>
      <c r="E1031"/>
      <c r="F1031"/>
      <c r="G1031"/>
      <c r="H1031"/>
      <c r="I1031" s="740"/>
      <c r="V1031"/>
      <c r="W1031"/>
      <c r="Y1031"/>
      <c r="Z1031"/>
      <c r="AA1031"/>
      <c r="AD1031"/>
      <c r="AE1031"/>
      <c r="AF1031"/>
      <c r="AH1031"/>
      <c r="AI1031"/>
      <c r="AJ1031"/>
      <c r="AM1031"/>
    </row>
    <row r="1032" spans="3:39">
      <c r="C1032"/>
      <c r="D1032"/>
      <c r="E1032"/>
      <c r="F1032"/>
      <c r="G1032"/>
      <c r="H1032"/>
      <c r="I1032" s="740"/>
      <c r="V1032"/>
      <c r="W1032"/>
      <c r="Y1032"/>
      <c r="Z1032"/>
      <c r="AA1032"/>
      <c r="AD1032"/>
      <c r="AE1032"/>
      <c r="AF1032"/>
      <c r="AH1032"/>
      <c r="AI1032"/>
      <c r="AJ1032"/>
      <c r="AM1032"/>
    </row>
    <row r="1033" spans="3:39">
      <c r="C1033"/>
      <c r="D1033"/>
      <c r="E1033"/>
      <c r="F1033"/>
      <c r="G1033"/>
      <c r="H1033"/>
      <c r="I1033" s="740"/>
      <c r="V1033"/>
      <c r="W1033"/>
      <c r="Y1033"/>
      <c r="Z1033"/>
      <c r="AA1033"/>
      <c r="AD1033"/>
      <c r="AE1033"/>
      <c r="AF1033"/>
      <c r="AH1033"/>
      <c r="AI1033"/>
      <c r="AJ1033"/>
      <c r="AM1033"/>
    </row>
    <row r="1034" spans="3:39">
      <c r="C1034"/>
      <c r="D1034"/>
      <c r="E1034"/>
      <c r="F1034"/>
      <c r="G1034"/>
      <c r="H1034"/>
      <c r="I1034" s="740"/>
      <c r="V1034"/>
      <c r="W1034"/>
      <c r="Y1034"/>
      <c r="Z1034"/>
      <c r="AA1034"/>
      <c r="AD1034"/>
      <c r="AE1034"/>
      <c r="AF1034"/>
      <c r="AH1034"/>
      <c r="AI1034"/>
      <c r="AJ1034"/>
      <c r="AM1034"/>
    </row>
    <row r="1035" spans="3:39">
      <c r="C1035"/>
      <c r="D1035"/>
      <c r="E1035"/>
      <c r="F1035"/>
      <c r="G1035"/>
      <c r="H1035"/>
      <c r="I1035" s="740"/>
      <c r="V1035"/>
      <c r="W1035"/>
      <c r="Y1035"/>
      <c r="Z1035"/>
      <c r="AA1035"/>
      <c r="AD1035"/>
      <c r="AE1035"/>
      <c r="AF1035"/>
      <c r="AH1035"/>
      <c r="AI1035"/>
      <c r="AJ1035"/>
      <c r="AM1035"/>
    </row>
    <row r="1036" spans="3:39">
      <c r="C1036"/>
      <c r="D1036"/>
      <c r="E1036"/>
      <c r="F1036"/>
      <c r="G1036"/>
      <c r="H1036"/>
      <c r="I1036" s="740"/>
      <c r="V1036"/>
      <c r="W1036"/>
      <c r="Y1036"/>
      <c r="Z1036"/>
      <c r="AA1036"/>
      <c r="AD1036"/>
      <c r="AE1036"/>
      <c r="AF1036"/>
      <c r="AH1036"/>
      <c r="AI1036"/>
      <c r="AJ1036"/>
      <c r="AM1036"/>
    </row>
    <row r="1037" spans="3:39">
      <c r="C1037"/>
      <c r="D1037"/>
      <c r="E1037"/>
      <c r="F1037"/>
      <c r="G1037"/>
      <c r="H1037"/>
      <c r="I1037" s="740"/>
      <c r="V1037"/>
      <c r="W1037"/>
      <c r="Y1037"/>
      <c r="Z1037"/>
      <c r="AA1037"/>
      <c r="AD1037"/>
      <c r="AE1037"/>
      <c r="AF1037"/>
      <c r="AH1037"/>
      <c r="AI1037"/>
      <c r="AJ1037"/>
      <c r="AM1037"/>
    </row>
    <row r="1038" spans="3:39">
      <c r="C1038"/>
      <c r="D1038"/>
      <c r="E1038"/>
      <c r="F1038"/>
      <c r="G1038"/>
      <c r="H1038"/>
      <c r="I1038" s="740"/>
      <c r="V1038"/>
      <c r="W1038"/>
      <c r="Y1038"/>
      <c r="Z1038"/>
      <c r="AA1038"/>
      <c r="AD1038"/>
      <c r="AE1038"/>
      <c r="AF1038"/>
      <c r="AH1038"/>
      <c r="AI1038"/>
      <c r="AJ1038"/>
      <c r="AM1038"/>
    </row>
    <row r="1039" spans="3:39">
      <c r="C1039"/>
      <c r="D1039"/>
      <c r="E1039"/>
      <c r="F1039"/>
      <c r="G1039"/>
      <c r="H1039"/>
      <c r="I1039" s="740"/>
      <c r="V1039"/>
      <c r="W1039"/>
      <c r="Y1039"/>
      <c r="Z1039"/>
      <c r="AA1039"/>
      <c r="AD1039"/>
      <c r="AE1039"/>
      <c r="AF1039"/>
      <c r="AH1039"/>
      <c r="AI1039"/>
      <c r="AJ1039"/>
      <c r="AM1039"/>
    </row>
    <row r="1040" spans="3:39">
      <c r="C1040"/>
      <c r="D1040"/>
      <c r="E1040"/>
      <c r="F1040"/>
      <c r="G1040"/>
      <c r="H1040"/>
      <c r="I1040" s="740"/>
      <c r="V1040"/>
      <c r="W1040"/>
      <c r="Y1040"/>
      <c r="Z1040"/>
      <c r="AA1040"/>
      <c r="AD1040"/>
      <c r="AE1040"/>
      <c r="AF1040"/>
      <c r="AH1040"/>
      <c r="AI1040"/>
      <c r="AJ1040"/>
      <c r="AM1040"/>
    </row>
    <row r="1041" spans="3:39">
      <c r="C1041"/>
      <c r="D1041"/>
      <c r="E1041"/>
      <c r="F1041"/>
      <c r="G1041"/>
      <c r="H1041"/>
      <c r="I1041" s="740"/>
      <c r="V1041"/>
      <c r="W1041"/>
      <c r="Y1041"/>
      <c r="Z1041"/>
      <c r="AA1041"/>
      <c r="AD1041"/>
      <c r="AE1041"/>
      <c r="AF1041"/>
      <c r="AH1041"/>
      <c r="AI1041"/>
      <c r="AJ1041"/>
      <c r="AM1041"/>
    </row>
    <row r="1042" spans="3:39">
      <c r="C1042"/>
      <c r="D1042"/>
      <c r="E1042"/>
      <c r="F1042"/>
      <c r="G1042"/>
      <c r="H1042"/>
      <c r="I1042" s="740"/>
      <c r="V1042"/>
      <c r="W1042"/>
      <c r="Y1042"/>
      <c r="Z1042"/>
      <c r="AA1042"/>
      <c r="AD1042"/>
      <c r="AE1042"/>
      <c r="AF1042"/>
      <c r="AH1042"/>
      <c r="AI1042"/>
      <c r="AJ1042"/>
      <c r="AM1042"/>
    </row>
    <row r="1043" spans="3:39">
      <c r="C1043"/>
      <c r="D1043"/>
      <c r="E1043"/>
      <c r="F1043"/>
      <c r="G1043"/>
      <c r="H1043"/>
      <c r="I1043" s="740"/>
      <c r="V1043"/>
      <c r="W1043"/>
      <c r="Y1043"/>
      <c r="Z1043"/>
      <c r="AA1043"/>
      <c r="AD1043"/>
      <c r="AE1043"/>
      <c r="AF1043"/>
      <c r="AH1043"/>
      <c r="AI1043"/>
      <c r="AJ1043"/>
      <c r="AM1043"/>
    </row>
    <row r="1044" spans="3:39">
      <c r="C1044"/>
      <c r="D1044"/>
      <c r="E1044"/>
      <c r="F1044"/>
      <c r="G1044"/>
      <c r="H1044"/>
      <c r="I1044" s="740"/>
      <c r="V1044"/>
      <c r="W1044"/>
      <c r="Y1044"/>
      <c r="Z1044"/>
      <c r="AA1044"/>
      <c r="AD1044"/>
      <c r="AE1044"/>
      <c r="AF1044"/>
      <c r="AH1044"/>
      <c r="AI1044"/>
      <c r="AJ1044"/>
      <c r="AM1044"/>
    </row>
    <row r="1045" spans="3:39">
      <c r="C1045"/>
      <c r="D1045"/>
      <c r="E1045"/>
      <c r="F1045"/>
      <c r="G1045"/>
      <c r="H1045"/>
      <c r="I1045" s="740"/>
      <c r="V1045"/>
      <c r="W1045"/>
      <c r="Y1045"/>
      <c r="Z1045"/>
      <c r="AA1045"/>
      <c r="AD1045"/>
      <c r="AE1045"/>
      <c r="AF1045"/>
      <c r="AH1045"/>
      <c r="AI1045"/>
      <c r="AJ1045"/>
      <c r="AM1045"/>
    </row>
    <row r="1046" spans="3:39">
      <c r="C1046"/>
      <c r="D1046"/>
      <c r="E1046"/>
      <c r="F1046"/>
      <c r="G1046"/>
      <c r="H1046"/>
      <c r="I1046" s="740"/>
      <c r="V1046"/>
      <c r="W1046"/>
      <c r="Y1046"/>
      <c r="Z1046"/>
      <c r="AA1046"/>
      <c r="AD1046"/>
      <c r="AE1046"/>
      <c r="AF1046"/>
      <c r="AH1046"/>
      <c r="AI1046"/>
      <c r="AJ1046"/>
      <c r="AM1046"/>
    </row>
    <row r="1047" spans="3:39">
      <c r="C1047"/>
      <c r="D1047"/>
      <c r="E1047"/>
      <c r="F1047"/>
      <c r="G1047"/>
      <c r="H1047"/>
      <c r="I1047" s="740"/>
      <c r="V1047"/>
      <c r="W1047"/>
      <c r="Y1047"/>
      <c r="Z1047"/>
      <c r="AA1047"/>
      <c r="AD1047"/>
      <c r="AE1047"/>
      <c r="AF1047"/>
      <c r="AH1047"/>
      <c r="AI1047"/>
      <c r="AJ1047"/>
      <c r="AM1047"/>
    </row>
    <row r="1048" spans="3:39">
      <c r="C1048"/>
      <c r="D1048"/>
      <c r="E1048"/>
      <c r="F1048"/>
      <c r="G1048"/>
      <c r="H1048"/>
      <c r="I1048" s="740"/>
      <c r="V1048"/>
      <c r="W1048"/>
      <c r="Y1048"/>
      <c r="Z1048"/>
      <c r="AA1048"/>
      <c r="AD1048"/>
      <c r="AE1048"/>
      <c r="AF1048"/>
      <c r="AH1048"/>
      <c r="AI1048"/>
      <c r="AJ1048"/>
      <c r="AM1048"/>
    </row>
    <row r="1049" spans="3:39">
      <c r="C1049"/>
      <c r="D1049"/>
      <c r="E1049"/>
      <c r="F1049"/>
      <c r="G1049"/>
      <c r="H1049"/>
      <c r="I1049" s="740"/>
      <c r="V1049"/>
      <c r="W1049"/>
      <c r="Y1049"/>
      <c r="Z1049"/>
      <c r="AA1049"/>
      <c r="AD1049"/>
      <c r="AE1049"/>
      <c r="AF1049"/>
      <c r="AH1049"/>
      <c r="AI1049"/>
      <c r="AJ1049"/>
      <c r="AM1049"/>
    </row>
    <row r="1050" spans="3:39">
      <c r="C1050"/>
      <c r="D1050"/>
      <c r="E1050"/>
      <c r="F1050"/>
      <c r="G1050"/>
      <c r="H1050"/>
      <c r="I1050" s="740"/>
      <c r="V1050"/>
      <c r="W1050"/>
      <c r="Y1050"/>
      <c r="Z1050"/>
      <c r="AA1050"/>
      <c r="AD1050"/>
      <c r="AE1050"/>
      <c r="AF1050"/>
      <c r="AH1050"/>
      <c r="AI1050"/>
      <c r="AJ1050"/>
      <c r="AM1050"/>
    </row>
    <row r="1051" spans="3:39">
      <c r="C1051"/>
      <c r="D1051"/>
      <c r="E1051"/>
      <c r="F1051"/>
      <c r="G1051"/>
      <c r="H1051"/>
      <c r="I1051" s="740"/>
      <c r="V1051"/>
      <c r="W1051"/>
      <c r="Y1051"/>
      <c r="Z1051"/>
      <c r="AA1051"/>
      <c r="AD1051"/>
      <c r="AE1051"/>
      <c r="AF1051"/>
      <c r="AH1051"/>
      <c r="AI1051"/>
      <c r="AJ1051"/>
      <c r="AM1051"/>
    </row>
    <row r="1052" spans="3:39">
      <c r="C1052"/>
      <c r="D1052"/>
      <c r="E1052"/>
      <c r="F1052"/>
      <c r="G1052"/>
      <c r="H1052"/>
      <c r="I1052" s="740"/>
      <c r="V1052"/>
      <c r="W1052"/>
      <c r="Y1052"/>
      <c r="Z1052"/>
      <c r="AA1052"/>
      <c r="AD1052"/>
      <c r="AE1052"/>
      <c r="AF1052"/>
      <c r="AH1052"/>
      <c r="AI1052"/>
      <c r="AJ1052"/>
      <c r="AM1052"/>
    </row>
    <row r="1053" spans="3:39">
      <c r="C1053"/>
      <c r="D1053"/>
      <c r="E1053"/>
      <c r="F1053"/>
      <c r="G1053"/>
      <c r="H1053"/>
      <c r="I1053" s="740"/>
      <c r="V1053"/>
      <c r="W1053"/>
      <c r="Y1053"/>
      <c r="Z1053"/>
      <c r="AA1053"/>
      <c r="AD1053"/>
      <c r="AE1053"/>
      <c r="AF1053"/>
      <c r="AH1053"/>
      <c r="AI1053"/>
      <c r="AJ1053"/>
      <c r="AM1053"/>
    </row>
    <row r="1054" spans="3:39">
      <c r="C1054"/>
      <c r="D1054"/>
      <c r="E1054"/>
      <c r="F1054"/>
      <c r="G1054"/>
      <c r="H1054"/>
      <c r="I1054" s="740"/>
      <c r="V1054"/>
      <c r="W1054"/>
      <c r="Y1054"/>
      <c r="Z1054"/>
      <c r="AA1054"/>
      <c r="AD1054"/>
      <c r="AE1054"/>
      <c r="AF1054"/>
      <c r="AH1054"/>
      <c r="AI1054"/>
      <c r="AJ1054"/>
      <c r="AM1054"/>
    </row>
    <row r="1055" spans="3:39">
      <c r="C1055"/>
      <c r="D1055"/>
      <c r="E1055"/>
      <c r="F1055"/>
      <c r="G1055"/>
      <c r="H1055"/>
      <c r="I1055" s="740"/>
      <c r="V1055"/>
      <c r="W1055"/>
      <c r="Y1055"/>
      <c r="Z1055"/>
      <c r="AA1055"/>
      <c r="AD1055"/>
      <c r="AE1055"/>
      <c r="AF1055"/>
      <c r="AH1055"/>
      <c r="AI1055"/>
      <c r="AJ1055"/>
      <c r="AM1055"/>
    </row>
    <row r="1056" spans="3:39">
      <c r="C1056"/>
      <c r="D1056"/>
      <c r="E1056"/>
      <c r="F1056"/>
      <c r="G1056"/>
      <c r="H1056"/>
      <c r="I1056" s="740"/>
      <c r="V1056"/>
      <c r="W1056"/>
      <c r="Y1056"/>
      <c r="Z1056"/>
      <c r="AA1056"/>
      <c r="AD1056"/>
      <c r="AE1056"/>
      <c r="AF1056"/>
      <c r="AH1056"/>
      <c r="AI1056"/>
      <c r="AJ1056"/>
      <c r="AM1056"/>
    </row>
    <row r="1057" spans="3:39">
      <c r="C1057"/>
      <c r="D1057"/>
      <c r="E1057"/>
      <c r="F1057"/>
      <c r="G1057"/>
      <c r="H1057"/>
      <c r="I1057" s="740"/>
      <c r="V1057"/>
      <c r="W1057"/>
      <c r="Y1057"/>
      <c r="Z1057"/>
      <c r="AA1057"/>
      <c r="AD1057"/>
      <c r="AE1057"/>
      <c r="AF1057"/>
      <c r="AH1057"/>
      <c r="AI1057"/>
      <c r="AJ1057"/>
      <c r="AM1057"/>
    </row>
    <row r="1058" spans="3:39">
      <c r="C1058"/>
      <c r="D1058"/>
      <c r="E1058"/>
      <c r="F1058"/>
      <c r="G1058"/>
      <c r="H1058"/>
      <c r="I1058" s="740"/>
      <c r="V1058"/>
      <c r="W1058"/>
      <c r="Y1058"/>
      <c r="Z1058"/>
      <c r="AA1058"/>
      <c r="AD1058"/>
      <c r="AE1058"/>
      <c r="AF1058"/>
      <c r="AH1058"/>
      <c r="AI1058"/>
      <c r="AJ1058"/>
      <c r="AM1058"/>
    </row>
    <row r="1059" spans="3:39">
      <c r="C1059"/>
      <c r="D1059"/>
      <c r="E1059"/>
      <c r="F1059"/>
      <c r="G1059"/>
      <c r="H1059"/>
      <c r="I1059" s="740"/>
      <c r="V1059"/>
      <c r="W1059"/>
      <c r="Y1059"/>
      <c r="Z1059"/>
      <c r="AA1059"/>
      <c r="AD1059"/>
      <c r="AE1059"/>
      <c r="AF1059"/>
      <c r="AH1059"/>
      <c r="AI1059"/>
      <c r="AJ1059"/>
      <c r="AM1059"/>
    </row>
    <row r="1060" spans="3:39">
      <c r="C1060"/>
      <c r="D1060"/>
      <c r="E1060"/>
      <c r="F1060"/>
      <c r="G1060"/>
      <c r="H1060"/>
      <c r="I1060" s="740"/>
      <c r="V1060"/>
      <c r="W1060"/>
      <c r="Y1060"/>
      <c r="Z1060"/>
      <c r="AA1060"/>
      <c r="AD1060"/>
      <c r="AE1060"/>
      <c r="AF1060"/>
      <c r="AH1060"/>
      <c r="AI1060"/>
      <c r="AJ1060"/>
      <c r="AM1060"/>
    </row>
    <row r="1061" spans="3:39">
      <c r="C1061"/>
      <c r="D1061"/>
      <c r="E1061"/>
      <c r="F1061"/>
      <c r="G1061"/>
      <c r="H1061"/>
      <c r="I1061" s="740"/>
      <c r="V1061"/>
      <c r="W1061"/>
      <c r="Y1061"/>
      <c r="Z1061"/>
      <c r="AA1061"/>
      <c r="AD1061"/>
      <c r="AE1061"/>
      <c r="AF1061"/>
      <c r="AH1061"/>
      <c r="AI1061"/>
      <c r="AJ1061"/>
      <c r="AM1061"/>
    </row>
    <row r="1062" spans="3:39">
      <c r="C1062"/>
      <c r="D1062"/>
      <c r="E1062"/>
      <c r="F1062"/>
      <c r="G1062"/>
      <c r="H1062"/>
      <c r="I1062" s="740"/>
      <c r="V1062"/>
      <c r="W1062"/>
      <c r="Y1062"/>
      <c r="Z1062"/>
      <c r="AA1062"/>
      <c r="AD1062"/>
      <c r="AE1062"/>
      <c r="AF1062"/>
      <c r="AH1062"/>
      <c r="AI1062"/>
      <c r="AJ1062"/>
      <c r="AM1062"/>
    </row>
    <row r="1063" spans="3:39">
      <c r="C1063"/>
      <c r="D1063"/>
      <c r="E1063"/>
      <c r="F1063"/>
      <c r="G1063"/>
      <c r="H1063"/>
      <c r="I1063" s="740"/>
      <c r="V1063"/>
      <c r="W1063"/>
      <c r="Y1063"/>
      <c r="Z1063"/>
      <c r="AA1063"/>
      <c r="AD1063"/>
      <c r="AE1063"/>
      <c r="AF1063"/>
      <c r="AH1063"/>
      <c r="AI1063"/>
      <c r="AJ1063"/>
      <c r="AM1063"/>
    </row>
    <row r="1064" spans="3:39">
      <c r="C1064"/>
      <c r="D1064"/>
      <c r="E1064"/>
      <c r="F1064"/>
      <c r="G1064"/>
      <c r="H1064"/>
      <c r="I1064" s="740"/>
      <c r="V1064"/>
      <c r="W1064"/>
      <c r="Y1064"/>
      <c r="Z1064"/>
      <c r="AA1064"/>
      <c r="AD1064"/>
      <c r="AE1064"/>
      <c r="AF1064"/>
      <c r="AH1064"/>
      <c r="AI1064"/>
      <c r="AJ1064"/>
      <c r="AM1064"/>
    </row>
    <row r="1065" spans="3:39">
      <c r="C1065"/>
      <c r="D1065"/>
      <c r="E1065"/>
      <c r="F1065"/>
      <c r="G1065"/>
      <c r="H1065"/>
      <c r="I1065" s="740"/>
      <c r="V1065"/>
      <c r="W1065"/>
      <c r="Y1065"/>
      <c r="Z1065"/>
      <c r="AA1065"/>
      <c r="AD1065"/>
      <c r="AE1065"/>
      <c r="AF1065"/>
      <c r="AH1065"/>
      <c r="AI1065"/>
      <c r="AJ1065"/>
      <c r="AM1065"/>
    </row>
    <row r="1066" spans="3:39">
      <c r="C1066"/>
      <c r="D1066"/>
      <c r="E1066"/>
      <c r="F1066"/>
      <c r="G1066"/>
      <c r="H1066"/>
      <c r="I1066" s="740"/>
      <c r="V1066"/>
      <c r="W1066"/>
      <c r="Y1066"/>
      <c r="Z1066"/>
      <c r="AA1066"/>
      <c r="AD1066"/>
      <c r="AE1066"/>
      <c r="AF1066"/>
      <c r="AH1066"/>
      <c r="AI1066"/>
      <c r="AJ1066"/>
      <c r="AM1066"/>
    </row>
    <row r="1067" spans="3:39">
      <c r="C1067"/>
      <c r="D1067"/>
      <c r="E1067"/>
      <c r="F1067"/>
      <c r="G1067"/>
      <c r="H1067"/>
      <c r="I1067" s="740"/>
      <c r="V1067"/>
      <c r="W1067"/>
      <c r="Y1067"/>
      <c r="Z1067"/>
      <c r="AA1067"/>
      <c r="AD1067"/>
      <c r="AE1067"/>
      <c r="AF1067"/>
      <c r="AH1067"/>
      <c r="AI1067"/>
      <c r="AJ1067"/>
      <c r="AM1067"/>
    </row>
    <row r="1068" spans="3:39">
      <c r="C1068"/>
      <c r="D1068"/>
      <c r="E1068"/>
      <c r="F1068"/>
      <c r="G1068"/>
      <c r="H1068"/>
      <c r="I1068" s="740"/>
      <c r="V1068"/>
      <c r="W1068"/>
      <c r="Y1068"/>
      <c r="Z1068"/>
      <c r="AA1068"/>
      <c r="AD1068"/>
      <c r="AE1068"/>
      <c r="AF1068"/>
      <c r="AH1068"/>
      <c r="AI1068"/>
      <c r="AJ1068"/>
      <c r="AM1068"/>
    </row>
    <row r="1069" spans="3:39">
      <c r="C1069"/>
      <c r="D1069"/>
      <c r="E1069"/>
      <c r="F1069"/>
      <c r="G1069"/>
      <c r="H1069"/>
      <c r="I1069" s="740"/>
      <c r="V1069"/>
      <c r="W1069"/>
      <c r="Y1069"/>
      <c r="Z1069"/>
      <c r="AA1069"/>
      <c r="AD1069"/>
      <c r="AE1069"/>
      <c r="AF1069"/>
      <c r="AH1069"/>
      <c r="AI1069"/>
      <c r="AJ1069"/>
      <c r="AM1069"/>
    </row>
    <row r="1070" spans="3:39">
      <c r="C1070"/>
      <c r="D1070"/>
      <c r="E1070"/>
      <c r="F1070"/>
      <c r="G1070"/>
      <c r="H1070"/>
      <c r="I1070" s="740"/>
      <c r="V1070"/>
      <c r="W1070"/>
      <c r="Y1070"/>
      <c r="Z1070"/>
      <c r="AA1070"/>
      <c r="AD1070"/>
      <c r="AE1070"/>
      <c r="AF1070"/>
      <c r="AH1070"/>
      <c r="AI1070"/>
      <c r="AJ1070"/>
      <c r="AM1070"/>
    </row>
    <row r="1071" spans="3:39">
      <c r="C1071"/>
      <c r="D1071"/>
      <c r="E1071"/>
      <c r="F1071"/>
      <c r="G1071"/>
      <c r="H1071"/>
      <c r="I1071" s="740"/>
      <c r="V1071"/>
      <c r="W1071"/>
      <c r="Y1071"/>
      <c r="Z1071"/>
      <c r="AA1071"/>
      <c r="AD1071"/>
      <c r="AE1071"/>
      <c r="AF1071"/>
      <c r="AH1071"/>
      <c r="AI1071"/>
      <c r="AJ1071"/>
      <c r="AM1071"/>
    </row>
    <row r="1072" spans="3:39">
      <c r="C1072"/>
      <c r="D1072"/>
      <c r="E1072"/>
      <c r="F1072"/>
      <c r="G1072"/>
      <c r="H1072"/>
      <c r="I1072" s="740"/>
      <c r="V1072"/>
      <c r="W1072"/>
      <c r="Y1072"/>
      <c r="Z1072"/>
      <c r="AA1072"/>
      <c r="AD1072"/>
      <c r="AE1072"/>
      <c r="AF1072"/>
      <c r="AH1072"/>
      <c r="AI1072"/>
      <c r="AJ1072"/>
      <c r="AM1072"/>
    </row>
    <row r="1073" spans="3:39">
      <c r="C1073"/>
      <c r="D1073"/>
      <c r="E1073"/>
      <c r="F1073"/>
      <c r="G1073"/>
      <c r="H1073"/>
      <c r="I1073" s="740"/>
      <c r="V1073"/>
      <c r="W1073"/>
      <c r="Y1073"/>
      <c r="Z1073"/>
      <c r="AA1073"/>
      <c r="AD1073"/>
      <c r="AE1073"/>
      <c r="AF1073"/>
      <c r="AH1073"/>
      <c r="AI1073"/>
      <c r="AJ1073"/>
      <c r="AM1073"/>
    </row>
    <row r="1074" spans="3:39">
      <c r="C1074"/>
      <c r="D1074"/>
      <c r="E1074"/>
      <c r="F1074"/>
      <c r="G1074"/>
      <c r="H1074"/>
      <c r="I1074" s="740"/>
      <c r="V1074"/>
      <c r="W1074"/>
      <c r="Y1074"/>
      <c r="Z1074"/>
      <c r="AA1074"/>
      <c r="AD1074"/>
      <c r="AE1074"/>
      <c r="AF1074"/>
      <c r="AH1074"/>
      <c r="AI1074"/>
      <c r="AJ1074"/>
      <c r="AM1074"/>
    </row>
    <row r="1075" spans="3:39">
      <c r="C1075"/>
      <c r="D1075"/>
      <c r="E1075"/>
      <c r="F1075"/>
      <c r="G1075"/>
      <c r="H1075"/>
      <c r="I1075" s="740"/>
      <c r="V1075"/>
      <c r="W1075"/>
      <c r="Y1075"/>
      <c r="Z1075"/>
      <c r="AA1075"/>
      <c r="AD1075"/>
      <c r="AE1075"/>
      <c r="AF1075"/>
      <c r="AH1075"/>
      <c r="AI1075"/>
      <c r="AJ1075"/>
      <c r="AM1075"/>
    </row>
    <row r="1076" spans="3:39">
      <c r="C1076"/>
      <c r="D1076"/>
      <c r="E1076"/>
      <c r="F1076"/>
      <c r="G1076"/>
      <c r="H1076"/>
      <c r="I1076" s="740"/>
      <c r="V1076"/>
      <c r="W1076"/>
      <c r="Y1076"/>
      <c r="Z1076"/>
      <c r="AA1076"/>
      <c r="AD1076"/>
      <c r="AE1076"/>
      <c r="AF1076"/>
      <c r="AH1076"/>
      <c r="AI1076"/>
      <c r="AJ1076"/>
      <c r="AM1076"/>
    </row>
    <row r="1077" spans="3:39">
      <c r="C1077"/>
      <c r="D1077"/>
      <c r="E1077"/>
      <c r="F1077"/>
      <c r="G1077"/>
      <c r="H1077"/>
      <c r="I1077" s="740"/>
      <c r="V1077"/>
      <c r="W1077"/>
      <c r="Y1077"/>
      <c r="Z1077"/>
      <c r="AA1077"/>
      <c r="AD1077"/>
      <c r="AE1077"/>
      <c r="AF1077"/>
      <c r="AH1077"/>
      <c r="AI1077"/>
      <c r="AJ1077"/>
      <c r="AM1077"/>
    </row>
    <row r="1078" spans="3:39">
      <c r="C1078"/>
      <c r="D1078"/>
      <c r="E1078"/>
      <c r="F1078"/>
      <c r="G1078"/>
      <c r="H1078"/>
      <c r="I1078" s="740"/>
      <c r="V1078"/>
      <c r="W1078"/>
      <c r="Y1078"/>
      <c r="Z1078"/>
      <c r="AA1078"/>
      <c r="AD1078"/>
      <c r="AE1078"/>
      <c r="AF1078"/>
      <c r="AH1078"/>
      <c r="AI1078"/>
      <c r="AJ1078"/>
      <c r="AM1078"/>
    </row>
    <row r="1079" spans="3:39">
      <c r="C1079"/>
      <c r="D1079"/>
      <c r="E1079"/>
      <c r="F1079"/>
      <c r="G1079"/>
      <c r="H1079"/>
      <c r="I1079" s="740"/>
      <c r="V1079"/>
      <c r="W1079"/>
      <c r="Y1079"/>
      <c r="Z1079"/>
      <c r="AA1079"/>
      <c r="AD1079"/>
      <c r="AE1079"/>
      <c r="AF1079"/>
      <c r="AH1079"/>
      <c r="AI1079"/>
      <c r="AJ1079"/>
      <c r="AM1079"/>
    </row>
    <row r="1080" spans="3:39">
      <c r="C1080"/>
      <c r="D1080"/>
      <c r="E1080"/>
      <c r="F1080"/>
      <c r="G1080"/>
      <c r="H1080"/>
      <c r="I1080" s="740"/>
      <c r="V1080"/>
      <c r="W1080"/>
      <c r="Y1080"/>
      <c r="Z1080"/>
      <c r="AA1080"/>
      <c r="AD1080"/>
      <c r="AE1080"/>
      <c r="AF1080"/>
      <c r="AH1080"/>
      <c r="AI1080"/>
      <c r="AJ1080"/>
      <c r="AM1080"/>
    </row>
    <row r="1081" spans="3:39">
      <c r="C1081"/>
      <c r="D1081"/>
      <c r="E1081"/>
      <c r="F1081"/>
      <c r="G1081"/>
      <c r="H1081"/>
      <c r="I1081" s="740"/>
      <c r="V1081"/>
      <c r="W1081"/>
      <c r="Y1081"/>
      <c r="Z1081"/>
      <c r="AA1081"/>
      <c r="AD1081"/>
      <c r="AE1081"/>
      <c r="AF1081"/>
      <c r="AH1081"/>
      <c r="AI1081"/>
      <c r="AJ1081"/>
      <c r="AM1081"/>
    </row>
    <row r="1082" spans="3:39">
      <c r="C1082"/>
      <c r="D1082"/>
      <c r="E1082"/>
      <c r="F1082"/>
      <c r="G1082"/>
      <c r="H1082"/>
      <c r="I1082" s="740"/>
      <c r="V1082"/>
      <c r="W1082"/>
      <c r="Y1082"/>
      <c r="Z1082"/>
      <c r="AA1082"/>
      <c r="AD1082"/>
      <c r="AE1082"/>
      <c r="AF1082"/>
      <c r="AH1082"/>
      <c r="AI1082"/>
      <c r="AJ1082"/>
      <c r="AM1082"/>
    </row>
    <row r="1083" spans="3:39">
      <c r="C1083"/>
      <c r="D1083"/>
      <c r="E1083"/>
      <c r="F1083"/>
      <c r="G1083"/>
      <c r="H1083"/>
      <c r="I1083" s="740"/>
      <c r="V1083"/>
      <c r="W1083"/>
      <c r="Y1083"/>
      <c r="Z1083"/>
      <c r="AA1083"/>
      <c r="AD1083"/>
      <c r="AE1083"/>
      <c r="AF1083"/>
      <c r="AH1083"/>
      <c r="AI1083"/>
      <c r="AJ1083"/>
      <c r="AM1083"/>
    </row>
    <row r="1084" spans="3:39">
      <c r="C1084"/>
      <c r="D1084"/>
      <c r="E1084"/>
      <c r="F1084"/>
      <c r="G1084"/>
      <c r="H1084"/>
      <c r="I1084" s="740"/>
      <c r="V1084"/>
      <c r="W1084"/>
      <c r="Y1084"/>
      <c r="Z1084"/>
      <c r="AA1084"/>
      <c r="AD1084"/>
      <c r="AE1084"/>
      <c r="AF1084"/>
      <c r="AH1084"/>
      <c r="AI1084"/>
      <c r="AJ1084"/>
      <c r="AM1084"/>
    </row>
    <row r="1085" spans="3:39">
      <c r="C1085"/>
      <c r="D1085"/>
      <c r="E1085"/>
      <c r="F1085"/>
      <c r="G1085"/>
      <c r="H1085"/>
      <c r="I1085" s="740"/>
      <c r="V1085"/>
      <c r="W1085"/>
      <c r="Y1085"/>
      <c r="Z1085"/>
      <c r="AA1085"/>
      <c r="AD1085"/>
      <c r="AE1085"/>
      <c r="AF1085"/>
      <c r="AH1085"/>
      <c r="AI1085"/>
      <c r="AJ1085"/>
      <c r="AM1085"/>
    </row>
    <row r="1086" spans="3:39">
      <c r="C1086"/>
      <c r="D1086"/>
      <c r="E1086"/>
      <c r="F1086"/>
      <c r="G1086"/>
      <c r="H1086"/>
      <c r="I1086" s="740"/>
      <c r="V1086"/>
      <c r="W1086"/>
      <c r="Y1086"/>
      <c r="Z1086"/>
      <c r="AA1086"/>
      <c r="AD1086"/>
      <c r="AE1086"/>
      <c r="AF1086"/>
      <c r="AH1086"/>
      <c r="AI1086"/>
      <c r="AJ1086"/>
      <c r="AM1086"/>
    </row>
    <row r="1087" spans="3:39">
      <c r="C1087"/>
      <c r="D1087"/>
      <c r="E1087"/>
      <c r="F1087"/>
      <c r="G1087"/>
      <c r="H1087"/>
      <c r="I1087" s="740"/>
      <c r="V1087"/>
      <c r="W1087"/>
      <c r="Y1087"/>
      <c r="Z1087"/>
      <c r="AA1087"/>
      <c r="AD1087"/>
      <c r="AE1087"/>
      <c r="AF1087"/>
      <c r="AH1087"/>
      <c r="AI1087"/>
      <c r="AJ1087"/>
      <c r="AM1087"/>
    </row>
    <row r="1088" spans="3:39">
      <c r="C1088"/>
      <c r="D1088"/>
      <c r="E1088"/>
      <c r="F1088"/>
      <c r="G1088"/>
      <c r="H1088"/>
      <c r="I1088" s="740"/>
      <c r="V1088"/>
      <c r="W1088"/>
      <c r="Y1088"/>
      <c r="Z1088"/>
      <c r="AA1088"/>
      <c r="AD1088"/>
      <c r="AE1088"/>
      <c r="AF1088"/>
      <c r="AH1088"/>
      <c r="AI1088"/>
      <c r="AJ1088"/>
      <c r="AM1088"/>
    </row>
    <row r="1089" spans="3:39">
      <c r="C1089"/>
      <c r="D1089"/>
      <c r="E1089"/>
      <c r="F1089"/>
      <c r="G1089"/>
      <c r="H1089"/>
      <c r="I1089" s="740"/>
      <c r="V1089"/>
      <c r="W1089"/>
      <c r="Y1089"/>
      <c r="Z1089"/>
      <c r="AA1089"/>
      <c r="AD1089"/>
      <c r="AE1089"/>
      <c r="AF1089"/>
      <c r="AH1089"/>
      <c r="AI1089"/>
      <c r="AJ1089"/>
      <c r="AM1089"/>
    </row>
    <row r="1090" spans="3:39">
      <c r="C1090"/>
      <c r="D1090"/>
      <c r="E1090"/>
      <c r="F1090"/>
      <c r="G1090"/>
      <c r="H1090"/>
      <c r="I1090" s="740"/>
      <c r="V1090"/>
      <c r="W1090"/>
      <c r="Y1090"/>
      <c r="Z1090"/>
      <c r="AA1090"/>
      <c r="AD1090"/>
      <c r="AE1090"/>
      <c r="AF1090"/>
      <c r="AH1090"/>
      <c r="AI1090"/>
      <c r="AJ1090"/>
      <c r="AM1090"/>
    </row>
    <row r="1091" spans="3:39">
      <c r="C1091"/>
      <c r="D1091"/>
      <c r="E1091"/>
      <c r="F1091"/>
      <c r="G1091"/>
      <c r="H1091"/>
      <c r="I1091" s="740"/>
      <c r="V1091"/>
      <c r="W1091"/>
      <c r="Y1091"/>
      <c r="Z1091"/>
      <c r="AA1091"/>
      <c r="AD1091"/>
      <c r="AE1091"/>
      <c r="AF1091"/>
      <c r="AH1091"/>
      <c r="AI1091"/>
      <c r="AJ1091"/>
      <c r="AM1091"/>
    </row>
    <row r="1092" spans="3:39">
      <c r="C1092"/>
      <c r="D1092"/>
      <c r="E1092"/>
      <c r="F1092"/>
      <c r="G1092"/>
      <c r="H1092"/>
      <c r="I1092" s="740"/>
      <c r="V1092"/>
      <c r="W1092"/>
      <c r="Y1092"/>
      <c r="Z1092"/>
      <c r="AA1092"/>
      <c r="AD1092"/>
      <c r="AE1092"/>
      <c r="AF1092"/>
      <c r="AH1092"/>
      <c r="AI1092"/>
      <c r="AJ1092"/>
      <c r="AM1092"/>
    </row>
    <row r="1093" spans="3:39">
      <c r="C1093"/>
      <c r="D1093"/>
      <c r="E1093"/>
      <c r="F1093"/>
      <c r="G1093"/>
      <c r="H1093"/>
      <c r="I1093" s="740"/>
      <c r="V1093"/>
      <c r="W1093"/>
      <c r="Y1093"/>
      <c r="Z1093"/>
      <c r="AA1093"/>
      <c r="AD1093"/>
      <c r="AE1093"/>
      <c r="AF1093"/>
      <c r="AH1093"/>
      <c r="AI1093"/>
      <c r="AJ1093"/>
      <c r="AM1093"/>
    </row>
    <row r="1094" spans="3:39">
      <c r="C1094"/>
      <c r="D1094"/>
      <c r="E1094"/>
      <c r="F1094"/>
      <c r="G1094"/>
      <c r="H1094"/>
      <c r="I1094" s="740"/>
      <c r="V1094"/>
      <c r="W1094"/>
      <c r="Y1094"/>
      <c r="Z1094"/>
      <c r="AA1094"/>
      <c r="AD1094"/>
      <c r="AE1094"/>
      <c r="AF1094"/>
      <c r="AH1094"/>
      <c r="AI1094"/>
      <c r="AJ1094"/>
      <c r="AM1094"/>
    </row>
    <row r="1095" spans="3:39">
      <c r="C1095"/>
      <c r="D1095"/>
      <c r="E1095"/>
      <c r="F1095"/>
      <c r="G1095"/>
      <c r="H1095"/>
      <c r="I1095" s="740"/>
      <c r="V1095"/>
      <c r="W1095"/>
      <c r="Y1095"/>
      <c r="Z1095"/>
      <c r="AA1095"/>
      <c r="AD1095"/>
      <c r="AE1095"/>
      <c r="AF1095"/>
      <c r="AH1095"/>
      <c r="AI1095"/>
      <c r="AJ1095"/>
      <c r="AM1095"/>
    </row>
    <row r="1096" spans="3:39">
      <c r="C1096"/>
      <c r="D1096"/>
      <c r="E1096"/>
      <c r="F1096"/>
      <c r="G1096"/>
      <c r="H1096"/>
      <c r="I1096" s="740"/>
      <c r="V1096"/>
      <c r="W1096"/>
      <c r="Y1096"/>
      <c r="Z1096"/>
      <c r="AA1096"/>
      <c r="AD1096"/>
      <c r="AE1096"/>
      <c r="AF1096"/>
      <c r="AH1096"/>
      <c r="AI1096"/>
      <c r="AJ1096"/>
      <c r="AM1096"/>
    </row>
    <row r="1097" spans="3:39">
      <c r="C1097"/>
      <c r="D1097"/>
      <c r="E1097"/>
      <c r="F1097"/>
      <c r="G1097"/>
      <c r="H1097"/>
      <c r="I1097" s="740"/>
      <c r="V1097"/>
      <c r="W1097"/>
      <c r="Y1097"/>
      <c r="Z1097"/>
      <c r="AA1097"/>
      <c r="AD1097"/>
      <c r="AE1097"/>
      <c r="AF1097"/>
      <c r="AH1097"/>
      <c r="AI1097"/>
      <c r="AJ1097"/>
      <c r="AM1097"/>
    </row>
    <row r="1098" spans="3:39">
      <c r="C1098"/>
      <c r="D1098"/>
      <c r="E1098"/>
      <c r="F1098"/>
      <c r="G1098"/>
      <c r="H1098"/>
      <c r="I1098" s="740"/>
      <c r="V1098"/>
      <c r="W1098"/>
      <c r="Y1098"/>
      <c r="Z1098"/>
      <c r="AA1098"/>
      <c r="AD1098"/>
      <c r="AE1098"/>
      <c r="AF1098"/>
      <c r="AH1098"/>
      <c r="AI1098"/>
      <c r="AJ1098"/>
      <c r="AM1098"/>
    </row>
    <row r="1099" spans="3:39">
      <c r="C1099"/>
      <c r="D1099"/>
      <c r="E1099"/>
      <c r="F1099"/>
      <c r="G1099"/>
      <c r="H1099"/>
      <c r="I1099" s="740"/>
      <c r="V1099"/>
      <c r="W1099"/>
      <c r="Y1099"/>
      <c r="Z1099"/>
      <c r="AA1099"/>
      <c r="AD1099"/>
      <c r="AE1099"/>
      <c r="AF1099"/>
      <c r="AH1099"/>
      <c r="AI1099"/>
      <c r="AJ1099"/>
      <c r="AM1099"/>
    </row>
    <row r="1100" spans="3:39">
      <c r="C1100"/>
      <c r="D1100"/>
      <c r="E1100"/>
      <c r="F1100"/>
      <c r="G1100"/>
      <c r="H1100"/>
      <c r="I1100" s="740"/>
      <c r="V1100"/>
      <c r="W1100"/>
      <c r="Y1100"/>
      <c r="Z1100"/>
      <c r="AA1100"/>
      <c r="AD1100"/>
      <c r="AE1100"/>
      <c r="AF1100"/>
      <c r="AH1100"/>
      <c r="AI1100"/>
      <c r="AJ1100"/>
      <c r="AM1100"/>
    </row>
    <row r="1101" spans="3:39">
      <c r="C1101"/>
      <c r="D1101"/>
      <c r="E1101"/>
      <c r="F1101"/>
      <c r="G1101"/>
      <c r="H1101"/>
      <c r="I1101" s="740"/>
      <c r="V1101"/>
      <c r="W1101"/>
      <c r="Y1101"/>
      <c r="Z1101"/>
      <c r="AA1101"/>
      <c r="AD1101"/>
      <c r="AE1101"/>
      <c r="AF1101"/>
      <c r="AH1101"/>
      <c r="AI1101"/>
      <c r="AJ1101"/>
      <c r="AM1101"/>
    </row>
    <row r="1102" spans="3:39">
      <c r="C1102"/>
      <c r="D1102"/>
      <c r="E1102"/>
      <c r="F1102"/>
      <c r="G1102"/>
      <c r="H1102"/>
      <c r="I1102" s="740"/>
      <c r="V1102"/>
      <c r="W1102"/>
      <c r="Y1102"/>
      <c r="Z1102"/>
      <c r="AA1102"/>
      <c r="AD1102"/>
      <c r="AE1102"/>
      <c r="AF1102"/>
      <c r="AH1102"/>
      <c r="AI1102"/>
      <c r="AJ1102"/>
      <c r="AM1102"/>
    </row>
    <row r="1103" spans="3:39">
      <c r="C1103"/>
      <c r="D1103"/>
      <c r="E1103"/>
      <c r="F1103"/>
      <c r="G1103"/>
      <c r="H1103"/>
      <c r="I1103" s="740"/>
      <c r="V1103"/>
      <c r="W1103"/>
      <c r="Y1103"/>
      <c r="Z1103"/>
      <c r="AA1103"/>
      <c r="AD1103"/>
      <c r="AE1103"/>
      <c r="AF1103"/>
      <c r="AH1103"/>
      <c r="AI1103"/>
      <c r="AJ1103"/>
      <c r="AM1103"/>
    </row>
    <row r="1104" spans="3:39">
      <c r="C1104"/>
      <c r="D1104"/>
      <c r="E1104"/>
      <c r="F1104"/>
      <c r="G1104"/>
      <c r="H1104"/>
      <c r="I1104" s="740"/>
      <c r="V1104"/>
      <c r="W1104"/>
      <c r="Y1104"/>
      <c r="Z1104"/>
      <c r="AA1104"/>
      <c r="AD1104"/>
      <c r="AE1104"/>
      <c r="AF1104"/>
      <c r="AH1104"/>
      <c r="AI1104"/>
      <c r="AJ1104"/>
      <c r="AM1104"/>
    </row>
    <row r="1105" spans="3:39">
      <c r="C1105"/>
      <c r="D1105"/>
      <c r="E1105"/>
      <c r="F1105"/>
      <c r="G1105"/>
      <c r="H1105"/>
      <c r="I1105" s="740"/>
      <c r="V1105"/>
      <c r="W1105"/>
      <c r="Y1105"/>
      <c r="Z1105"/>
      <c r="AA1105"/>
      <c r="AD1105"/>
      <c r="AE1105"/>
      <c r="AF1105"/>
      <c r="AH1105"/>
      <c r="AI1105"/>
      <c r="AJ1105"/>
      <c r="AM1105"/>
    </row>
    <row r="1106" spans="3:39">
      <c r="C1106"/>
      <c r="D1106"/>
      <c r="E1106"/>
      <c r="F1106"/>
      <c r="G1106"/>
      <c r="H1106"/>
      <c r="I1106" s="740"/>
      <c r="V1106"/>
      <c r="W1106"/>
      <c r="Y1106"/>
      <c r="Z1106"/>
      <c r="AA1106"/>
      <c r="AD1106"/>
      <c r="AE1106"/>
      <c r="AF1106"/>
      <c r="AH1106"/>
      <c r="AI1106"/>
      <c r="AJ1106"/>
      <c r="AM1106"/>
    </row>
    <row r="1107" spans="3:39">
      <c r="C1107"/>
      <c r="D1107"/>
      <c r="E1107"/>
      <c r="F1107"/>
      <c r="G1107"/>
      <c r="H1107"/>
      <c r="I1107" s="740"/>
      <c r="V1107"/>
      <c r="W1107"/>
      <c r="Y1107"/>
      <c r="Z1107"/>
      <c r="AA1107"/>
      <c r="AD1107"/>
      <c r="AE1107"/>
      <c r="AF1107"/>
      <c r="AH1107"/>
      <c r="AI1107"/>
      <c r="AJ1107"/>
      <c r="AM1107"/>
    </row>
    <row r="1108" spans="3:39">
      <c r="C1108"/>
      <c r="D1108"/>
      <c r="E1108"/>
      <c r="F1108"/>
      <c r="G1108"/>
      <c r="H1108"/>
      <c r="I1108" s="740"/>
      <c r="V1108"/>
      <c r="W1108"/>
      <c r="Y1108"/>
      <c r="Z1108"/>
      <c r="AA1108"/>
      <c r="AD1108"/>
      <c r="AE1108"/>
      <c r="AF1108"/>
      <c r="AH1108"/>
      <c r="AI1108"/>
      <c r="AJ1108"/>
      <c r="AM1108"/>
    </row>
    <row r="1109" spans="3:39">
      <c r="C1109"/>
      <c r="D1109"/>
      <c r="E1109"/>
      <c r="F1109"/>
      <c r="G1109"/>
      <c r="H1109"/>
      <c r="I1109" s="740"/>
      <c r="V1109"/>
      <c r="W1109"/>
      <c r="Y1109"/>
      <c r="Z1109"/>
      <c r="AA1109"/>
      <c r="AD1109"/>
      <c r="AE1109"/>
      <c r="AF1109"/>
      <c r="AH1109"/>
      <c r="AI1109"/>
      <c r="AJ1109"/>
      <c r="AM1109"/>
    </row>
    <row r="1110" spans="3:39">
      <c r="C1110"/>
      <c r="D1110"/>
      <c r="E1110"/>
      <c r="F1110"/>
      <c r="G1110"/>
      <c r="H1110"/>
      <c r="I1110" s="740"/>
      <c r="V1110"/>
      <c r="W1110"/>
      <c r="Y1110"/>
      <c r="Z1110"/>
      <c r="AA1110"/>
      <c r="AD1110"/>
      <c r="AE1110"/>
      <c r="AF1110"/>
      <c r="AH1110"/>
      <c r="AI1110"/>
      <c r="AJ1110"/>
      <c r="AM1110"/>
    </row>
    <row r="1111" spans="3:39">
      <c r="C1111"/>
      <c r="D1111"/>
      <c r="E1111"/>
      <c r="F1111"/>
      <c r="G1111"/>
      <c r="H1111"/>
      <c r="I1111" s="740"/>
      <c r="V1111"/>
      <c r="W1111"/>
      <c r="Y1111"/>
      <c r="Z1111"/>
      <c r="AA1111"/>
      <c r="AD1111"/>
      <c r="AE1111"/>
      <c r="AF1111"/>
      <c r="AH1111"/>
      <c r="AI1111"/>
      <c r="AJ1111"/>
      <c r="AM1111"/>
    </row>
    <row r="1112" spans="3:39">
      <c r="C1112"/>
      <c r="D1112"/>
      <c r="E1112"/>
      <c r="F1112"/>
      <c r="G1112"/>
      <c r="H1112"/>
      <c r="I1112" s="740"/>
      <c r="V1112"/>
      <c r="W1112"/>
      <c r="Y1112"/>
      <c r="Z1112"/>
      <c r="AA1112"/>
      <c r="AD1112"/>
      <c r="AE1112"/>
      <c r="AF1112"/>
      <c r="AH1112"/>
      <c r="AI1112"/>
      <c r="AJ1112"/>
      <c r="AM1112"/>
    </row>
    <row r="1113" spans="3:39">
      <c r="C1113"/>
      <c r="D1113"/>
      <c r="E1113"/>
      <c r="F1113"/>
      <c r="G1113"/>
      <c r="H1113"/>
      <c r="I1113" s="740"/>
      <c r="V1113"/>
      <c r="W1113"/>
      <c r="Y1113"/>
      <c r="Z1113"/>
      <c r="AA1113"/>
      <c r="AD1113"/>
      <c r="AE1113"/>
      <c r="AF1113"/>
      <c r="AH1113"/>
      <c r="AI1113"/>
      <c r="AJ1113"/>
      <c r="AM1113"/>
    </row>
    <row r="1114" spans="3:39">
      <c r="C1114"/>
      <c r="D1114"/>
      <c r="E1114"/>
      <c r="F1114"/>
      <c r="G1114"/>
      <c r="H1114"/>
      <c r="I1114" s="740"/>
      <c r="V1114"/>
      <c r="W1114"/>
      <c r="Y1114"/>
      <c r="Z1114"/>
      <c r="AA1114"/>
      <c r="AD1114"/>
      <c r="AE1114"/>
      <c r="AF1114"/>
      <c r="AH1114"/>
      <c r="AI1114"/>
      <c r="AJ1114"/>
      <c r="AM1114"/>
    </row>
    <row r="1115" spans="3:39">
      <c r="C1115"/>
      <c r="D1115"/>
      <c r="E1115"/>
      <c r="F1115"/>
      <c r="G1115"/>
      <c r="H1115"/>
      <c r="I1115" s="740"/>
      <c r="V1115"/>
      <c r="W1115"/>
      <c r="Y1115"/>
      <c r="Z1115"/>
      <c r="AA1115"/>
      <c r="AD1115"/>
      <c r="AE1115"/>
      <c r="AF1115"/>
      <c r="AH1115"/>
      <c r="AI1115"/>
      <c r="AJ1115"/>
      <c r="AM1115"/>
    </row>
    <row r="1116" spans="3:39">
      <c r="C1116"/>
      <c r="D1116"/>
      <c r="E1116"/>
      <c r="F1116"/>
      <c r="G1116"/>
      <c r="H1116"/>
      <c r="I1116" s="740"/>
      <c r="V1116"/>
      <c r="W1116"/>
      <c r="Y1116"/>
      <c r="Z1116"/>
      <c r="AA1116"/>
      <c r="AD1116"/>
      <c r="AE1116"/>
      <c r="AF1116"/>
      <c r="AH1116"/>
      <c r="AI1116"/>
      <c r="AJ1116"/>
      <c r="AM1116"/>
    </row>
    <row r="1117" spans="3:39">
      <c r="C1117"/>
      <c r="D1117"/>
      <c r="E1117"/>
      <c r="F1117"/>
      <c r="G1117"/>
      <c r="H1117"/>
      <c r="I1117" s="740"/>
      <c r="V1117"/>
      <c r="W1117"/>
      <c r="Y1117"/>
      <c r="Z1117"/>
      <c r="AA1117"/>
      <c r="AD1117"/>
      <c r="AE1117"/>
      <c r="AF1117"/>
      <c r="AH1117"/>
      <c r="AI1117"/>
      <c r="AJ1117"/>
      <c r="AM1117"/>
    </row>
    <row r="1118" spans="3:39">
      <c r="C1118"/>
      <c r="D1118"/>
      <c r="E1118"/>
      <c r="F1118"/>
      <c r="G1118"/>
      <c r="H1118"/>
      <c r="I1118" s="740"/>
      <c r="V1118"/>
      <c r="W1118"/>
      <c r="Y1118"/>
      <c r="Z1118"/>
      <c r="AA1118"/>
      <c r="AD1118"/>
      <c r="AE1118"/>
      <c r="AF1118"/>
      <c r="AH1118"/>
      <c r="AI1118"/>
      <c r="AJ1118"/>
      <c r="AM1118"/>
    </row>
    <row r="1119" spans="3:39">
      <c r="C1119"/>
      <c r="D1119"/>
      <c r="E1119"/>
      <c r="F1119"/>
      <c r="G1119"/>
      <c r="H1119"/>
      <c r="I1119" s="740"/>
      <c r="V1119"/>
      <c r="W1119"/>
      <c r="Y1119"/>
      <c r="Z1119"/>
      <c r="AA1119"/>
      <c r="AD1119"/>
      <c r="AE1119"/>
      <c r="AF1119"/>
      <c r="AH1119"/>
      <c r="AI1119"/>
      <c r="AJ1119"/>
      <c r="AM1119"/>
    </row>
    <row r="1120" spans="3:39">
      <c r="C1120"/>
      <c r="D1120"/>
      <c r="E1120"/>
      <c r="F1120"/>
      <c r="G1120"/>
      <c r="H1120"/>
      <c r="I1120" s="740"/>
      <c r="V1120"/>
      <c r="W1120"/>
      <c r="Y1120"/>
      <c r="Z1120"/>
      <c r="AA1120"/>
      <c r="AD1120"/>
      <c r="AE1120"/>
      <c r="AF1120"/>
      <c r="AH1120"/>
      <c r="AI1120"/>
      <c r="AJ1120"/>
      <c r="AM1120"/>
    </row>
    <row r="1121" spans="3:39">
      <c r="C1121"/>
      <c r="D1121"/>
      <c r="E1121"/>
      <c r="F1121"/>
      <c r="G1121"/>
      <c r="H1121"/>
      <c r="I1121" s="740"/>
      <c r="V1121"/>
      <c r="W1121"/>
      <c r="Y1121"/>
      <c r="Z1121"/>
      <c r="AA1121"/>
      <c r="AD1121"/>
      <c r="AE1121"/>
      <c r="AF1121"/>
      <c r="AH1121"/>
      <c r="AI1121"/>
      <c r="AJ1121"/>
      <c r="AM1121"/>
    </row>
    <row r="1122" spans="3:39">
      <c r="C1122"/>
      <c r="D1122"/>
      <c r="E1122"/>
      <c r="F1122"/>
      <c r="G1122"/>
      <c r="H1122"/>
      <c r="I1122" s="740"/>
      <c r="V1122"/>
      <c r="W1122"/>
      <c r="Y1122"/>
      <c r="Z1122"/>
      <c r="AA1122"/>
      <c r="AD1122"/>
      <c r="AE1122"/>
      <c r="AF1122"/>
      <c r="AH1122"/>
      <c r="AI1122"/>
      <c r="AJ1122"/>
      <c r="AM1122"/>
    </row>
    <row r="1123" spans="3:39">
      <c r="C1123"/>
      <c r="D1123"/>
      <c r="E1123"/>
      <c r="F1123"/>
      <c r="G1123"/>
      <c r="H1123"/>
      <c r="I1123" s="740"/>
      <c r="V1123"/>
      <c r="W1123"/>
      <c r="Y1123"/>
      <c r="Z1123"/>
      <c r="AA1123"/>
      <c r="AD1123"/>
      <c r="AE1123"/>
      <c r="AF1123"/>
      <c r="AH1123"/>
      <c r="AI1123"/>
      <c r="AJ1123"/>
      <c r="AM1123"/>
    </row>
    <row r="1124" spans="3:39">
      <c r="C1124"/>
      <c r="D1124"/>
      <c r="E1124"/>
      <c r="F1124"/>
      <c r="G1124"/>
      <c r="H1124"/>
      <c r="I1124" s="740"/>
      <c r="V1124"/>
      <c r="W1124"/>
      <c r="Y1124"/>
      <c r="Z1124"/>
      <c r="AA1124"/>
      <c r="AD1124"/>
      <c r="AE1124"/>
      <c r="AF1124"/>
      <c r="AH1124"/>
      <c r="AI1124"/>
      <c r="AJ1124"/>
      <c r="AM1124"/>
    </row>
    <row r="1125" spans="3:39">
      <c r="C1125"/>
      <c r="D1125"/>
      <c r="E1125"/>
      <c r="F1125"/>
      <c r="G1125"/>
      <c r="H1125"/>
      <c r="I1125" s="740"/>
      <c r="V1125"/>
      <c r="W1125"/>
      <c r="Y1125"/>
      <c r="Z1125"/>
      <c r="AA1125"/>
      <c r="AD1125"/>
      <c r="AE1125"/>
      <c r="AF1125"/>
      <c r="AH1125"/>
      <c r="AI1125"/>
      <c r="AJ1125"/>
      <c r="AM1125"/>
    </row>
    <row r="1126" spans="3:39">
      <c r="C1126"/>
      <c r="D1126"/>
      <c r="E1126"/>
      <c r="F1126"/>
      <c r="G1126"/>
      <c r="H1126"/>
      <c r="I1126" s="740"/>
      <c r="V1126"/>
      <c r="W1126"/>
      <c r="Y1126"/>
      <c r="Z1126"/>
      <c r="AA1126"/>
      <c r="AD1126"/>
      <c r="AE1126"/>
      <c r="AF1126"/>
      <c r="AH1126"/>
      <c r="AI1126"/>
      <c r="AJ1126"/>
      <c r="AM1126"/>
    </row>
    <row r="1127" spans="3:39">
      <c r="C1127"/>
      <c r="D1127"/>
      <c r="E1127"/>
      <c r="F1127"/>
      <c r="G1127"/>
      <c r="H1127"/>
      <c r="I1127" s="740"/>
      <c r="V1127"/>
      <c r="W1127"/>
      <c r="Y1127"/>
      <c r="Z1127"/>
      <c r="AA1127"/>
      <c r="AD1127"/>
      <c r="AE1127"/>
      <c r="AF1127"/>
      <c r="AH1127"/>
      <c r="AI1127"/>
      <c r="AJ1127"/>
      <c r="AM1127"/>
    </row>
    <row r="1128" spans="3:39">
      <c r="C1128"/>
      <c r="D1128"/>
      <c r="E1128"/>
      <c r="F1128"/>
      <c r="G1128"/>
      <c r="H1128"/>
      <c r="I1128" s="740"/>
      <c r="V1128"/>
      <c r="W1128"/>
      <c r="Y1128"/>
      <c r="Z1128"/>
      <c r="AA1128"/>
      <c r="AD1128"/>
      <c r="AE1128"/>
      <c r="AF1128"/>
      <c r="AH1128"/>
      <c r="AI1128"/>
      <c r="AJ1128"/>
      <c r="AM1128"/>
    </row>
    <row r="1129" spans="3:39">
      <c r="C1129"/>
      <c r="D1129"/>
      <c r="E1129"/>
      <c r="F1129"/>
      <c r="G1129"/>
      <c r="H1129"/>
      <c r="I1129" s="740"/>
      <c r="V1129"/>
      <c r="W1129"/>
      <c r="Y1129"/>
      <c r="Z1129"/>
      <c r="AA1129"/>
      <c r="AD1129"/>
      <c r="AE1129"/>
      <c r="AF1129"/>
      <c r="AH1129"/>
      <c r="AI1129"/>
      <c r="AJ1129"/>
      <c r="AM1129"/>
    </row>
    <row r="1130" spans="3:39">
      <c r="C1130"/>
      <c r="D1130"/>
      <c r="E1130"/>
      <c r="F1130"/>
      <c r="G1130"/>
      <c r="H1130"/>
      <c r="I1130" s="740"/>
      <c r="V1130"/>
      <c r="W1130"/>
      <c r="Y1130"/>
      <c r="Z1130"/>
      <c r="AA1130"/>
      <c r="AD1130"/>
      <c r="AE1130"/>
      <c r="AF1130"/>
      <c r="AH1130"/>
      <c r="AI1130"/>
      <c r="AJ1130"/>
      <c r="AM1130"/>
    </row>
    <row r="1131" spans="3:39">
      <c r="C1131"/>
      <c r="D1131"/>
      <c r="E1131"/>
      <c r="F1131"/>
      <c r="G1131"/>
      <c r="H1131"/>
      <c r="I1131" s="740"/>
      <c r="V1131"/>
      <c r="W1131"/>
      <c r="Y1131"/>
      <c r="Z1131"/>
      <c r="AA1131"/>
      <c r="AD1131"/>
      <c r="AE1131"/>
      <c r="AF1131"/>
      <c r="AH1131"/>
      <c r="AI1131"/>
      <c r="AJ1131"/>
      <c r="AM1131"/>
    </row>
    <row r="1132" spans="3:39">
      <c r="C1132"/>
      <c r="D1132"/>
      <c r="E1132"/>
      <c r="F1132"/>
      <c r="G1132"/>
      <c r="H1132"/>
      <c r="I1132" s="740"/>
      <c r="V1132"/>
      <c r="W1132"/>
      <c r="Y1132"/>
      <c r="Z1132"/>
      <c r="AA1132"/>
      <c r="AD1132"/>
      <c r="AE1132"/>
      <c r="AF1132"/>
      <c r="AH1132"/>
      <c r="AI1132"/>
      <c r="AJ1132"/>
      <c r="AM1132"/>
    </row>
    <row r="1133" spans="3:39">
      <c r="C1133"/>
      <c r="D1133"/>
      <c r="E1133"/>
      <c r="F1133"/>
      <c r="G1133"/>
      <c r="H1133"/>
      <c r="I1133" s="740"/>
      <c r="V1133"/>
      <c r="W1133"/>
      <c r="Y1133"/>
      <c r="Z1133"/>
      <c r="AA1133"/>
      <c r="AD1133"/>
      <c r="AE1133"/>
      <c r="AF1133"/>
      <c r="AH1133"/>
      <c r="AI1133"/>
      <c r="AJ1133"/>
      <c r="AM1133"/>
    </row>
    <row r="1134" spans="3:39">
      <c r="C1134"/>
      <c r="D1134"/>
      <c r="E1134"/>
      <c r="F1134"/>
      <c r="G1134"/>
      <c r="H1134"/>
      <c r="I1134" s="740"/>
      <c r="V1134"/>
      <c r="W1134"/>
      <c r="Y1134"/>
      <c r="Z1134"/>
      <c r="AA1134"/>
      <c r="AD1134"/>
      <c r="AE1134"/>
      <c r="AF1134"/>
      <c r="AH1134"/>
      <c r="AI1134"/>
      <c r="AJ1134"/>
      <c r="AM1134"/>
    </row>
    <row r="1135" spans="3:39">
      <c r="C1135"/>
      <c r="D1135"/>
      <c r="E1135"/>
      <c r="F1135"/>
      <c r="G1135"/>
      <c r="H1135"/>
      <c r="I1135" s="740"/>
      <c r="V1135"/>
      <c r="W1135"/>
      <c r="Y1135"/>
      <c r="Z1135"/>
      <c r="AA1135"/>
      <c r="AD1135"/>
      <c r="AE1135"/>
      <c r="AF1135"/>
      <c r="AH1135"/>
      <c r="AI1135"/>
      <c r="AJ1135"/>
      <c r="AM1135"/>
    </row>
    <row r="1136" spans="3:39">
      <c r="C1136"/>
      <c r="D1136"/>
      <c r="E1136"/>
      <c r="F1136"/>
      <c r="G1136"/>
      <c r="H1136"/>
      <c r="I1136" s="740"/>
      <c r="V1136"/>
      <c r="W1136"/>
      <c r="Y1136"/>
      <c r="Z1136"/>
      <c r="AA1136"/>
      <c r="AD1136"/>
      <c r="AE1136"/>
      <c r="AF1136"/>
      <c r="AH1136"/>
      <c r="AI1136"/>
      <c r="AJ1136"/>
      <c r="AM1136"/>
    </row>
    <row r="1137" spans="3:39">
      <c r="C1137"/>
      <c r="D1137"/>
      <c r="E1137"/>
      <c r="F1137"/>
      <c r="G1137"/>
      <c r="H1137"/>
      <c r="I1137" s="740"/>
      <c r="V1137"/>
      <c r="W1137"/>
      <c r="Y1137"/>
      <c r="Z1137"/>
      <c r="AA1137"/>
      <c r="AD1137"/>
      <c r="AE1137"/>
      <c r="AF1137"/>
      <c r="AH1137"/>
      <c r="AI1137"/>
      <c r="AJ1137"/>
      <c r="AM1137"/>
    </row>
    <row r="1138" spans="3:39">
      <c r="C1138"/>
      <c r="D1138"/>
      <c r="E1138"/>
      <c r="F1138"/>
      <c r="G1138"/>
      <c r="H1138"/>
      <c r="I1138" s="740"/>
      <c r="V1138"/>
      <c r="W1138"/>
      <c r="Y1138"/>
      <c r="Z1138"/>
      <c r="AA1138"/>
      <c r="AD1138"/>
      <c r="AE1138"/>
      <c r="AF1138"/>
      <c r="AH1138"/>
      <c r="AI1138"/>
      <c r="AJ1138"/>
      <c r="AM1138"/>
    </row>
    <row r="1139" spans="3:39">
      <c r="C1139"/>
      <c r="D1139"/>
      <c r="E1139"/>
      <c r="F1139"/>
      <c r="G1139"/>
      <c r="H1139"/>
      <c r="I1139" s="740"/>
      <c r="V1139"/>
      <c r="W1139"/>
      <c r="Y1139"/>
      <c r="Z1139"/>
      <c r="AA1139"/>
      <c r="AD1139"/>
      <c r="AE1139"/>
      <c r="AF1139"/>
      <c r="AH1139"/>
      <c r="AI1139"/>
      <c r="AJ1139"/>
      <c r="AM1139"/>
    </row>
    <row r="1140" spans="3:39">
      <c r="C1140"/>
      <c r="D1140"/>
      <c r="E1140"/>
      <c r="F1140"/>
      <c r="G1140"/>
      <c r="H1140"/>
      <c r="I1140" s="740"/>
      <c r="V1140"/>
      <c r="W1140"/>
      <c r="Y1140"/>
      <c r="Z1140"/>
      <c r="AA1140"/>
      <c r="AD1140"/>
      <c r="AE1140"/>
      <c r="AF1140"/>
      <c r="AH1140"/>
      <c r="AI1140"/>
      <c r="AJ1140"/>
      <c r="AM1140"/>
    </row>
    <row r="1141" spans="3:39">
      <c r="C1141"/>
      <c r="D1141"/>
      <c r="E1141"/>
      <c r="F1141"/>
      <c r="G1141"/>
      <c r="H1141"/>
      <c r="I1141" s="740"/>
      <c r="V1141"/>
      <c r="W1141"/>
      <c r="Y1141"/>
      <c r="Z1141"/>
      <c r="AA1141"/>
      <c r="AD1141"/>
      <c r="AE1141"/>
      <c r="AF1141"/>
      <c r="AH1141"/>
      <c r="AI1141"/>
      <c r="AJ1141"/>
      <c r="AM1141"/>
    </row>
    <row r="1142" spans="3:39">
      <c r="C1142"/>
      <c r="D1142"/>
      <c r="E1142"/>
      <c r="F1142"/>
      <c r="G1142"/>
      <c r="H1142"/>
      <c r="I1142" s="740"/>
      <c r="V1142"/>
      <c r="W1142"/>
      <c r="Y1142"/>
      <c r="Z1142"/>
      <c r="AA1142"/>
      <c r="AD1142"/>
      <c r="AE1142"/>
      <c r="AF1142"/>
      <c r="AH1142"/>
      <c r="AI1142"/>
      <c r="AJ1142"/>
      <c r="AM1142"/>
    </row>
    <row r="1143" spans="3:39">
      <c r="C1143"/>
      <c r="D1143"/>
      <c r="E1143"/>
      <c r="F1143"/>
      <c r="G1143"/>
      <c r="H1143"/>
      <c r="I1143" s="740"/>
      <c r="V1143"/>
      <c r="W1143"/>
      <c r="Y1143"/>
      <c r="Z1143"/>
      <c r="AA1143"/>
      <c r="AD1143"/>
      <c r="AE1143"/>
      <c r="AF1143"/>
      <c r="AH1143"/>
      <c r="AI1143"/>
      <c r="AJ1143"/>
      <c r="AM1143"/>
    </row>
    <row r="1144" spans="3:39">
      <c r="C1144"/>
      <c r="D1144"/>
      <c r="E1144"/>
      <c r="F1144"/>
      <c r="G1144"/>
      <c r="H1144"/>
      <c r="I1144" s="740"/>
      <c r="V1144"/>
      <c r="W1144"/>
      <c r="Y1144"/>
      <c r="Z1144"/>
      <c r="AA1144"/>
      <c r="AD1144"/>
      <c r="AE1144"/>
      <c r="AF1144"/>
      <c r="AH1144"/>
      <c r="AI1144"/>
      <c r="AJ1144"/>
      <c r="AM1144"/>
    </row>
    <row r="1145" spans="3:39">
      <c r="C1145"/>
      <c r="D1145"/>
      <c r="E1145"/>
      <c r="F1145"/>
      <c r="G1145"/>
      <c r="H1145"/>
      <c r="I1145" s="740"/>
      <c r="V1145"/>
      <c r="W1145"/>
      <c r="Y1145"/>
      <c r="Z1145"/>
      <c r="AA1145"/>
      <c r="AD1145"/>
      <c r="AE1145"/>
      <c r="AF1145"/>
      <c r="AH1145"/>
      <c r="AI1145"/>
      <c r="AJ1145"/>
      <c r="AM1145"/>
    </row>
    <row r="1146" spans="3:39">
      <c r="C1146"/>
      <c r="D1146"/>
      <c r="E1146"/>
      <c r="F1146"/>
      <c r="G1146"/>
      <c r="H1146"/>
      <c r="I1146" s="740"/>
      <c r="V1146"/>
      <c r="W1146"/>
      <c r="Y1146"/>
      <c r="Z1146"/>
      <c r="AA1146"/>
      <c r="AD1146"/>
      <c r="AE1146"/>
      <c r="AF1146"/>
      <c r="AH1146"/>
      <c r="AI1146"/>
      <c r="AJ1146"/>
      <c r="AM1146"/>
    </row>
    <row r="1147" spans="3:39">
      <c r="C1147"/>
      <c r="D1147"/>
      <c r="E1147"/>
      <c r="F1147"/>
      <c r="G1147"/>
      <c r="H1147"/>
      <c r="I1147" s="740"/>
      <c r="V1147"/>
      <c r="W1147"/>
      <c r="Y1147"/>
      <c r="Z1147"/>
      <c r="AA1147"/>
      <c r="AD1147"/>
      <c r="AE1147"/>
      <c r="AF1147"/>
      <c r="AH1147"/>
      <c r="AI1147"/>
      <c r="AJ1147"/>
      <c r="AM1147"/>
    </row>
    <row r="1148" spans="3:39">
      <c r="C1148"/>
      <c r="D1148"/>
      <c r="E1148"/>
      <c r="F1148"/>
      <c r="G1148"/>
      <c r="H1148"/>
      <c r="I1148" s="740"/>
      <c r="V1148"/>
      <c r="W1148"/>
      <c r="Y1148"/>
      <c r="Z1148"/>
      <c r="AA1148"/>
      <c r="AD1148"/>
      <c r="AE1148"/>
      <c r="AF1148"/>
      <c r="AH1148"/>
      <c r="AI1148"/>
      <c r="AJ1148"/>
      <c r="AM1148"/>
    </row>
    <row r="1149" spans="3:39">
      <c r="C1149"/>
      <c r="D1149"/>
      <c r="E1149"/>
      <c r="F1149"/>
      <c r="G1149"/>
      <c r="H1149"/>
      <c r="I1149" s="740"/>
      <c r="V1149"/>
      <c r="W1149"/>
      <c r="Y1149"/>
      <c r="Z1149"/>
      <c r="AA1149"/>
      <c r="AD1149"/>
      <c r="AE1149"/>
      <c r="AF1149"/>
      <c r="AH1149"/>
      <c r="AI1149"/>
      <c r="AJ1149"/>
      <c r="AM1149"/>
    </row>
    <row r="1150" spans="3:39">
      <c r="C1150"/>
      <c r="D1150"/>
      <c r="E1150"/>
      <c r="F1150"/>
      <c r="G1150"/>
      <c r="H1150"/>
      <c r="I1150" s="740"/>
      <c r="V1150"/>
      <c r="W1150"/>
      <c r="Y1150"/>
      <c r="Z1150"/>
      <c r="AA1150"/>
      <c r="AD1150"/>
      <c r="AE1150"/>
      <c r="AF1150"/>
      <c r="AH1150"/>
      <c r="AI1150"/>
      <c r="AJ1150"/>
      <c r="AM1150"/>
    </row>
    <row r="1151" spans="3:39">
      <c r="C1151"/>
      <c r="D1151"/>
      <c r="E1151"/>
      <c r="F1151"/>
      <c r="G1151"/>
      <c r="H1151"/>
      <c r="I1151" s="740"/>
      <c r="V1151"/>
      <c r="W1151"/>
      <c r="Y1151"/>
      <c r="Z1151"/>
      <c r="AA1151"/>
      <c r="AD1151"/>
      <c r="AE1151"/>
      <c r="AF1151"/>
      <c r="AH1151"/>
      <c r="AI1151"/>
      <c r="AJ1151"/>
      <c r="AM1151"/>
    </row>
    <row r="1152" spans="3:39">
      <c r="C1152"/>
      <c r="D1152"/>
      <c r="E1152"/>
      <c r="F1152"/>
      <c r="G1152"/>
      <c r="H1152"/>
      <c r="I1152" s="740"/>
      <c r="V1152"/>
      <c r="W1152"/>
      <c r="Y1152"/>
      <c r="Z1152"/>
      <c r="AA1152"/>
      <c r="AD1152"/>
      <c r="AE1152"/>
      <c r="AF1152"/>
      <c r="AH1152"/>
      <c r="AI1152"/>
      <c r="AJ1152"/>
      <c r="AM1152"/>
    </row>
    <row r="1153" spans="3:39">
      <c r="C1153"/>
      <c r="D1153"/>
      <c r="E1153"/>
      <c r="F1153"/>
      <c r="G1153"/>
      <c r="H1153"/>
      <c r="I1153" s="740"/>
      <c r="V1153"/>
      <c r="W1153"/>
      <c r="Y1153"/>
      <c r="Z1153"/>
      <c r="AA1153"/>
      <c r="AD1153"/>
      <c r="AE1153"/>
      <c r="AF1153"/>
      <c r="AH1153"/>
      <c r="AI1153"/>
      <c r="AJ1153"/>
      <c r="AM1153"/>
    </row>
    <row r="1154" spans="3:39">
      <c r="C1154"/>
      <c r="D1154"/>
      <c r="E1154"/>
      <c r="F1154"/>
      <c r="G1154"/>
      <c r="H1154"/>
      <c r="I1154" s="740"/>
      <c r="V1154"/>
      <c r="W1154"/>
      <c r="Y1154"/>
      <c r="Z1154"/>
      <c r="AA1154"/>
      <c r="AD1154"/>
      <c r="AE1154"/>
      <c r="AF1154"/>
      <c r="AH1154"/>
      <c r="AI1154"/>
      <c r="AJ1154"/>
      <c r="AM1154"/>
    </row>
    <row r="1155" spans="3:39">
      <c r="C1155"/>
      <c r="D1155"/>
      <c r="E1155"/>
      <c r="F1155"/>
      <c r="G1155"/>
      <c r="H1155"/>
      <c r="I1155" s="740"/>
      <c r="V1155"/>
      <c r="W1155"/>
      <c r="Y1155"/>
      <c r="Z1155"/>
      <c r="AA1155"/>
      <c r="AD1155"/>
      <c r="AE1155"/>
      <c r="AF1155"/>
      <c r="AH1155"/>
      <c r="AI1155"/>
      <c r="AJ1155"/>
      <c r="AM1155"/>
    </row>
    <row r="1156" spans="3:39">
      <c r="C1156"/>
      <c r="D1156"/>
      <c r="E1156"/>
      <c r="F1156"/>
      <c r="G1156"/>
      <c r="H1156"/>
      <c r="I1156" s="740"/>
      <c r="V1156"/>
      <c r="W1156"/>
      <c r="Y1156"/>
      <c r="Z1156"/>
      <c r="AA1156"/>
      <c r="AD1156"/>
      <c r="AE1156"/>
      <c r="AF1156"/>
      <c r="AH1156"/>
      <c r="AI1156"/>
      <c r="AJ1156"/>
      <c r="AM1156"/>
    </row>
    <row r="1157" spans="3:39">
      <c r="C1157"/>
      <c r="D1157"/>
      <c r="E1157"/>
      <c r="F1157"/>
      <c r="G1157"/>
      <c r="H1157"/>
      <c r="I1157" s="740"/>
      <c r="V1157"/>
      <c r="W1157"/>
      <c r="Y1157"/>
      <c r="Z1157"/>
      <c r="AA1157"/>
      <c r="AD1157"/>
      <c r="AE1157"/>
      <c r="AF1157"/>
      <c r="AH1157"/>
      <c r="AI1157"/>
      <c r="AJ1157"/>
      <c r="AM1157"/>
    </row>
    <row r="1158" spans="3:39">
      <c r="C1158"/>
      <c r="D1158"/>
      <c r="E1158"/>
      <c r="F1158"/>
      <c r="G1158"/>
      <c r="H1158"/>
      <c r="I1158" s="740"/>
      <c r="V1158"/>
      <c r="W1158"/>
      <c r="Y1158"/>
      <c r="Z1158"/>
      <c r="AA1158"/>
      <c r="AD1158"/>
      <c r="AE1158"/>
      <c r="AF1158"/>
      <c r="AH1158"/>
      <c r="AI1158"/>
      <c r="AJ1158"/>
      <c r="AM1158"/>
    </row>
    <row r="1159" spans="3:39">
      <c r="C1159"/>
      <c r="D1159"/>
      <c r="E1159"/>
      <c r="F1159"/>
      <c r="G1159"/>
      <c r="H1159"/>
      <c r="I1159" s="740"/>
      <c r="V1159"/>
      <c r="W1159"/>
      <c r="Y1159"/>
      <c r="Z1159"/>
      <c r="AA1159"/>
      <c r="AD1159"/>
      <c r="AE1159"/>
      <c r="AF1159"/>
      <c r="AH1159"/>
      <c r="AI1159"/>
      <c r="AJ1159"/>
      <c r="AM1159"/>
    </row>
    <row r="1160" spans="3:39">
      <c r="C1160"/>
      <c r="D1160"/>
      <c r="E1160"/>
      <c r="F1160"/>
      <c r="G1160"/>
      <c r="H1160"/>
      <c r="I1160" s="740"/>
      <c r="V1160"/>
      <c r="W1160"/>
      <c r="Y1160"/>
      <c r="Z1160"/>
      <c r="AA1160"/>
      <c r="AD1160"/>
      <c r="AE1160"/>
      <c r="AF1160"/>
      <c r="AH1160"/>
      <c r="AI1160"/>
      <c r="AJ1160"/>
      <c r="AM1160"/>
    </row>
    <row r="1161" spans="3:39">
      <c r="C1161"/>
      <c r="D1161"/>
      <c r="E1161"/>
      <c r="F1161"/>
      <c r="G1161"/>
      <c r="H1161"/>
      <c r="I1161" s="740"/>
      <c r="V1161"/>
      <c r="W1161"/>
      <c r="Y1161"/>
      <c r="Z1161"/>
      <c r="AA1161"/>
      <c r="AD1161"/>
      <c r="AE1161"/>
      <c r="AF1161"/>
      <c r="AH1161"/>
      <c r="AI1161"/>
      <c r="AJ1161"/>
      <c r="AM1161"/>
    </row>
    <row r="1162" spans="3:39">
      <c r="C1162"/>
      <c r="D1162"/>
      <c r="E1162"/>
      <c r="F1162"/>
      <c r="G1162"/>
      <c r="H1162"/>
      <c r="I1162" s="740"/>
      <c r="V1162"/>
      <c r="W1162"/>
      <c r="Y1162"/>
      <c r="Z1162"/>
      <c r="AA1162"/>
      <c r="AD1162"/>
      <c r="AE1162"/>
      <c r="AF1162"/>
      <c r="AH1162"/>
      <c r="AI1162"/>
      <c r="AJ1162"/>
      <c r="AM1162"/>
    </row>
    <row r="1163" spans="3:39">
      <c r="C1163"/>
      <c r="D1163"/>
      <c r="E1163"/>
      <c r="F1163"/>
      <c r="G1163"/>
      <c r="H1163"/>
      <c r="I1163" s="740"/>
      <c r="V1163"/>
      <c r="W1163"/>
      <c r="Y1163"/>
      <c r="Z1163"/>
      <c r="AA1163"/>
      <c r="AD1163"/>
      <c r="AE1163"/>
      <c r="AF1163"/>
      <c r="AH1163"/>
      <c r="AI1163"/>
      <c r="AJ1163"/>
      <c r="AM1163"/>
    </row>
    <row r="1164" spans="3:39">
      <c r="C1164"/>
      <c r="D1164"/>
      <c r="E1164"/>
      <c r="F1164"/>
      <c r="G1164"/>
      <c r="H1164"/>
      <c r="I1164" s="740"/>
      <c r="V1164"/>
      <c r="W1164"/>
      <c r="Y1164"/>
      <c r="Z1164"/>
      <c r="AA1164"/>
      <c r="AD1164"/>
      <c r="AE1164"/>
      <c r="AF1164"/>
      <c r="AH1164"/>
      <c r="AI1164"/>
      <c r="AJ1164"/>
      <c r="AM1164"/>
    </row>
    <row r="1165" spans="3:39">
      <c r="C1165"/>
      <c r="D1165"/>
      <c r="E1165"/>
      <c r="F1165"/>
      <c r="G1165"/>
      <c r="H1165"/>
      <c r="I1165" s="740"/>
      <c r="V1165"/>
      <c r="W1165"/>
      <c r="Y1165"/>
      <c r="Z1165"/>
      <c r="AA1165"/>
      <c r="AD1165"/>
      <c r="AE1165"/>
      <c r="AF1165"/>
      <c r="AH1165"/>
      <c r="AI1165"/>
      <c r="AJ1165"/>
      <c r="AM1165"/>
    </row>
    <row r="1166" spans="3:39">
      <c r="C1166"/>
      <c r="D1166"/>
      <c r="E1166"/>
      <c r="F1166"/>
      <c r="G1166"/>
      <c r="H1166"/>
      <c r="I1166" s="740"/>
      <c r="V1166"/>
      <c r="W1166"/>
      <c r="Y1166"/>
      <c r="Z1166"/>
      <c r="AA1166"/>
      <c r="AD1166"/>
      <c r="AE1166"/>
      <c r="AF1166"/>
      <c r="AH1166"/>
      <c r="AI1166"/>
      <c r="AJ1166"/>
      <c r="AM1166"/>
    </row>
    <row r="1167" spans="3:39">
      <c r="C1167"/>
      <c r="D1167"/>
      <c r="E1167"/>
      <c r="F1167"/>
      <c r="G1167"/>
      <c r="H1167"/>
      <c r="I1167" s="740"/>
      <c r="V1167"/>
      <c r="W1167"/>
      <c r="Y1167"/>
      <c r="Z1167"/>
      <c r="AA1167"/>
      <c r="AD1167"/>
      <c r="AE1167"/>
      <c r="AF1167"/>
      <c r="AH1167"/>
      <c r="AI1167"/>
      <c r="AJ1167"/>
      <c r="AM1167"/>
    </row>
    <row r="1168" spans="3:39">
      <c r="C1168"/>
      <c r="D1168"/>
      <c r="E1168"/>
      <c r="F1168"/>
      <c r="G1168"/>
      <c r="H1168"/>
      <c r="I1168" s="740"/>
      <c r="V1168"/>
      <c r="W1168"/>
      <c r="Y1168"/>
      <c r="Z1168"/>
      <c r="AA1168"/>
      <c r="AD1168"/>
      <c r="AE1168"/>
      <c r="AF1168"/>
      <c r="AH1168"/>
      <c r="AI1168"/>
      <c r="AJ1168"/>
      <c r="AM1168"/>
    </row>
    <row r="1169" spans="3:39">
      <c r="C1169"/>
      <c r="D1169"/>
      <c r="E1169"/>
      <c r="F1169"/>
      <c r="G1169"/>
      <c r="H1169"/>
      <c r="I1169" s="740"/>
      <c r="V1169"/>
      <c r="W1169"/>
      <c r="Y1169"/>
      <c r="Z1169"/>
      <c r="AA1169"/>
      <c r="AD1169"/>
      <c r="AE1169"/>
      <c r="AF1169"/>
      <c r="AH1169"/>
      <c r="AI1169"/>
      <c r="AJ1169"/>
      <c r="AM1169"/>
    </row>
    <row r="1170" spans="3:39">
      <c r="C1170"/>
      <c r="D1170"/>
      <c r="E1170"/>
      <c r="F1170"/>
      <c r="G1170"/>
      <c r="H1170"/>
      <c r="I1170" s="740"/>
      <c r="V1170"/>
      <c r="W1170"/>
      <c r="Y1170"/>
      <c r="Z1170"/>
      <c r="AA1170"/>
      <c r="AD1170"/>
      <c r="AE1170"/>
      <c r="AF1170"/>
      <c r="AH1170"/>
      <c r="AI1170"/>
      <c r="AJ1170"/>
      <c r="AM1170"/>
    </row>
    <row r="1171" spans="3:39">
      <c r="C1171"/>
      <c r="D1171"/>
      <c r="E1171"/>
      <c r="F1171"/>
      <c r="G1171"/>
      <c r="H1171"/>
      <c r="I1171" s="740"/>
      <c r="V1171"/>
      <c r="W1171"/>
      <c r="Y1171"/>
      <c r="Z1171"/>
      <c r="AA1171"/>
      <c r="AD1171"/>
      <c r="AE1171"/>
      <c r="AF1171"/>
      <c r="AH1171"/>
      <c r="AI1171"/>
      <c r="AJ1171"/>
      <c r="AM1171"/>
    </row>
    <row r="1172" spans="3:39">
      <c r="C1172"/>
      <c r="D1172"/>
      <c r="E1172"/>
      <c r="F1172"/>
      <c r="G1172"/>
      <c r="H1172"/>
      <c r="I1172" s="740"/>
      <c r="V1172"/>
      <c r="W1172"/>
      <c r="Y1172"/>
      <c r="Z1172"/>
      <c r="AA1172"/>
      <c r="AD1172"/>
      <c r="AE1172"/>
      <c r="AF1172"/>
      <c r="AH1172"/>
      <c r="AI1172"/>
      <c r="AJ1172"/>
      <c r="AM1172"/>
    </row>
    <row r="1173" spans="3:39">
      <c r="C1173"/>
      <c r="D1173"/>
      <c r="E1173"/>
      <c r="F1173"/>
      <c r="G1173"/>
      <c r="H1173"/>
      <c r="I1173" s="740"/>
      <c r="V1173"/>
      <c r="W1173"/>
      <c r="Y1173"/>
      <c r="Z1173"/>
      <c r="AA1173"/>
      <c r="AD1173"/>
      <c r="AE1173"/>
      <c r="AF1173"/>
      <c r="AH1173"/>
      <c r="AI1173"/>
      <c r="AJ1173"/>
      <c r="AM1173"/>
    </row>
    <row r="1174" spans="3:39">
      <c r="C1174"/>
      <c r="D1174"/>
      <c r="E1174"/>
      <c r="F1174"/>
      <c r="G1174"/>
      <c r="H1174"/>
      <c r="I1174" s="740"/>
      <c r="V1174"/>
      <c r="W1174"/>
      <c r="Y1174"/>
      <c r="Z1174"/>
      <c r="AA1174"/>
      <c r="AD1174"/>
      <c r="AE1174"/>
      <c r="AF1174"/>
      <c r="AH1174"/>
      <c r="AI1174"/>
      <c r="AJ1174"/>
      <c r="AM1174"/>
    </row>
    <row r="1175" spans="3:39">
      <c r="C1175"/>
      <c r="D1175"/>
      <c r="E1175"/>
      <c r="F1175"/>
      <c r="G1175"/>
      <c r="H1175"/>
      <c r="I1175" s="740"/>
      <c r="V1175"/>
      <c r="W1175"/>
      <c r="Y1175"/>
      <c r="Z1175"/>
      <c r="AA1175"/>
      <c r="AD1175"/>
      <c r="AE1175"/>
      <c r="AF1175"/>
      <c r="AH1175"/>
      <c r="AI1175"/>
      <c r="AJ1175"/>
      <c r="AM1175"/>
    </row>
    <row r="1176" spans="3:39">
      <c r="C1176"/>
      <c r="D1176"/>
      <c r="E1176"/>
      <c r="F1176"/>
      <c r="G1176"/>
      <c r="H1176"/>
      <c r="I1176" s="740"/>
      <c r="V1176"/>
      <c r="W1176"/>
      <c r="Y1176"/>
      <c r="Z1176"/>
      <c r="AA1176"/>
      <c r="AD1176"/>
      <c r="AE1176"/>
      <c r="AF1176"/>
      <c r="AH1176"/>
      <c r="AI1176"/>
      <c r="AJ1176"/>
      <c r="AM1176"/>
    </row>
    <row r="1177" spans="3:39">
      <c r="C1177"/>
      <c r="D1177"/>
      <c r="E1177"/>
      <c r="F1177"/>
      <c r="G1177"/>
      <c r="H1177"/>
      <c r="I1177" s="740"/>
      <c r="V1177"/>
      <c r="W1177"/>
      <c r="Y1177"/>
      <c r="Z1177"/>
      <c r="AA1177"/>
      <c r="AD1177"/>
      <c r="AE1177"/>
      <c r="AF1177"/>
      <c r="AH1177"/>
      <c r="AI1177"/>
      <c r="AJ1177"/>
      <c r="AM1177"/>
    </row>
    <row r="1178" spans="3:39">
      <c r="C1178"/>
      <c r="D1178"/>
      <c r="E1178"/>
      <c r="F1178"/>
      <c r="G1178"/>
      <c r="H1178"/>
      <c r="I1178" s="740"/>
      <c r="V1178"/>
      <c r="W1178"/>
      <c r="Y1178"/>
      <c r="Z1178"/>
      <c r="AA1178"/>
      <c r="AD1178"/>
      <c r="AE1178"/>
      <c r="AF1178"/>
      <c r="AH1178"/>
      <c r="AI1178"/>
      <c r="AJ1178"/>
      <c r="AM1178"/>
    </row>
    <row r="1179" spans="3:39">
      <c r="C1179"/>
      <c r="D1179"/>
      <c r="E1179"/>
      <c r="F1179"/>
      <c r="G1179"/>
      <c r="H1179"/>
      <c r="I1179" s="740"/>
      <c r="V1179"/>
      <c r="W1179"/>
      <c r="Y1179"/>
      <c r="Z1179"/>
      <c r="AA1179"/>
      <c r="AD1179"/>
      <c r="AE1179"/>
      <c r="AF1179"/>
      <c r="AH1179"/>
      <c r="AI1179"/>
      <c r="AJ1179"/>
      <c r="AM1179"/>
    </row>
    <row r="1180" spans="3:39">
      <c r="C1180"/>
      <c r="D1180"/>
      <c r="E1180"/>
      <c r="F1180"/>
      <c r="G1180"/>
      <c r="H1180"/>
      <c r="I1180" s="740"/>
      <c r="V1180"/>
      <c r="W1180"/>
      <c r="Y1180"/>
      <c r="Z1180"/>
      <c r="AA1180"/>
      <c r="AD1180"/>
      <c r="AE1180"/>
      <c r="AF1180"/>
      <c r="AH1180"/>
      <c r="AI1180"/>
      <c r="AJ1180"/>
      <c r="AM1180"/>
    </row>
    <row r="1181" spans="3:39">
      <c r="C1181"/>
      <c r="D1181"/>
      <c r="E1181"/>
      <c r="F1181"/>
      <c r="G1181"/>
      <c r="H1181"/>
      <c r="I1181" s="740"/>
      <c r="V1181"/>
      <c r="W1181"/>
      <c r="Y1181"/>
      <c r="Z1181"/>
      <c r="AA1181"/>
      <c r="AD1181"/>
      <c r="AE1181"/>
      <c r="AF1181"/>
      <c r="AH1181"/>
      <c r="AI1181"/>
      <c r="AJ1181"/>
      <c r="AM1181"/>
    </row>
    <row r="1182" spans="3:39">
      <c r="C1182"/>
      <c r="D1182"/>
      <c r="E1182"/>
      <c r="F1182"/>
      <c r="G1182"/>
      <c r="H1182"/>
      <c r="I1182" s="740"/>
      <c r="V1182"/>
      <c r="W1182"/>
      <c r="Y1182"/>
      <c r="Z1182"/>
      <c r="AA1182"/>
      <c r="AD1182"/>
      <c r="AE1182"/>
      <c r="AF1182"/>
      <c r="AH1182"/>
      <c r="AI1182"/>
      <c r="AJ1182"/>
      <c r="AM1182"/>
    </row>
    <row r="1183" spans="3:39">
      <c r="C1183"/>
      <c r="D1183"/>
      <c r="E1183"/>
      <c r="F1183"/>
      <c r="G1183"/>
      <c r="H1183"/>
      <c r="I1183" s="740"/>
      <c r="V1183"/>
      <c r="W1183"/>
      <c r="Y1183"/>
      <c r="Z1183"/>
      <c r="AA1183"/>
      <c r="AD1183"/>
      <c r="AE1183"/>
      <c r="AF1183"/>
      <c r="AH1183"/>
      <c r="AI1183"/>
      <c r="AJ1183"/>
      <c r="AM1183"/>
    </row>
    <row r="1184" spans="3:39">
      <c r="C1184"/>
      <c r="D1184"/>
      <c r="E1184"/>
      <c r="F1184"/>
      <c r="G1184"/>
      <c r="H1184"/>
      <c r="I1184" s="740"/>
      <c r="V1184"/>
      <c r="W1184"/>
      <c r="Y1184"/>
      <c r="Z1184"/>
      <c r="AA1184"/>
      <c r="AD1184"/>
      <c r="AE1184"/>
      <c r="AF1184"/>
      <c r="AH1184"/>
      <c r="AI1184"/>
      <c r="AJ1184"/>
      <c r="AM1184"/>
    </row>
    <row r="1185" spans="3:39">
      <c r="C1185"/>
      <c r="D1185"/>
      <c r="E1185"/>
      <c r="F1185"/>
      <c r="G1185"/>
      <c r="H1185"/>
      <c r="I1185" s="740"/>
      <c r="V1185"/>
      <c r="W1185"/>
      <c r="Y1185"/>
      <c r="Z1185"/>
      <c r="AA1185"/>
      <c r="AD1185"/>
      <c r="AE1185"/>
      <c r="AF1185"/>
      <c r="AH1185"/>
      <c r="AI1185"/>
      <c r="AJ1185"/>
      <c r="AM1185"/>
    </row>
    <row r="1186" spans="3:39">
      <c r="C1186"/>
      <c r="D1186"/>
      <c r="E1186"/>
      <c r="F1186"/>
      <c r="G1186"/>
      <c r="H1186"/>
      <c r="I1186" s="740"/>
      <c r="V1186"/>
      <c r="W1186"/>
      <c r="Y1186"/>
      <c r="Z1186"/>
      <c r="AA1186"/>
      <c r="AD1186"/>
      <c r="AE1186"/>
      <c r="AF1186"/>
      <c r="AH1186"/>
      <c r="AI1186"/>
      <c r="AJ1186"/>
      <c r="AM1186"/>
    </row>
    <row r="1187" spans="3:39">
      <c r="C1187"/>
      <c r="D1187"/>
      <c r="E1187"/>
      <c r="F1187"/>
      <c r="G1187"/>
      <c r="H1187"/>
      <c r="I1187" s="740"/>
      <c r="V1187"/>
      <c r="W1187"/>
      <c r="Y1187"/>
      <c r="Z1187"/>
      <c r="AA1187"/>
      <c r="AD1187"/>
      <c r="AE1187"/>
      <c r="AF1187"/>
      <c r="AH1187"/>
      <c r="AI1187"/>
      <c r="AJ1187"/>
      <c r="AM1187"/>
    </row>
    <row r="1188" spans="3:39">
      <c r="C1188"/>
      <c r="D1188"/>
      <c r="E1188"/>
      <c r="F1188"/>
      <c r="G1188"/>
      <c r="H1188"/>
      <c r="I1188" s="740"/>
      <c r="V1188"/>
      <c r="W1188"/>
      <c r="Y1188"/>
      <c r="Z1188"/>
      <c r="AA1188"/>
      <c r="AD1188"/>
      <c r="AE1188"/>
      <c r="AF1188"/>
      <c r="AH1188"/>
      <c r="AI1188"/>
      <c r="AJ1188"/>
      <c r="AM1188"/>
    </row>
    <row r="1189" spans="3:39">
      <c r="C1189"/>
      <c r="D1189"/>
      <c r="E1189"/>
      <c r="F1189"/>
      <c r="G1189"/>
      <c r="H1189"/>
      <c r="I1189" s="740"/>
      <c r="V1189"/>
      <c r="W1189"/>
      <c r="Y1189"/>
      <c r="Z1189"/>
      <c r="AA1189"/>
      <c r="AD1189"/>
      <c r="AE1189"/>
      <c r="AF1189"/>
      <c r="AH1189"/>
      <c r="AI1189"/>
      <c r="AJ1189"/>
      <c r="AM1189"/>
    </row>
    <row r="1190" spans="3:39">
      <c r="C1190"/>
      <c r="D1190"/>
      <c r="E1190"/>
      <c r="F1190"/>
      <c r="G1190"/>
      <c r="H1190"/>
      <c r="I1190" s="740"/>
      <c r="V1190"/>
      <c r="W1190"/>
      <c r="Y1190"/>
      <c r="Z1190"/>
      <c r="AA1190"/>
      <c r="AD1190"/>
      <c r="AE1190"/>
      <c r="AF1190"/>
      <c r="AH1190"/>
      <c r="AI1190"/>
      <c r="AJ1190"/>
      <c r="AM1190"/>
    </row>
    <row r="1191" spans="3:39">
      <c r="C1191"/>
      <c r="D1191"/>
      <c r="E1191"/>
      <c r="F1191"/>
      <c r="G1191"/>
      <c r="H1191"/>
      <c r="I1191" s="740"/>
      <c r="V1191"/>
      <c r="W1191"/>
      <c r="Y1191"/>
      <c r="Z1191"/>
      <c r="AA1191"/>
      <c r="AD1191"/>
      <c r="AE1191"/>
      <c r="AF1191"/>
      <c r="AH1191"/>
      <c r="AI1191"/>
      <c r="AJ1191"/>
      <c r="AM1191"/>
    </row>
    <row r="1192" spans="3:39">
      <c r="C1192"/>
      <c r="D1192"/>
      <c r="E1192"/>
      <c r="F1192"/>
      <c r="G1192"/>
      <c r="H1192"/>
      <c r="I1192" s="740"/>
      <c r="V1192"/>
      <c r="W1192"/>
      <c r="Y1192"/>
      <c r="Z1192"/>
      <c r="AA1192"/>
      <c r="AD1192"/>
      <c r="AE1192"/>
      <c r="AF1192"/>
      <c r="AH1192"/>
      <c r="AI1192"/>
      <c r="AJ1192"/>
      <c r="AM1192"/>
    </row>
    <row r="1193" spans="3:39">
      <c r="C1193"/>
      <c r="D1193"/>
      <c r="E1193"/>
      <c r="F1193"/>
      <c r="G1193"/>
      <c r="H1193"/>
      <c r="I1193" s="740"/>
      <c r="V1193"/>
      <c r="W1193"/>
      <c r="Y1193"/>
      <c r="Z1193"/>
      <c r="AA1193"/>
      <c r="AD1193"/>
      <c r="AE1193"/>
      <c r="AF1193"/>
      <c r="AH1193"/>
      <c r="AI1193"/>
      <c r="AJ1193"/>
      <c r="AM1193"/>
    </row>
    <row r="1194" spans="3:39">
      <c r="C1194"/>
      <c r="D1194"/>
      <c r="E1194"/>
      <c r="F1194"/>
      <c r="G1194"/>
      <c r="H1194"/>
      <c r="I1194" s="740"/>
      <c r="V1194"/>
      <c r="W1194"/>
      <c r="Y1194"/>
      <c r="Z1194"/>
      <c r="AA1194"/>
      <c r="AD1194"/>
      <c r="AE1194"/>
      <c r="AF1194"/>
      <c r="AH1194"/>
      <c r="AI1194"/>
      <c r="AJ1194"/>
      <c r="AM1194"/>
    </row>
    <row r="1195" spans="3:39">
      <c r="C1195"/>
      <c r="D1195"/>
      <c r="E1195"/>
      <c r="F1195"/>
      <c r="G1195"/>
      <c r="H1195"/>
      <c r="I1195" s="740"/>
      <c r="V1195"/>
      <c r="W1195"/>
      <c r="Y1195"/>
      <c r="Z1195"/>
      <c r="AA1195"/>
      <c r="AD1195"/>
      <c r="AE1195"/>
      <c r="AF1195"/>
      <c r="AH1195"/>
      <c r="AI1195"/>
      <c r="AJ1195"/>
      <c r="AM1195"/>
    </row>
    <row r="1196" spans="3:39">
      <c r="C1196"/>
      <c r="D1196"/>
      <c r="E1196"/>
      <c r="F1196"/>
      <c r="G1196"/>
      <c r="H1196"/>
      <c r="I1196" s="740"/>
      <c r="V1196"/>
      <c r="W1196"/>
      <c r="Y1196"/>
      <c r="Z1196"/>
      <c r="AA1196"/>
      <c r="AD1196"/>
      <c r="AE1196"/>
      <c r="AF1196"/>
      <c r="AH1196"/>
      <c r="AI1196"/>
      <c r="AJ1196"/>
      <c r="AM1196"/>
    </row>
    <row r="1197" spans="3:39">
      <c r="C1197"/>
      <c r="D1197"/>
      <c r="E1197"/>
      <c r="F1197"/>
      <c r="G1197"/>
      <c r="H1197"/>
      <c r="I1197" s="740"/>
      <c r="V1197"/>
      <c r="W1197"/>
      <c r="Y1197"/>
      <c r="Z1197"/>
      <c r="AA1197"/>
      <c r="AD1197"/>
      <c r="AE1197"/>
      <c r="AF1197"/>
      <c r="AH1197"/>
      <c r="AI1197"/>
      <c r="AJ1197"/>
      <c r="AM1197"/>
    </row>
    <row r="1198" spans="3:39">
      <c r="C1198"/>
      <c r="D1198"/>
      <c r="E1198"/>
      <c r="F1198"/>
      <c r="G1198"/>
      <c r="H1198"/>
      <c r="I1198" s="740"/>
      <c r="V1198"/>
      <c r="W1198"/>
      <c r="Y1198"/>
      <c r="Z1198"/>
      <c r="AA1198"/>
      <c r="AD1198"/>
      <c r="AE1198"/>
      <c r="AF1198"/>
      <c r="AH1198"/>
      <c r="AI1198"/>
      <c r="AJ1198"/>
      <c r="AM1198"/>
    </row>
    <row r="1199" spans="3:39">
      <c r="C1199"/>
      <c r="D1199"/>
      <c r="E1199"/>
      <c r="F1199"/>
      <c r="G1199"/>
      <c r="H1199"/>
      <c r="I1199" s="740"/>
      <c r="V1199"/>
      <c r="W1199"/>
      <c r="Y1199"/>
      <c r="Z1199"/>
      <c r="AA1199"/>
      <c r="AD1199"/>
      <c r="AE1199"/>
      <c r="AF1199"/>
      <c r="AH1199"/>
      <c r="AI1199"/>
      <c r="AJ1199"/>
      <c r="AM1199"/>
    </row>
    <row r="1200" spans="3:39">
      <c r="C1200"/>
      <c r="D1200"/>
      <c r="E1200"/>
      <c r="F1200"/>
      <c r="G1200"/>
      <c r="H1200"/>
      <c r="I1200" s="740"/>
      <c r="V1200"/>
      <c r="W1200"/>
      <c r="Y1200"/>
      <c r="Z1200"/>
      <c r="AA1200"/>
      <c r="AD1200"/>
      <c r="AE1200"/>
      <c r="AF1200"/>
      <c r="AH1200"/>
      <c r="AI1200"/>
      <c r="AJ1200"/>
      <c r="AM1200"/>
    </row>
    <row r="1201" spans="3:39">
      <c r="C1201"/>
      <c r="D1201"/>
      <c r="E1201"/>
      <c r="F1201"/>
      <c r="G1201"/>
      <c r="H1201"/>
      <c r="I1201" s="740"/>
      <c r="V1201"/>
      <c r="W1201"/>
      <c r="Y1201"/>
      <c r="Z1201"/>
      <c r="AA1201"/>
      <c r="AD1201"/>
      <c r="AE1201"/>
      <c r="AF1201"/>
      <c r="AH1201"/>
      <c r="AI1201"/>
      <c r="AJ1201"/>
      <c r="AM1201"/>
    </row>
    <row r="1202" spans="3:39">
      <c r="C1202"/>
      <c r="D1202"/>
      <c r="E1202"/>
      <c r="F1202"/>
      <c r="G1202"/>
      <c r="H1202"/>
      <c r="I1202" s="740"/>
      <c r="V1202"/>
      <c r="W1202"/>
      <c r="Y1202"/>
      <c r="Z1202"/>
      <c r="AA1202"/>
      <c r="AD1202"/>
      <c r="AE1202"/>
      <c r="AF1202"/>
      <c r="AH1202"/>
      <c r="AI1202"/>
      <c r="AJ1202"/>
      <c r="AM1202"/>
    </row>
    <row r="1203" spans="3:39">
      <c r="C1203"/>
      <c r="D1203"/>
      <c r="E1203"/>
      <c r="F1203"/>
      <c r="G1203"/>
      <c r="H1203"/>
      <c r="I1203" s="740"/>
      <c r="V1203"/>
      <c r="W1203"/>
      <c r="Y1203"/>
      <c r="Z1203"/>
      <c r="AA1203"/>
      <c r="AD1203"/>
      <c r="AE1203"/>
      <c r="AF1203"/>
      <c r="AH1203"/>
      <c r="AI1203"/>
      <c r="AJ1203"/>
      <c r="AM1203"/>
    </row>
    <row r="1204" spans="3:39">
      <c r="C1204"/>
      <c r="D1204"/>
      <c r="E1204"/>
      <c r="F1204"/>
      <c r="G1204"/>
      <c r="H1204"/>
      <c r="I1204" s="740"/>
      <c r="V1204"/>
      <c r="W1204"/>
      <c r="Y1204"/>
      <c r="Z1204"/>
      <c r="AA1204"/>
      <c r="AD1204"/>
      <c r="AE1204"/>
      <c r="AF1204"/>
      <c r="AH1204"/>
      <c r="AI1204"/>
      <c r="AJ1204"/>
      <c r="AM1204"/>
    </row>
    <row r="1205" spans="3:39">
      <c r="C1205"/>
      <c r="D1205"/>
      <c r="E1205"/>
      <c r="F1205"/>
      <c r="G1205"/>
      <c r="H1205"/>
      <c r="I1205" s="740"/>
      <c r="V1205"/>
      <c r="W1205"/>
      <c r="Y1205"/>
      <c r="Z1205"/>
      <c r="AA1205"/>
      <c r="AD1205"/>
      <c r="AE1205"/>
      <c r="AF1205"/>
      <c r="AH1205"/>
      <c r="AI1205"/>
      <c r="AJ1205"/>
      <c r="AM1205"/>
    </row>
    <row r="1206" spans="3:39">
      <c r="C1206"/>
      <c r="D1206"/>
      <c r="E1206"/>
      <c r="F1206"/>
      <c r="G1206"/>
      <c r="H1206"/>
      <c r="I1206" s="740"/>
      <c r="V1206"/>
      <c r="W1206"/>
      <c r="Y1206"/>
      <c r="Z1206"/>
      <c r="AA1206"/>
      <c r="AD1206"/>
      <c r="AE1206"/>
      <c r="AF1206"/>
      <c r="AH1206"/>
      <c r="AI1206"/>
      <c r="AJ1206"/>
      <c r="AM1206"/>
    </row>
    <row r="1207" spans="3:39">
      <c r="C1207"/>
      <c r="D1207"/>
      <c r="E1207"/>
      <c r="F1207"/>
      <c r="G1207"/>
      <c r="H1207"/>
      <c r="I1207" s="740"/>
      <c r="V1207"/>
      <c r="W1207"/>
      <c r="Y1207"/>
      <c r="Z1207"/>
      <c r="AA1207"/>
      <c r="AD1207"/>
      <c r="AE1207"/>
      <c r="AF1207"/>
      <c r="AH1207"/>
      <c r="AI1207"/>
      <c r="AJ1207"/>
      <c r="AM1207"/>
    </row>
    <row r="1208" spans="3:39">
      <c r="C1208"/>
      <c r="D1208"/>
      <c r="E1208"/>
      <c r="F1208"/>
      <c r="G1208"/>
      <c r="H1208"/>
      <c r="I1208" s="740"/>
      <c r="V1208"/>
      <c r="W1208"/>
      <c r="Y1208"/>
      <c r="Z1208"/>
      <c r="AA1208"/>
      <c r="AD1208"/>
      <c r="AE1208"/>
      <c r="AF1208"/>
      <c r="AH1208"/>
      <c r="AI1208"/>
      <c r="AJ1208"/>
      <c r="AM1208"/>
    </row>
    <row r="1209" spans="3:39">
      <c r="C1209"/>
      <c r="D1209"/>
      <c r="E1209"/>
      <c r="F1209"/>
      <c r="G1209"/>
      <c r="H1209"/>
      <c r="I1209" s="740"/>
      <c r="V1209"/>
      <c r="W1209"/>
      <c r="Y1209"/>
      <c r="Z1209"/>
      <c r="AA1209"/>
      <c r="AD1209"/>
      <c r="AE1209"/>
      <c r="AF1209"/>
      <c r="AH1209"/>
      <c r="AI1209"/>
      <c r="AJ1209"/>
      <c r="AM1209"/>
    </row>
    <row r="1210" spans="3:39">
      <c r="C1210"/>
      <c r="D1210"/>
      <c r="E1210"/>
      <c r="F1210"/>
      <c r="G1210"/>
      <c r="H1210"/>
      <c r="I1210" s="740"/>
      <c r="V1210"/>
      <c r="W1210"/>
      <c r="Y1210"/>
      <c r="Z1210"/>
      <c r="AA1210"/>
      <c r="AD1210"/>
      <c r="AE1210"/>
      <c r="AF1210"/>
      <c r="AH1210"/>
      <c r="AI1210"/>
      <c r="AJ1210"/>
      <c r="AM1210"/>
    </row>
    <row r="1211" spans="3:39">
      <c r="C1211"/>
      <c r="D1211"/>
      <c r="E1211"/>
      <c r="F1211"/>
      <c r="G1211"/>
      <c r="H1211"/>
      <c r="I1211" s="740"/>
      <c r="V1211"/>
      <c r="W1211"/>
      <c r="Y1211"/>
      <c r="Z1211"/>
      <c r="AA1211"/>
      <c r="AD1211"/>
      <c r="AE1211"/>
      <c r="AF1211"/>
      <c r="AH1211"/>
      <c r="AI1211"/>
      <c r="AJ1211"/>
      <c r="AM1211"/>
    </row>
    <row r="1212" spans="3:39">
      <c r="C1212"/>
      <c r="D1212"/>
      <c r="E1212"/>
      <c r="F1212"/>
      <c r="G1212"/>
      <c r="H1212"/>
      <c r="I1212" s="740"/>
      <c r="V1212"/>
      <c r="W1212"/>
      <c r="Y1212"/>
      <c r="Z1212"/>
      <c r="AA1212"/>
      <c r="AD1212"/>
      <c r="AE1212"/>
      <c r="AF1212"/>
      <c r="AH1212"/>
      <c r="AI1212"/>
      <c r="AJ1212"/>
      <c r="AM1212"/>
    </row>
    <row r="1213" spans="3:39">
      <c r="C1213"/>
      <c r="D1213"/>
      <c r="E1213"/>
      <c r="F1213"/>
      <c r="G1213"/>
      <c r="H1213"/>
      <c r="I1213" s="740"/>
      <c r="V1213"/>
      <c r="W1213"/>
      <c r="Y1213"/>
      <c r="Z1213"/>
      <c r="AA1213"/>
      <c r="AD1213"/>
      <c r="AE1213"/>
      <c r="AF1213"/>
      <c r="AH1213"/>
      <c r="AI1213"/>
      <c r="AJ1213"/>
      <c r="AM1213"/>
    </row>
    <row r="1214" spans="3:39">
      <c r="C1214"/>
      <c r="D1214"/>
      <c r="E1214"/>
      <c r="F1214"/>
      <c r="G1214"/>
      <c r="H1214"/>
      <c r="I1214" s="740"/>
      <c r="V1214"/>
      <c r="W1214"/>
      <c r="Y1214"/>
      <c r="Z1214"/>
      <c r="AA1214"/>
      <c r="AD1214"/>
      <c r="AE1214"/>
      <c r="AF1214"/>
      <c r="AH1214"/>
      <c r="AI1214"/>
      <c r="AJ1214"/>
      <c r="AM1214"/>
    </row>
    <row r="1215" spans="3:39">
      <c r="C1215"/>
      <c r="D1215"/>
      <c r="E1215"/>
      <c r="F1215"/>
      <c r="G1215"/>
      <c r="H1215"/>
      <c r="I1215" s="740"/>
      <c r="V1215"/>
      <c r="W1215"/>
      <c r="Y1215"/>
      <c r="Z1215"/>
      <c r="AA1215"/>
      <c r="AD1215"/>
      <c r="AE1215"/>
      <c r="AF1215"/>
      <c r="AH1215"/>
      <c r="AI1215"/>
      <c r="AJ1215"/>
      <c r="AM1215"/>
    </row>
    <row r="1216" spans="3:39">
      <c r="C1216"/>
      <c r="D1216"/>
      <c r="E1216"/>
      <c r="F1216"/>
      <c r="G1216"/>
      <c r="H1216"/>
      <c r="I1216" s="740"/>
      <c r="V1216"/>
      <c r="W1216"/>
      <c r="Y1216"/>
      <c r="Z1216"/>
      <c r="AA1216"/>
      <c r="AD1216"/>
      <c r="AE1216"/>
      <c r="AF1216"/>
      <c r="AH1216"/>
      <c r="AI1216"/>
      <c r="AJ1216"/>
      <c r="AM1216"/>
    </row>
    <row r="1217" spans="3:39">
      <c r="C1217"/>
      <c r="D1217"/>
      <c r="E1217"/>
      <c r="F1217"/>
      <c r="G1217"/>
      <c r="H1217"/>
      <c r="I1217" s="740"/>
      <c r="V1217"/>
      <c r="W1217"/>
      <c r="Y1217"/>
      <c r="Z1217"/>
      <c r="AA1217"/>
      <c r="AD1217"/>
      <c r="AE1217"/>
      <c r="AF1217"/>
      <c r="AH1217"/>
      <c r="AI1217"/>
      <c r="AJ1217"/>
      <c r="AM1217"/>
    </row>
    <row r="1218" spans="3:39">
      <c r="C1218"/>
      <c r="D1218"/>
      <c r="E1218"/>
      <c r="F1218"/>
      <c r="G1218"/>
      <c r="H1218"/>
      <c r="I1218" s="740"/>
      <c r="V1218"/>
      <c r="W1218"/>
      <c r="Y1218"/>
      <c r="Z1218"/>
      <c r="AA1218"/>
      <c r="AD1218"/>
      <c r="AE1218"/>
      <c r="AF1218"/>
      <c r="AH1218"/>
      <c r="AI1218"/>
      <c r="AJ1218"/>
      <c r="AM1218"/>
    </row>
    <row r="1219" spans="3:39">
      <c r="C1219"/>
      <c r="D1219"/>
      <c r="E1219"/>
      <c r="F1219"/>
      <c r="G1219"/>
      <c r="H1219"/>
      <c r="I1219" s="740"/>
      <c r="V1219"/>
      <c r="W1219"/>
      <c r="Y1219"/>
      <c r="Z1219"/>
      <c r="AA1219"/>
      <c r="AD1219"/>
      <c r="AE1219"/>
      <c r="AF1219"/>
      <c r="AH1219"/>
      <c r="AI1219"/>
      <c r="AJ1219"/>
      <c r="AM1219"/>
    </row>
    <row r="1220" spans="3:39">
      <c r="C1220"/>
      <c r="D1220"/>
      <c r="E1220"/>
      <c r="F1220"/>
      <c r="G1220"/>
      <c r="H1220"/>
      <c r="I1220" s="740"/>
      <c r="V1220"/>
      <c r="W1220"/>
      <c r="Y1220"/>
      <c r="Z1220"/>
      <c r="AA1220"/>
      <c r="AD1220"/>
      <c r="AE1220"/>
      <c r="AF1220"/>
      <c r="AH1220"/>
      <c r="AI1220"/>
      <c r="AJ1220"/>
      <c r="AM1220"/>
    </row>
    <row r="1221" spans="3:39">
      <c r="C1221"/>
      <c r="D1221"/>
      <c r="E1221"/>
      <c r="F1221"/>
      <c r="G1221"/>
      <c r="H1221"/>
      <c r="I1221" s="740"/>
      <c r="V1221"/>
      <c r="W1221"/>
      <c r="Y1221"/>
      <c r="Z1221"/>
      <c r="AA1221"/>
      <c r="AD1221"/>
      <c r="AE1221"/>
      <c r="AF1221"/>
      <c r="AH1221"/>
      <c r="AI1221"/>
      <c r="AJ1221"/>
      <c r="AM1221"/>
    </row>
    <row r="1222" spans="3:39">
      <c r="C1222"/>
      <c r="D1222"/>
      <c r="E1222"/>
      <c r="F1222"/>
      <c r="G1222"/>
      <c r="H1222"/>
      <c r="I1222" s="740"/>
      <c r="V1222"/>
      <c r="W1222"/>
      <c r="Y1222"/>
      <c r="Z1222"/>
      <c r="AA1222"/>
      <c r="AD1222"/>
      <c r="AE1222"/>
      <c r="AF1222"/>
      <c r="AH1222"/>
      <c r="AI1222"/>
      <c r="AJ1222"/>
      <c r="AM1222"/>
    </row>
    <row r="1223" spans="3:39">
      <c r="C1223"/>
      <c r="D1223"/>
      <c r="E1223"/>
      <c r="F1223"/>
      <c r="G1223"/>
      <c r="H1223"/>
      <c r="I1223" s="740"/>
      <c r="V1223"/>
      <c r="W1223"/>
      <c r="Y1223"/>
      <c r="Z1223"/>
      <c r="AA1223"/>
      <c r="AD1223"/>
      <c r="AE1223"/>
      <c r="AF1223"/>
      <c r="AH1223"/>
      <c r="AI1223"/>
      <c r="AJ1223"/>
      <c r="AM1223"/>
    </row>
    <row r="1224" spans="3:39">
      <c r="C1224"/>
      <c r="D1224"/>
      <c r="E1224"/>
      <c r="F1224"/>
      <c r="G1224"/>
      <c r="H1224"/>
      <c r="I1224" s="740"/>
      <c r="V1224"/>
      <c r="W1224"/>
      <c r="Y1224"/>
      <c r="Z1224"/>
      <c r="AA1224"/>
      <c r="AD1224"/>
      <c r="AE1224"/>
      <c r="AF1224"/>
      <c r="AH1224"/>
      <c r="AI1224"/>
      <c r="AJ1224"/>
      <c r="AM1224"/>
    </row>
    <row r="1225" spans="3:39">
      <c r="C1225"/>
      <c r="D1225"/>
      <c r="E1225"/>
      <c r="F1225"/>
      <c r="G1225"/>
      <c r="H1225"/>
      <c r="I1225" s="740"/>
      <c r="V1225"/>
      <c r="W1225"/>
      <c r="Y1225"/>
      <c r="Z1225"/>
      <c r="AA1225"/>
      <c r="AD1225"/>
      <c r="AE1225"/>
      <c r="AF1225"/>
      <c r="AH1225"/>
      <c r="AI1225"/>
      <c r="AJ1225"/>
      <c r="AM1225"/>
    </row>
    <row r="1226" spans="3:39">
      <c r="C1226"/>
      <c r="D1226"/>
      <c r="E1226"/>
      <c r="F1226"/>
      <c r="G1226"/>
      <c r="H1226"/>
      <c r="I1226" s="740"/>
      <c r="V1226"/>
      <c r="W1226"/>
      <c r="Y1226"/>
      <c r="Z1226"/>
      <c r="AA1226"/>
      <c r="AD1226"/>
      <c r="AE1226"/>
      <c r="AF1226"/>
      <c r="AH1226"/>
      <c r="AI1226"/>
      <c r="AJ1226"/>
      <c r="AM1226"/>
    </row>
    <row r="1227" spans="3:39">
      <c r="C1227"/>
      <c r="D1227"/>
      <c r="E1227"/>
      <c r="F1227"/>
      <c r="G1227"/>
      <c r="H1227"/>
      <c r="I1227" s="740"/>
      <c r="V1227"/>
      <c r="W1227"/>
      <c r="Y1227"/>
      <c r="Z1227"/>
      <c r="AA1227"/>
      <c r="AD1227"/>
      <c r="AE1227"/>
      <c r="AF1227"/>
      <c r="AH1227"/>
      <c r="AI1227"/>
      <c r="AJ1227"/>
      <c r="AM1227"/>
    </row>
    <row r="1228" spans="3:39">
      <c r="C1228"/>
      <c r="D1228"/>
      <c r="E1228"/>
      <c r="F1228"/>
      <c r="G1228"/>
      <c r="H1228"/>
      <c r="I1228" s="740"/>
      <c r="V1228"/>
      <c r="W1228"/>
      <c r="Y1228"/>
      <c r="Z1228"/>
      <c r="AA1228"/>
      <c r="AD1228"/>
      <c r="AE1228"/>
      <c r="AF1228"/>
      <c r="AH1228"/>
      <c r="AI1228"/>
      <c r="AJ1228"/>
      <c r="AM1228"/>
    </row>
    <row r="1229" spans="3:39">
      <c r="C1229"/>
      <c r="D1229"/>
      <c r="E1229"/>
      <c r="F1229"/>
      <c r="G1229"/>
      <c r="H1229"/>
      <c r="I1229" s="740"/>
      <c r="V1229"/>
      <c r="W1229"/>
      <c r="Y1229"/>
      <c r="Z1229"/>
      <c r="AA1229"/>
      <c r="AD1229"/>
      <c r="AE1229"/>
      <c r="AF1229"/>
      <c r="AH1229"/>
      <c r="AI1229"/>
      <c r="AJ1229"/>
      <c r="AM1229"/>
    </row>
    <row r="1230" spans="3:39">
      <c r="C1230"/>
      <c r="D1230"/>
      <c r="E1230"/>
      <c r="F1230"/>
      <c r="G1230"/>
      <c r="H1230"/>
      <c r="I1230" s="740"/>
      <c r="V1230"/>
      <c r="W1230"/>
      <c r="Y1230"/>
      <c r="Z1230"/>
      <c r="AA1230"/>
      <c r="AD1230"/>
      <c r="AE1230"/>
      <c r="AF1230"/>
      <c r="AH1230"/>
      <c r="AI1230"/>
      <c r="AJ1230"/>
      <c r="AM1230"/>
    </row>
    <row r="1231" spans="3:39">
      <c r="C1231"/>
      <c r="D1231"/>
      <c r="E1231"/>
      <c r="F1231"/>
      <c r="G1231"/>
      <c r="H1231"/>
      <c r="I1231" s="740"/>
      <c r="V1231"/>
      <c r="W1231"/>
      <c r="Y1231"/>
      <c r="Z1231"/>
      <c r="AA1231"/>
      <c r="AD1231"/>
      <c r="AE1231"/>
      <c r="AF1231"/>
      <c r="AH1231"/>
      <c r="AI1231"/>
      <c r="AJ1231"/>
      <c r="AM1231"/>
    </row>
    <row r="1232" spans="3:39">
      <c r="C1232"/>
      <c r="D1232"/>
      <c r="E1232"/>
      <c r="F1232"/>
      <c r="G1232"/>
      <c r="H1232"/>
      <c r="I1232" s="740"/>
      <c r="V1232"/>
      <c r="W1232"/>
      <c r="Y1232"/>
      <c r="Z1232"/>
      <c r="AA1232"/>
      <c r="AD1232"/>
      <c r="AE1232"/>
      <c r="AF1232"/>
      <c r="AH1232"/>
      <c r="AI1232"/>
      <c r="AJ1232"/>
      <c r="AM1232"/>
    </row>
    <row r="1233" spans="3:39">
      <c r="C1233"/>
      <c r="D1233"/>
      <c r="E1233"/>
      <c r="F1233"/>
      <c r="G1233"/>
      <c r="H1233"/>
      <c r="I1233" s="740"/>
      <c r="V1233"/>
      <c r="W1233"/>
      <c r="Y1233"/>
      <c r="Z1233"/>
      <c r="AA1233"/>
      <c r="AD1233"/>
      <c r="AE1233"/>
      <c r="AF1233"/>
      <c r="AH1233"/>
      <c r="AI1233"/>
      <c r="AJ1233"/>
      <c r="AM1233"/>
    </row>
    <row r="1234" spans="3:39">
      <c r="C1234"/>
      <c r="D1234"/>
      <c r="E1234"/>
      <c r="F1234"/>
      <c r="G1234"/>
      <c r="H1234"/>
      <c r="I1234" s="740"/>
      <c r="V1234"/>
      <c r="W1234"/>
      <c r="Y1234"/>
      <c r="Z1234"/>
      <c r="AA1234"/>
      <c r="AD1234"/>
      <c r="AE1234"/>
      <c r="AF1234"/>
      <c r="AH1234"/>
      <c r="AI1234"/>
      <c r="AJ1234"/>
      <c r="AM1234"/>
    </row>
    <row r="1235" spans="3:39">
      <c r="C1235"/>
      <c r="D1235"/>
      <c r="E1235"/>
      <c r="F1235"/>
      <c r="G1235"/>
      <c r="H1235"/>
      <c r="I1235" s="740"/>
      <c r="V1235"/>
      <c r="W1235"/>
      <c r="Y1235"/>
      <c r="Z1235"/>
      <c r="AA1235"/>
      <c r="AD1235"/>
      <c r="AE1235"/>
      <c r="AF1235"/>
      <c r="AH1235"/>
      <c r="AI1235"/>
      <c r="AJ1235"/>
      <c r="AM1235"/>
    </row>
    <row r="1236" spans="3:39">
      <c r="C1236"/>
      <c r="D1236"/>
      <c r="E1236"/>
      <c r="F1236"/>
      <c r="G1236"/>
      <c r="H1236"/>
      <c r="I1236" s="740"/>
      <c r="V1236"/>
      <c r="W1236"/>
      <c r="Y1236"/>
      <c r="Z1236"/>
      <c r="AA1236"/>
      <c r="AD1236"/>
      <c r="AE1236"/>
      <c r="AF1236"/>
      <c r="AH1236"/>
      <c r="AI1236"/>
      <c r="AJ1236"/>
      <c r="AM1236"/>
    </row>
    <row r="1237" spans="3:39">
      <c r="C1237"/>
      <c r="D1237"/>
      <c r="E1237"/>
      <c r="F1237"/>
      <c r="G1237"/>
      <c r="H1237"/>
      <c r="I1237" s="740"/>
      <c r="V1237"/>
      <c r="W1237"/>
      <c r="Y1237"/>
      <c r="Z1237"/>
      <c r="AA1237"/>
      <c r="AD1237"/>
      <c r="AE1237"/>
      <c r="AF1237"/>
      <c r="AH1237"/>
      <c r="AI1237"/>
      <c r="AJ1237"/>
      <c r="AM1237"/>
    </row>
    <row r="1238" spans="3:39">
      <c r="C1238"/>
      <c r="D1238"/>
      <c r="E1238"/>
      <c r="F1238"/>
      <c r="G1238"/>
      <c r="H1238"/>
      <c r="I1238" s="740"/>
      <c r="V1238"/>
      <c r="W1238"/>
      <c r="Y1238"/>
      <c r="Z1238"/>
      <c r="AA1238"/>
      <c r="AD1238"/>
      <c r="AE1238"/>
      <c r="AF1238"/>
      <c r="AH1238"/>
      <c r="AI1238"/>
      <c r="AJ1238"/>
      <c r="AM1238"/>
    </row>
    <row r="1239" spans="3:39">
      <c r="C1239"/>
      <c r="D1239"/>
      <c r="E1239"/>
      <c r="F1239"/>
      <c r="G1239"/>
      <c r="H1239"/>
      <c r="I1239" s="740"/>
      <c r="V1239"/>
      <c r="W1239"/>
      <c r="Y1239"/>
      <c r="Z1239"/>
      <c r="AA1239"/>
      <c r="AD1239"/>
      <c r="AE1239"/>
      <c r="AF1239"/>
      <c r="AH1239"/>
      <c r="AI1239"/>
      <c r="AJ1239"/>
      <c r="AM1239"/>
    </row>
    <row r="1240" spans="3:39">
      <c r="C1240"/>
      <c r="D1240"/>
      <c r="E1240"/>
      <c r="F1240"/>
      <c r="G1240"/>
      <c r="H1240"/>
      <c r="I1240" s="740"/>
      <c r="V1240"/>
      <c r="W1240"/>
      <c r="Y1240"/>
      <c r="Z1240"/>
      <c r="AA1240"/>
      <c r="AD1240"/>
      <c r="AE1240"/>
      <c r="AF1240"/>
      <c r="AH1240"/>
      <c r="AI1240"/>
      <c r="AJ1240"/>
      <c r="AM1240"/>
    </row>
    <row r="1241" spans="3:39">
      <c r="C1241"/>
      <c r="D1241"/>
      <c r="E1241"/>
      <c r="F1241"/>
      <c r="G1241"/>
      <c r="H1241"/>
      <c r="I1241" s="740"/>
      <c r="V1241"/>
      <c r="W1241"/>
      <c r="Y1241"/>
      <c r="Z1241"/>
      <c r="AA1241"/>
      <c r="AD1241"/>
      <c r="AE1241"/>
      <c r="AF1241"/>
      <c r="AH1241"/>
      <c r="AI1241"/>
      <c r="AJ1241"/>
      <c r="AM1241"/>
    </row>
    <row r="1242" spans="3:39">
      <c r="C1242"/>
      <c r="D1242"/>
      <c r="E1242"/>
      <c r="F1242"/>
      <c r="G1242"/>
      <c r="H1242"/>
      <c r="I1242" s="740"/>
      <c r="V1242"/>
      <c r="W1242"/>
      <c r="Y1242"/>
      <c r="Z1242"/>
      <c r="AA1242"/>
      <c r="AD1242"/>
      <c r="AE1242"/>
      <c r="AF1242"/>
      <c r="AH1242"/>
      <c r="AI1242"/>
      <c r="AJ1242"/>
      <c r="AM1242"/>
    </row>
    <row r="1243" spans="3:39">
      <c r="C1243"/>
      <c r="D1243"/>
      <c r="E1243"/>
      <c r="F1243"/>
      <c r="G1243"/>
      <c r="H1243"/>
      <c r="I1243" s="740"/>
      <c r="V1243"/>
      <c r="W1243"/>
      <c r="Y1243"/>
      <c r="Z1243"/>
      <c r="AA1243"/>
      <c r="AD1243"/>
      <c r="AE1243"/>
      <c r="AF1243"/>
      <c r="AH1243"/>
      <c r="AI1243"/>
      <c r="AJ1243"/>
      <c r="AM1243"/>
    </row>
    <row r="1244" spans="3:39">
      <c r="C1244"/>
      <c r="D1244"/>
      <c r="E1244"/>
      <c r="F1244"/>
      <c r="G1244"/>
      <c r="H1244"/>
      <c r="I1244" s="740"/>
      <c r="V1244"/>
      <c r="W1244"/>
      <c r="Y1244"/>
      <c r="Z1244"/>
      <c r="AA1244"/>
      <c r="AD1244"/>
      <c r="AE1244"/>
      <c r="AF1244"/>
      <c r="AH1244"/>
      <c r="AI1244"/>
      <c r="AJ1244"/>
      <c r="AM1244"/>
    </row>
    <row r="1245" spans="3:39">
      <c r="C1245"/>
      <c r="D1245"/>
      <c r="E1245"/>
      <c r="F1245"/>
      <c r="G1245"/>
      <c r="H1245"/>
      <c r="I1245" s="740"/>
      <c r="V1245"/>
      <c r="W1245"/>
      <c r="Y1245"/>
      <c r="Z1245"/>
      <c r="AA1245"/>
      <c r="AD1245"/>
      <c r="AE1245"/>
      <c r="AF1245"/>
      <c r="AH1245"/>
      <c r="AI1245"/>
      <c r="AJ1245"/>
      <c r="AM1245"/>
    </row>
    <row r="1246" spans="3:39">
      <c r="C1246"/>
      <c r="D1246"/>
      <c r="E1246"/>
      <c r="F1246"/>
      <c r="G1246"/>
      <c r="H1246"/>
      <c r="I1246" s="740"/>
      <c r="V1246"/>
      <c r="W1246"/>
      <c r="Y1246"/>
      <c r="Z1246"/>
      <c r="AA1246"/>
      <c r="AD1246"/>
      <c r="AE1246"/>
      <c r="AF1246"/>
      <c r="AH1246"/>
      <c r="AI1246"/>
      <c r="AJ1246"/>
      <c r="AM1246"/>
    </row>
    <row r="1247" spans="3:39">
      <c r="C1247"/>
      <c r="D1247"/>
      <c r="E1247"/>
      <c r="F1247"/>
      <c r="G1247"/>
      <c r="H1247"/>
      <c r="I1247" s="740"/>
      <c r="V1247"/>
      <c r="W1247"/>
      <c r="Y1247"/>
      <c r="Z1247"/>
      <c r="AA1247"/>
      <c r="AD1247"/>
      <c r="AE1247"/>
      <c r="AF1247"/>
      <c r="AH1247"/>
      <c r="AI1247"/>
      <c r="AJ1247"/>
      <c r="AM1247"/>
    </row>
    <row r="1248" spans="3:39">
      <c r="C1248"/>
      <c r="D1248"/>
      <c r="E1248"/>
      <c r="F1248"/>
      <c r="G1248"/>
      <c r="H1248"/>
      <c r="I1248" s="740"/>
      <c r="V1248"/>
      <c r="W1248"/>
      <c r="Y1248"/>
      <c r="Z1248"/>
      <c r="AA1248"/>
      <c r="AD1248"/>
      <c r="AE1248"/>
      <c r="AF1248"/>
      <c r="AH1248"/>
      <c r="AI1248"/>
      <c r="AJ1248"/>
      <c r="AM1248"/>
    </row>
    <row r="1249" spans="3:39">
      <c r="C1249"/>
      <c r="D1249"/>
      <c r="E1249"/>
      <c r="F1249"/>
      <c r="G1249"/>
      <c r="H1249"/>
      <c r="I1249" s="740"/>
      <c r="V1249"/>
      <c r="W1249"/>
      <c r="Y1249"/>
      <c r="Z1249"/>
      <c r="AA1249"/>
      <c r="AD1249"/>
      <c r="AE1249"/>
      <c r="AF1249"/>
      <c r="AH1249"/>
      <c r="AI1249"/>
      <c r="AJ1249"/>
      <c r="AM1249"/>
    </row>
    <row r="1250" spans="3:39">
      <c r="C1250"/>
      <c r="D1250"/>
      <c r="E1250"/>
      <c r="F1250"/>
      <c r="G1250"/>
      <c r="H1250"/>
      <c r="I1250" s="740"/>
      <c r="V1250"/>
      <c r="W1250"/>
      <c r="Y1250"/>
      <c r="Z1250"/>
      <c r="AA1250"/>
      <c r="AD1250"/>
      <c r="AE1250"/>
      <c r="AF1250"/>
      <c r="AH1250"/>
      <c r="AI1250"/>
      <c r="AJ1250"/>
      <c r="AM1250"/>
    </row>
    <row r="1251" spans="3:39">
      <c r="C1251"/>
      <c r="D1251"/>
      <c r="E1251"/>
      <c r="F1251"/>
      <c r="G1251"/>
      <c r="H1251"/>
      <c r="I1251" s="740"/>
      <c r="V1251"/>
      <c r="W1251"/>
      <c r="Y1251"/>
      <c r="Z1251"/>
      <c r="AA1251"/>
      <c r="AD1251"/>
      <c r="AE1251"/>
      <c r="AF1251"/>
      <c r="AH1251"/>
      <c r="AI1251"/>
      <c r="AJ1251"/>
      <c r="AM1251"/>
    </row>
    <row r="1252" spans="3:39">
      <c r="C1252"/>
      <c r="D1252"/>
      <c r="E1252"/>
      <c r="F1252"/>
      <c r="G1252"/>
      <c r="H1252"/>
      <c r="I1252" s="740"/>
      <c r="V1252"/>
      <c r="W1252"/>
      <c r="Y1252"/>
      <c r="Z1252"/>
      <c r="AA1252"/>
      <c r="AD1252"/>
      <c r="AE1252"/>
      <c r="AF1252"/>
      <c r="AH1252"/>
      <c r="AI1252"/>
      <c r="AJ1252"/>
      <c r="AM1252"/>
    </row>
    <row r="1253" spans="3:39">
      <c r="C1253"/>
      <c r="D1253"/>
      <c r="E1253"/>
      <c r="F1253"/>
      <c r="G1253"/>
      <c r="H1253"/>
      <c r="I1253" s="740"/>
      <c r="V1253"/>
      <c r="W1253"/>
      <c r="Y1253"/>
      <c r="Z1253"/>
      <c r="AA1253"/>
      <c r="AD1253"/>
      <c r="AE1253"/>
      <c r="AF1253"/>
      <c r="AH1253"/>
      <c r="AI1253"/>
      <c r="AJ1253"/>
      <c r="AM1253"/>
    </row>
    <row r="1254" spans="3:39">
      <c r="C1254"/>
      <c r="D1254"/>
      <c r="E1254"/>
      <c r="F1254"/>
      <c r="G1254"/>
      <c r="H1254"/>
      <c r="I1254" s="740"/>
      <c r="V1254"/>
      <c r="W1254"/>
      <c r="Y1254"/>
      <c r="Z1254"/>
      <c r="AA1254"/>
      <c r="AD1254"/>
      <c r="AE1254"/>
      <c r="AF1254"/>
      <c r="AH1254"/>
      <c r="AI1254"/>
      <c r="AJ1254"/>
      <c r="AM1254"/>
    </row>
    <row r="1255" spans="3:39">
      <c r="C1255"/>
      <c r="D1255"/>
      <c r="E1255"/>
      <c r="F1255"/>
      <c r="G1255"/>
      <c r="H1255"/>
      <c r="I1255" s="740"/>
      <c r="V1255"/>
      <c r="W1255"/>
      <c r="Y1255"/>
      <c r="Z1255"/>
      <c r="AA1255"/>
      <c r="AD1255"/>
      <c r="AE1255"/>
      <c r="AF1255"/>
      <c r="AH1255"/>
      <c r="AI1255"/>
      <c r="AJ1255"/>
      <c r="AM1255"/>
    </row>
    <row r="1256" spans="3:39">
      <c r="C1256"/>
      <c r="D1256"/>
      <c r="E1256"/>
      <c r="F1256"/>
      <c r="G1256"/>
      <c r="H1256"/>
      <c r="I1256" s="740"/>
      <c r="V1256"/>
      <c r="W1256"/>
      <c r="Y1256"/>
      <c r="Z1256"/>
      <c r="AA1256"/>
      <c r="AD1256"/>
      <c r="AE1256"/>
      <c r="AF1256"/>
      <c r="AH1256"/>
      <c r="AI1256"/>
      <c r="AJ1256"/>
      <c r="AM1256"/>
    </row>
    <row r="1257" spans="3:39">
      <c r="C1257"/>
      <c r="D1257"/>
      <c r="E1257"/>
      <c r="F1257"/>
      <c r="G1257"/>
      <c r="H1257"/>
      <c r="I1257" s="740"/>
      <c r="V1257"/>
      <c r="W1257"/>
      <c r="Y1257"/>
      <c r="Z1257"/>
      <c r="AA1257"/>
      <c r="AD1257"/>
      <c r="AE1257"/>
      <c r="AF1257"/>
      <c r="AH1257"/>
      <c r="AI1257"/>
      <c r="AJ1257"/>
      <c r="AM1257"/>
    </row>
    <row r="1258" spans="3:39">
      <c r="C1258"/>
      <c r="D1258"/>
      <c r="E1258"/>
      <c r="F1258"/>
      <c r="G1258"/>
      <c r="H1258"/>
      <c r="I1258" s="740"/>
      <c r="V1258"/>
      <c r="W1258"/>
      <c r="Y1258"/>
      <c r="Z1258"/>
      <c r="AA1258"/>
      <c r="AD1258"/>
      <c r="AE1258"/>
      <c r="AF1258"/>
      <c r="AH1258"/>
      <c r="AI1258"/>
      <c r="AJ1258"/>
      <c r="AM1258"/>
    </row>
    <row r="1259" spans="3:39">
      <c r="C1259"/>
      <c r="D1259"/>
      <c r="E1259"/>
      <c r="F1259"/>
      <c r="G1259"/>
      <c r="H1259"/>
      <c r="I1259" s="740"/>
      <c r="V1259"/>
      <c r="W1259"/>
      <c r="Y1259"/>
      <c r="Z1259"/>
      <c r="AA1259"/>
      <c r="AD1259"/>
      <c r="AE1259"/>
      <c r="AF1259"/>
      <c r="AH1259"/>
      <c r="AI1259"/>
      <c r="AJ1259"/>
      <c r="AM1259"/>
    </row>
    <row r="1260" spans="3:39">
      <c r="C1260"/>
      <c r="D1260"/>
      <c r="E1260"/>
      <c r="F1260"/>
      <c r="G1260"/>
      <c r="H1260"/>
      <c r="I1260" s="740"/>
      <c r="V1260"/>
      <c r="W1260"/>
      <c r="Y1260"/>
      <c r="Z1260"/>
      <c r="AA1260"/>
      <c r="AD1260"/>
      <c r="AE1260"/>
      <c r="AF1260"/>
      <c r="AH1260"/>
      <c r="AI1260"/>
      <c r="AJ1260"/>
      <c r="AM1260"/>
    </row>
    <row r="1261" spans="3:39">
      <c r="C1261"/>
      <c r="D1261"/>
      <c r="E1261"/>
      <c r="F1261"/>
      <c r="G1261"/>
      <c r="H1261"/>
      <c r="I1261" s="740"/>
      <c r="V1261"/>
      <c r="W1261"/>
      <c r="Y1261"/>
      <c r="Z1261"/>
      <c r="AA1261"/>
      <c r="AD1261"/>
      <c r="AE1261"/>
      <c r="AF1261"/>
      <c r="AH1261"/>
      <c r="AI1261"/>
      <c r="AJ1261"/>
      <c r="AM1261"/>
    </row>
    <row r="1262" spans="3:39">
      <c r="C1262"/>
      <c r="D1262"/>
      <c r="E1262"/>
      <c r="F1262"/>
      <c r="G1262"/>
      <c r="H1262"/>
      <c r="I1262" s="740"/>
      <c r="V1262"/>
      <c r="W1262"/>
      <c r="Y1262"/>
      <c r="Z1262"/>
      <c r="AA1262"/>
      <c r="AD1262"/>
      <c r="AE1262"/>
      <c r="AF1262"/>
      <c r="AH1262"/>
      <c r="AI1262"/>
      <c r="AJ1262"/>
      <c r="AM1262"/>
    </row>
    <row r="1263" spans="3:39">
      <c r="C1263"/>
      <c r="D1263"/>
      <c r="E1263"/>
      <c r="F1263"/>
      <c r="G1263"/>
      <c r="H1263"/>
      <c r="I1263" s="740"/>
      <c r="V1263"/>
      <c r="W1263"/>
      <c r="Y1263"/>
      <c r="Z1263"/>
      <c r="AA1263"/>
      <c r="AD1263"/>
      <c r="AE1263"/>
      <c r="AF1263"/>
      <c r="AH1263"/>
      <c r="AI1263"/>
      <c r="AJ1263"/>
      <c r="AM1263"/>
    </row>
    <row r="1264" spans="3:39">
      <c r="C1264"/>
      <c r="D1264"/>
      <c r="E1264"/>
      <c r="F1264"/>
      <c r="G1264"/>
      <c r="H1264"/>
      <c r="I1264" s="740"/>
      <c r="V1264"/>
      <c r="W1264"/>
      <c r="Y1264"/>
      <c r="Z1264"/>
      <c r="AA1264"/>
      <c r="AD1264"/>
      <c r="AE1264"/>
      <c r="AF1264"/>
      <c r="AH1264"/>
      <c r="AI1264"/>
      <c r="AJ1264"/>
      <c r="AM1264"/>
    </row>
    <row r="1265" spans="3:39">
      <c r="C1265"/>
      <c r="D1265"/>
      <c r="E1265"/>
      <c r="F1265"/>
      <c r="G1265"/>
      <c r="H1265"/>
      <c r="I1265" s="740"/>
      <c r="V1265"/>
      <c r="W1265"/>
      <c r="Y1265"/>
      <c r="Z1265"/>
      <c r="AA1265"/>
      <c r="AD1265"/>
      <c r="AE1265"/>
      <c r="AF1265"/>
      <c r="AH1265"/>
      <c r="AI1265"/>
      <c r="AJ1265"/>
      <c r="AM1265"/>
    </row>
    <row r="1266" spans="3:39">
      <c r="C1266"/>
      <c r="D1266"/>
      <c r="E1266"/>
      <c r="F1266"/>
      <c r="G1266"/>
      <c r="H1266"/>
      <c r="I1266" s="740"/>
      <c r="V1266"/>
      <c r="W1266"/>
      <c r="Y1266"/>
      <c r="Z1266"/>
      <c r="AA1266"/>
      <c r="AD1266"/>
      <c r="AE1266"/>
      <c r="AF1266"/>
      <c r="AH1266"/>
      <c r="AI1266"/>
      <c r="AJ1266"/>
      <c r="AM1266"/>
    </row>
    <row r="1267" spans="3:39">
      <c r="C1267"/>
      <c r="D1267"/>
      <c r="E1267"/>
      <c r="F1267"/>
      <c r="G1267"/>
      <c r="H1267"/>
      <c r="I1267" s="740"/>
      <c r="V1267"/>
      <c r="W1267"/>
      <c r="Y1267"/>
      <c r="Z1267"/>
      <c r="AA1267"/>
      <c r="AD1267"/>
      <c r="AE1267"/>
      <c r="AF1267"/>
      <c r="AH1267"/>
      <c r="AI1267"/>
      <c r="AJ1267"/>
      <c r="AM1267"/>
    </row>
    <row r="1268" spans="3:39">
      <c r="C1268"/>
      <c r="D1268"/>
      <c r="E1268"/>
      <c r="F1268"/>
      <c r="G1268"/>
      <c r="H1268"/>
      <c r="I1268" s="740"/>
      <c r="V1268"/>
      <c r="W1268"/>
      <c r="Y1268"/>
      <c r="Z1268"/>
      <c r="AA1268"/>
      <c r="AD1268"/>
      <c r="AE1268"/>
      <c r="AF1268"/>
      <c r="AH1268"/>
      <c r="AI1268"/>
      <c r="AJ1268"/>
      <c r="AM1268"/>
    </row>
    <row r="1269" spans="3:39">
      <c r="C1269"/>
      <c r="D1269"/>
      <c r="E1269"/>
      <c r="F1269"/>
      <c r="G1269"/>
      <c r="H1269"/>
      <c r="I1269" s="740"/>
      <c r="V1269"/>
      <c r="W1269"/>
      <c r="Y1269"/>
      <c r="Z1269"/>
      <c r="AA1269"/>
      <c r="AD1269"/>
      <c r="AE1269"/>
      <c r="AF1269"/>
      <c r="AH1269"/>
      <c r="AI1269"/>
      <c r="AJ1269"/>
      <c r="AM1269"/>
    </row>
    <row r="1270" spans="3:39">
      <c r="C1270"/>
      <c r="D1270"/>
      <c r="E1270"/>
      <c r="F1270"/>
      <c r="G1270"/>
      <c r="H1270"/>
      <c r="I1270" s="740"/>
      <c r="V1270"/>
      <c r="W1270"/>
      <c r="Y1270"/>
      <c r="Z1270"/>
      <c r="AA1270"/>
      <c r="AD1270"/>
      <c r="AE1270"/>
      <c r="AF1270"/>
      <c r="AH1270"/>
      <c r="AI1270"/>
      <c r="AJ1270"/>
      <c r="AM1270"/>
    </row>
    <row r="1271" spans="3:39">
      <c r="C1271"/>
      <c r="D1271"/>
      <c r="E1271"/>
      <c r="F1271"/>
      <c r="G1271"/>
      <c r="H1271"/>
      <c r="I1271" s="740"/>
      <c r="V1271"/>
      <c r="W1271"/>
      <c r="Y1271"/>
      <c r="Z1271"/>
      <c r="AA1271"/>
      <c r="AD1271"/>
      <c r="AE1271"/>
      <c r="AF1271"/>
      <c r="AH1271"/>
      <c r="AI1271"/>
      <c r="AJ1271"/>
      <c r="AM1271"/>
    </row>
    <row r="1272" spans="3:39">
      <c r="C1272"/>
      <c r="D1272"/>
      <c r="E1272"/>
      <c r="F1272"/>
      <c r="G1272"/>
      <c r="H1272"/>
      <c r="I1272" s="740"/>
      <c r="V1272"/>
      <c r="W1272"/>
      <c r="Y1272"/>
      <c r="Z1272"/>
      <c r="AA1272"/>
      <c r="AD1272"/>
      <c r="AE1272"/>
      <c r="AF1272"/>
      <c r="AH1272"/>
      <c r="AI1272"/>
      <c r="AJ1272"/>
      <c r="AM1272"/>
    </row>
    <row r="1273" spans="3:39">
      <c r="C1273"/>
      <c r="D1273"/>
      <c r="E1273"/>
      <c r="F1273"/>
      <c r="G1273"/>
      <c r="H1273"/>
      <c r="I1273" s="740"/>
      <c r="V1273"/>
      <c r="W1273"/>
      <c r="Y1273"/>
      <c r="Z1273"/>
      <c r="AA1273"/>
      <c r="AD1273"/>
      <c r="AE1273"/>
      <c r="AF1273"/>
      <c r="AH1273"/>
      <c r="AI1273"/>
      <c r="AJ1273"/>
      <c r="AM1273"/>
    </row>
    <row r="1274" spans="3:39">
      <c r="C1274"/>
      <c r="D1274"/>
      <c r="E1274"/>
      <c r="F1274"/>
      <c r="G1274"/>
      <c r="H1274"/>
      <c r="I1274" s="740"/>
      <c r="V1274"/>
      <c r="W1274"/>
      <c r="Y1274"/>
      <c r="Z1274"/>
      <c r="AA1274"/>
      <c r="AD1274"/>
      <c r="AE1274"/>
      <c r="AF1274"/>
      <c r="AH1274"/>
      <c r="AI1274"/>
      <c r="AJ1274"/>
      <c r="AM1274"/>
    </row>
    <row r="1275" spans="3:39">
      <c r="C1275"/>
      <c r="D1275"/>
      <c r="E1275"/>
      <c r="F1275"/>
      <c r="G1275"/>
      <c r="H1275"/>
      <c r="I1275" s="740"/>
      <c r="V1275"/>
      <c r="W1275"/>
      <c r="Y1275"/>
      <c r="Z1275"/>
      <c r="AA1275"/>
      <c r="AD1275"/>
      <c r="AE1275"/>
      <c r="AF1275"/>
      <c r="AH1275"/>
      <c r="AI1275"/>
      <c r="AJ1275"/>
      <c r="AM1275"/>
    </row>
    <row r="1276" spans="3:39">
      <c r="C1276"/>
      <c r="D1276"/>
      <c r="E1276"/>
      <c r="F1276"/>
      <c r="G1276"/>
      <c r="H1276"/>
      <c r="I1276" s="740"/>
      <c r="V1276"/>
      <c r="W1276"/>
      <c r="Y1276"/>
      <c r="Z1276"/>
      <c r="AA1276"/>
      <c r="AD1276"/>
      <c r="AE1276"/>
      <c r="AF1276"/>
      <c r="AH1276"/>
      <c r="AI1276"/>
      <c r="AJ1276"/>
      <c r="AM1276"/>
    </row>
    <row r="1277" spans="3:39">
      <c r="C1277"/>
      <c r="D1277"/>
      <c r="E1277"/>
      <c r="F1277"/>
      <c r="G1277"/>
      <c r="H1277"/>
      <c r="I1277" s="740"/>
      <c r="V1277"/>
      <c r="W1277"/>
      <c r="Y1277"/>
      <c r="Z1277"/>
      <c r="AA1277"/>
      <c r="AD1277"/>
      <c r="AE1277"/>
      <c r="AF1277"/>
      <c r="AH1277"/>
      <c r="AI1277"/>
      <c r="AJ1277"/>
      <c r="AM1277"/>
    </row>
    <row r="1278" spans="3:39">
      <c r="C1278"/>
      <c r="D1278"/>
      <c r="E1278"/>
      <c r="F1278"/>
      <c r="G1278"/>
      <c r="H1278"/>
      <c r="I1278" s="740"/>
      <c r="V1278"/>
      <c r="W1278"/>
      <c r="Y1278"/>
      <c r="Z1278"/>
      <c r="AA1278"/>
      <c r="AD1278"/>
      <c r="AE1278"/>
      <c r="AF1278"/>
      <c r="AH1278"/>
      <c r="AI1278"/>
      <c r="AJ1278"/>
      <c r="AM1278"/>
    </row>
    <row r="1279" spans="3:39">
      <c r="C1279"/>
      <c r="D1279"/>
      <c r="E1279"/>
      <c r="F1279"/>
      <c r="G1279"/>
      <c r="H1279"/>
      <c r="I1279" s="740"/>
      <c r="V1279"/>
      <c r="W1279"/>
      <c r="Y1279"/>
      <c r="Z1279"/>
      <c r="AA1279"/>
      <c r="AD1279"/>
      <c r="AE1279"/>
      <c r="AF1279"/>
      <c r="AH1279"/>
      <c r="AI1279"/>
      <c r="AJ1279"/>
      <c r="AM1279"/>
    </row>
    <row r="1280" spans="3:39">
      <c r="C1280"/>
      <c r="D1280"/>
      <c r="E1280"/>
      <c r="F1280"/>
      <c r="G1280"/>
      <c r="H1280"/>
      <c r="I1280" s="740"/>
      <c r="V1280"/>
      <c r="W1280"/>
      <c r="Y1280"/>
      <c r="Z1280"/>
      <c r="AA1280"/>
      <c r="AD1280"/>
      <c r="AE1280"/>
      <c r="AF1280"/>
      <c r="AH1280"/>
      <c r="AI1280"/>
      <c r="AJ1280"/>
      <c r="AM1280"/>
    </row>
    <row r="1281" spans="3:39">
      <c r="C1281"/>
      <c r="D1281"/>
      <c r="E1281"/>
      <c r="F1281"/>
      <c r="G1281"/>
      <c r="H1281"/>
      <c r="I1281" s="740"/>
      <c r="V1281"/>
      <c r="W1281"/>
      <c r="Y1281"/>
      <c r="Z1281"/>
      <c r="AA1281"/>
      <c r="AD1281"/>
      <c r="AE1281"/>
      <c r="AF1281"/>
      <c r="AH1281"/>
      <c r="AI1281"/>
      <c r="AJ1281"/>
      <c r="AM1281"/>
    </row>
    <row r="1282" spans="3:39">
      <c r="C1282"/>
      <c r="D1282"/>
      <c r="E1282"/>
      <c r="F1282"/>
      <c r="G1282"/>
      <c r="H1282"/>
      <c r="I1282" s="740"/>
      <c r="V1282"/>
      <c r="W1282"/>
      <c r="Y1282"/>
      <c r="Z1282"/>
      <c r="AA1282"/>
      <c r="AD1282"/>
      <c r="AE1282"/>
      <c r="AF1282"/>
      <c r="AH1282"/>
      <c r="AI1282"/>
      <c r="AJ1282"/>
      <c r="AM1282"/>
    </row>
    <row r="1283" spans="3:39">
      <c r="C1283"/>
      <c r="D1283"/>
      <c r="E1283"/>
      <c r="F1283"/>
      <c r="G1283"/>
      <c r="H1283"/>
      <c r="I1283" s="740"/>
      <c r="V1283"/>
      <c r="W1283"/>
      <c r="Y1283"/>
      <c r="Z1283"/>
      <c r="AA1283"/>
      <c r="AD1283"/>
      <c r="AE1283"/>
      <c r="AF1283"/>
      <c r="AH1283"/>
      <c r="AI1283"/>
      <c r="AJ1283"/>
      <c r="AM1283"/>
    </row>
    <row r="1284" spans="3:39">
      <c r="C1284"/>
      <c r="D1284"/>
      <c r="E1284"/>
      <c r="F1284"/>
      <c r="G1284"/>
      <c r="H1284"/>
      <c r="I1284" s="740"/>
      <c r="V1284"/>
      <c r="W1284"/>
      <c r="Y1284"/>
      <c r="Z1284"/>
      <c r="AA1284"/>
      <c r="AD1284"/>
      <c r="AE1284"/>
      <c r="AF1284"/>
      <c r="AH1284"/>
      <c r="AI1284"/>
      <c r="AJ1284"/>
      <c r="AM1284"/>
    </row>
    <row r="1285" spans="3:39">
      <c r="C1285"/>
      <c r="D1285"/>
      <c r="E1285"/>
      <c r="F1285"/>
      <c r="G1285"/>
      <c r="H1285"/>
      <c r="I1285" s="740"/>
      <c r="V1285"/>
      <c r="W1285"/>
      <c r="Y1285"/>
      <c r="Z1285"/>
      <c r="AA1285"/>
      <c r="AD1285"/>
      <c r="AE1285"/>
      <c r="AF1285"/>
      <c r="AH1285"/>
      <c r="AI1285"/>
      <c r="AJ1285"/>
      <c r="AM1285"/>
    </row>
    <row r="1286" spans="3:39">
      <c r="C1286"/>
      <c r="D1286"/>
      <c r="E1286"/>
      <c r="F1286"/>
      <c r="G1286"/>
      <c r="H1286"/>
      <c r="I1286" s="740"/>
      <c r="V1286"/>
      <c r="W1286"/>
      <c r="Y1286"/>
      <c r="Z1286"/>
      <c r="AA1286"/>
      <c r="AD1286"/>
      <c r="AE1286"/>
      <c r="AF1286"/>
      <c r="AH1286"/>
      <c r="AI1286"/>
      <c r="AJ1286"/>
      <c r="AM1286"/>
    </row>
    <row r="1287" spans="3:39">
      <c r="C1287"/>
      <c r="D1287"/>
      <c r="E1287"/>
      <c r="F1287"/>
      <c r="G1287"/>
      <c r="H1287"/>
      <c r="I1287" s="740"/>
      <c r="V1287"/>
      <c r="W1287"/>
      <c r="Y1287"/>
      <c r="Z1287"/>
      <c r="AA1287"/>
      <c r="AD1287"/>
      <c r="AE1287"/>
      <c r="AF1287"/>
      <c r="AH1287"/>
      <c r="AI1287"/>
      <c r="AJ1287"/>
      <c r="AM1287"/>
    </row>
    <row r="1288" spans="3:39">
      <c r="C1288"/>
      <c r="D1288"/>
      <c r="E1288"/>
      <c r="F1288"/>
      <c r="G1288"/>
      <c r="H1288"/>
      <c r="I1288" s="740"/>
      <c r="V1288"/>
      <c r="W1288"/>
      <c r="Y1288"/>
      <c r="Z1288"/>
      <c r="AA1288"/>
      <c r="AD1288"/>
      <c r="AE1288"/>
      <c r="AF1288"/>
      <c r="AH1288"/>
      <c r="AI1288"/>
      <c r="AJ1288"/>
      <c r="AM1288"/>
    </row>
    <row r="1289" spans="3:39">
      <c r="C1289"/>
      <c r="D1289"/>
      <c r="E1289"/>
      <c r="F1289"/>
      <c r="G1289"/>
      <c r="H1289"/>
      <c r="I1289" s="740"/>
      <c r="V1289"/>
      <c r="W1289"/>
      <c r="Y1289"/>
      <c r="Z1289"/>
      <c r="AA1289"/>
      <c r="AD1289"/>
      <c r="AE1289"/>
      <c r="AF1289"/>
      <c r="AH1289"/>
      <c r="AI1289"/>
      <c r="AJ1289"/>
      <c r="AM1289"/>
    </row>
    <row r="1290" spans="3:39">
      <c r="C1290"/>
      <c r="D1290"/>
      <c r="E1290"/>
      <c r="F1290"/>
      <c r="G1290"/>
      <c r="H1290"/>
      <c r="I1290" s="740"/>
      <c r="V1290"/>
      <c r="W1290"/>
      <c r="Y1290"/>
      <c r="Z1290"/>
      <c r="AA1290"/>
      <c r="AD1290"/>
      <c r="AE1290"/>
      <c r="AF1290"/>
      <c r="AH1290"/>
      <c r="AI1290"/>
      <c r="AJ1290"/>
      <c r="AM1290"/>
    </row>
    <row r="1291" spans="3:39">
      <c r="C1291"/>
      <c r="D1291"/>
      <c r="E1291"/>
      <c r="F1291"/>
      <c r="G1291"/>
      <c r="H1291"/>
      <c r="I1291" s="740"/>
      <c r="V1291"/>
      <c r="W1291"/>
      <c r="Y1291"/>
      <c r="Z1291"/>
      <c r="AA1291"/>
      <c r="AD1291"/>
      <c r="AE1291"/>
      <c r="AF1291"/>
      <c r="AH1291"/>
      <c r="AI1291"/>
      <c r="AJ1291"/>
      <c r="AM1291"/>
    </row>
    <row r="1292" spans="3:39">
      <c r="C1292"/>
      <c r="D1292"/>
      <c r="E1292"/>
      <c r="F1292"/>
      <c r="G1292"/>
      <c r="H1292"/>
      <c r="I1292" s="740"/>
      <c r="V1292"/>
      <c r="W1292"/>
      <c r="Y1292"/>
      <c r="Z1292"/>
      <c r="AA1292"/>
      <c r="AD1292"/>
      <c r="AE1292"/>
      <c r="AF1292"/>
      <c r="AH1292"/>
      <c r="AI1292"/>
      <c r="AJ1292"/>
      <c r="AM1292"/>
    </row>
    <row r="1293" spans="3:39">
      <c r="C1293"/>
      <c r="D1293"/>
      <c r="E1293"/>
      <c r="F1293"/>
      <c r="G1293"/>
      <c r="H1293"/>
      <c r="I1293" s="740"/>
      <c r="V1293"/>
      <c r="W1293"/>
      <c r="Y1293"/>
      <c r="Z1293"/>
      <c r="AA1293"/>
      <c r="AD1293"/>
      <c r="AE1293"/>
      <c r="AF1293"/>
      <c r="AH1293"/>
      <c r="AI1293"/>
      <c r="AJ1293"/>
      <c r="AM1293"/>
    </row>
    <row r="1294" spans="3:39">
      <c r="C1294"/>
      <c r="D1294"/>
      <c r="E1294"/>
      <c r="F1294"/>
      <c r="G1294"/>
      <c r="H1294"/>
      <c r="I1294" s="740"/>
      <c r="V1294"/>
      <c r="W1294"/>
      <c r="Y1294"/>
      <c r="Z1294"/>
      <c r="AA1294"/>
      <c r="AD1294"/>
      <c r="AE1294"/>
      <c r="AF1294"/>
      <c r="AH1294"/>
      <c r="AI1294"/>
      <c r="AJ1294"/>
      <c r="AM1294"/>
    </row>
    <row r="1295" spans="3:39">
      <c r="C1295"/>
      <c r="D1295"/>
      <c r="E1295"/>
      <c r="F1295"/>
      <c r="G1295"/>
      <c r="H1295"/>
      <c r="I1295" s="740"/>
      <c r="V1295"/>
      <c r="W1295"/>
      <c r="Y1295"/>
      <c r="Z1295"/>
      <c r="AA1295"/>
      <c r="AD1295"/>
      <c r="AE1295"/>
      <c r="AF1295"/>
      <c r="AH1295"/>
      <c r="AI1295"/>
      <c r="AJ1295"/>
      <c r="AM1295"/>
    </row>
    <row r="1296" spans="3:39">
      <c r="C1296"/>
      <c r="D1296"/>
      <c r="E1296"/>
      <c r="F1296"/>
      <c r="G1296"/>
      <c r="H1296"/>
      <c r="I1296" s="740"/>
      <c r="V1296"/>
      <c r="W1296"/>
      <c r="Y1296"/>
      <c r="Z1296"/>
      <c r="AA1296"/>
      <c r="AD1296"/>
      <c r="AE1296"/>
      <c r="AF1296"/>
      <c r="AH1296"/>
      <c r="AI1296"/>
      <c r="AJ1296"/>
      <c r="AM1296"/>
    </row>
    <row r="1297" spans="3:39">
      <c r="C1297"/>
      <c r="D1297"/>
      <c r="E1297"/>
      <c r="F1297"/>
      <c r="G1297"/>
      <c r="H1297"/>
      <c r="I1297" s="740"/>
      <c r="V1297"/>
      <c r="W1297"/>
      <c r="Y1297"/>
      <c r="Z1297"/>
      <c r="AA1297"/>
      <c r="AD1297"/>
      <c r="AE1297"/>
      <c r="AF1297"/>
      <c r="AH1297"/>
      <c r="AI1297"/>
      <c r="AJ1297"/>
      <c r="AM1297"/>
    </row>
    <row r="1298" spans="3:39">
      <c r="C1298"/>
      <c r="D1298"/>
      <c r="E1298"/>
      <c r="F1298"/>
      <c r="G1298"/>
      <c r="H1298"/>
      <c r="I1298" s="740"/>
      <c r="V1298"/>
      <c r="W1298"/>
      <c r="Y1298"/>
      <c r="Z1298"/>
      <c r="AA1298"/>
      <c r="AD1298"/>
      <c r="AE1298"/>
      <c r="AF1298"/>
      <c r="AH1298"/>
      <c r="AI1298"/>
      <c r="AJ1298"/>
      <c r="AM1298"/>
    </row>
    <row r="1299" spans="3:39">
      <c r="C1299"/>
      <c r="D1299"/>
      <c r="E1299"/>
      <c r="F1299"/>
      <c r="G1299"/>
      <c r="H1299"/>
      <c r="I1299" s="740"/>
      <c r="V1299"/>
      <c r="W1299"/>
      <c r="Y1299"/>
      <c r="Z1299"/>
      <c r="AA1299"/>
      <c r="AD1299"/>
      <c r="AE1299"/>
      <c r="AF1299"/>
      <c r="AH1299"/>
      <c r="AI1299"/>
      <c r="AJ1299"/>
      <c r="AM1299"/>
    </row>
    <row r="1300" spans="3:39">
      <c r="C1300"/>
      <c r="D1300"/>
      <c r="E1300"/>
      <c r="F1300"/>
      <c r="G1300"/>
      <c r="H1300"/>
      <c r="I1300" s="740"/>
      <c r="V1300"/>
      <c r="W1300"/>
      <c r="Y1300"/>
      <c r="Z1300"/>
      <c r="AA1300"/>
      <c r="AD1300"/>
      <c r="AE1300"/>
      <c r="AF1300"/>
      <c r="AH1300"/>
      <c r="AI1300"/>
      <c r="AJ1300"/>
      <c r="AM1300"/>
    </row>
    <row r="1301" spans="3:39">
      <c r="C1301"/>
      <c r="D1301"/>
      <c r="E1301"/>
      <c r="F1301"/>
      <c r="G1301"/>
      <c r="H1301"/>
      <c r="I1301" s="740"/>
      <c r="V1301"/>
      <c r="W1301"/>
      <c r="Y1301"/>
      <c r="Z1301"/>
      <c r="AA1301"/>
      <c r="AD1301"/>
      <c r="AE1301"/>
      <c r="AF1301"/>
      <c r="AH1301"/>
      <c r="AI1301"/>
      <c r="AJ1301"/>
      <c r="AM1301"/>
    </row>
    <row r="1302" spans="3:39">
      <c r="C1302"/>
      <c r="D1302"/>
      <c r="E1302"/>
      <c r="F1302"/>
      <c r="G1302"/>
      <c r="H1302"/>
      <c r="I1302" s="740"/>
      <c r="V1302"/>
      <c r="W1302"/>
      <c r="Y1302"/>
      <c r="Z1302"/>
      <c r="AA1302"/>
      <c r="AD1302"/>
      <c r="AE1302"/>
      <c r="AF1302"/>
      <c r="AH1302"/>
      <c r="AI1302"/>
      <c r="AJ1302"/>
      <c r="AM1302"/>
    </row>
    <row r="1303" spans="3:39">
      <c r="C1303"/>
      <c r="D1303"/>
      <c r="E1303"/>
      <c r="F1303"/>
      <c r="G1303"/>
      <c r="H1303"/>
      <c r="I1303" s="740"/>
      <c r="V1303"/>
      <c r="W1303"/>
      <c r="Y1303"/>
      <c r="Z1303"/>
      <c r="AA1303"/>
      <c r="AD1303"/>
      <c r="AE1303"/>
      <c r="AF1303"/>
      <c r="AH1303"/>
      <c r="AI1303"/>
      <c r="AJ1303"/>
      <c r="AM1303"/>
    </row>
    <row r="1304" spans="3:39">
      <c r="C1304"/>
      <c r="D1304"/>
      <c r="E1304"/>
      <c r="F1304"/>
      <c r="G1304"/>
      <c r="H1304"/>
      <c r="I1304" s="740"/>
      <c r="V1304"/>
      <c r="W1304"/>
      <c r="Y1304"/>
      <c r="Z1304"/>
      <c r="AA1304"/>
      <c r="AD1304"/>
      <c r="AE1304"/>
      <c r="AF1304"/>
      <c r="AH1304"/>
      <c r="AI1304"/>
      <c r="AJ1304"/>
      <c r="AM1304"/>
    </row>
    <row r="1305" spans="3:39">
      <c r="C1305"/>
      <c r="D1305"/>
      <c r="E1305"/>
      <c r="F1305"/>
      <c r="G1305"/>
      <c r="H1305"/>
      <c r="I1305" s="740"/>
      <c r="V1305"/>
      <c r="W1305"/>
      <c r="Y1305"/>
      <c r="Z1305"/>
      <c r="AA1305"/>
      <c r="AD1305"/>
      <c r="AE1305"/>
      <c r="AF1305"/>
      <c r="AH1305"/>
      <c r="AI1305"/>
      <c r="AJ1305"/>
      <c r="AM1305"/>
    </row>
    <row r="1306" spans="3:39">
      <c r="C1306"/>
      <c r="D1306"/>
      <c r="E1306"/>
      <c r="F1306"/>
      <c r="G1306"/>
      <c r="H1306"/>
      <c r="I1306" s="740"/>
      <c r="V1306"/>
      <c r="W1306"/>
      <c r="Y1306"/>
      <c r="Z1306"/>
      <c r="AA1306"/>
      <c r="AD1306"/>
      <c r="AE1306"/>
      <c r="AF1306"/>
      <c r="AH1306"/>
      <c r="AI1306"/>
      <c r="AJ1306"/>
      <c r="AM1306"/>
    </row>
    <row r="1307" spans="3:39">
      <c r="C1307"/>
      <c r="D1307"/>
      <c r="E1307"/>
      <c r="F1307"/>
      <c r="G1307"/>
      <c r="H1307"/>
      <c r="I1307" s="740"/>
      <c r="V1307"/>
      <c r="W1307"/>
      <c r="Y1307"/>
      <c r="Z1307"/>
      <c r="AA1307"/>
      <c r="AD1307"/>
      <c r="AE1307"/>
      <c r="AF1307"/>
      <c r="AH1307"/>
      <c r="AI1307"/>
      <c r="AJ1307"/>
      <c r="AM1307"/>
    </row>
    <row r="1308" spans="3:39">
      <c r="C1308"/>
      <c r="D1308"/>
      <c r="E1308"/>
      <c r="F1308"/>
      <c r="G1308"/>
      <c r="H1308"/>
      <c r="I1308" s="740"/>
      <c r="V1308"/>
      <c r="W1308"/>
      <c r="Y1308"/>
      <c r="Z1308"/>
      <c r="AA1308"/>
      <c r="AD1308"/>
      <c r="AE1308"/>
      <c r="AF1308"/>
      <c r="AH1308"/>
      <c r="AI1308"/>
      <c r="AJ1308"/>
      <c r="AM1308"/>
    </row>
    <row r="1309" spans="3:39">
      <c r="C1309"/>
      <c r="D1309"/>
      <c r="E1309"/>
      <c r="F1309"/>
      <c r="G1309"/>
      <c r="H1309"/>
      <c r="I1309" s="740"/>
      <c r="V1309"/>
      <c r="W1309"/>
      <c r="Y1309"/>
      <c r="Z1309"/>
      <c r="AA1309"/>
      <c r="AD1309"/>
      <c r="AE1309"/>
      <c r="AF1309"/>
      <c r="AH1309"/>
      <c r="AI1309"/>
      <c r="AJ1309"/>
      <c r="AM1309"/>
    </row>
    <row r="1310" spans="3:39">
      <c r="C1310"/>
      <c r="D1310"/>
      <c r="E1310"/>
      <c r="F1310"/>
      <c r="G1310"/>
      <c r="H1310"/>
      <c r="I1310" s="740"/>
      <c r="V1310"/>
      <c r="W1310"/>
      <c r="Y1310"/>
      <c r="Z1310"/>
      <c r="AA1310"/>
      <c r="AD1310"/>
      <c r="AE1310"/>
      <c r="AF1310"/>
      <c r="AH1310"/>
      <c r="AI1310"/>
      <c r="AJ1310"/>
      <c r="AM1310"/>
    </row>
    <row r="1311" spans="3:39">
      <c r="C1311"/>
      <c r="D1311"/>
      <c r="E1311"/>
      <c r="F1311"/>
      <c r="G1311"/>
      <c r="H1311"/>
      <c r="I1311" s="740"/>
      <c r="V1311"/>
      <c r="W1311"/>
      <c r="Y1311"/>
      <c r="Z1311"/>
      <c r="AA1311"/>
      <c r="AD1311"/>
      <c r="AE1311"/>
      <c r="AF1311"/>
      <c r="AH1311"/>
      <c r="AI1311"/>
      <c r="AJ1311"/>
      <c r="AM1311"/>
    </row>
    <row r="1312" spans="3:39">
      <c r="C1312"/>
      <c r="D1312"/>
      <c r="E1312"/>
      <c r="F1312"/>
      <c r="G1312"/>
      <c r="H1312"/>
      <c r="I1312" s="740"/>
      <c r="V1312"/>
      <c r="W1312"/>
      <c r="Y1312"/>
      <c r="Z1312"/>
      <c r="AA1312"/>
      <c r="AD1312"/>
      <c r="AE1312"/>
      <c r="AF1312"/>
      <c r="AH1312"/>
      <c r="AI1312"/>
      <c r="AJ1312"/>
      <c r="AM1312"/>
    </row>
    <row r="1313" spans="3:39">
      <c r="C1313"/>
      <c r="D1313"/>
      <c r="E1313"/>
      <c r="F1313"/>
      <c r="G1313"/>
      <c r="H1313"/>
      <c r="I1313" s="740"/>
      <c r="V1313"/>
      <c r="W1313"/>
      <c r="Y1313"/>
      <c r="Z1313"/>
      <c r="AA1313"/>
      <c r="AD1313"/>
      <c r="AE1313"/>
      <c r="AF1313"/>
      <c r="AH1313"/>
      <c r="AI1313"/>
      <c r="AJ1313"/>
      <c r="AM1313"/>
    </row>
    <row r="1314" spans="3:39">
      <c r="C1314"/>
      <c r="D1314"/>
      <c r="E1314"/>
      <c r="F1314"/>
      <c r="G1314"/>
      <c r="H1314"/>
      <c r="I1314" s="740"/>
      <c r="V1314"/>
      <c r="W1314"/>
      <c r="Y1314"/>
      <c r="Z1314"/>
      <c r="AA1314"/>
      <c r="AD1314"/>
      <c r="AE1314"/>
      <c r="AF1314"/>
      <c r="AH1314"/>
      <c r="AI1314"/>
      <c r="AJ1314"/>
      <c r="AM1314"/>
    </row>
    <row r="1315" spans="3:39">
      <c r="C1315"/>
      <c r="D1315"/>
      <c r="E1315"/>
      <c r="F1315"/>
      <c r="G1315"/>
      <c r="H1315"/>
      <c r="I1315" s="740"/>
      <c r="V1315"/>
      <c r="W1315"/>
      <c r="Y1315"/>
      <c r="Z1315"/>
      <c r="AA1315"/>
      <c r="AD1315"/>
      <c r="AE1315"/>
      <c r="AF1315"/>
      <c r="AH1315"/>
      <c r="AI1315"/>
      <c r="AJ1315"/>
      <c r="AM1315"/>
    </row>
    <row r="1316" spans="3:39">
      <c r="C1316"/>
      <c r="D1316"/>
      <c r="E1316"/>
      <c r="F1316"/>
      <c r="G1316"/>
      <c r="H1316"/>
      <c r="I1316" s="740"/>
      <c r="V1316"/>
      <c r="W1316"/>
      <c r="Y1316"/>
      <c r="Z1316"/>
      <c r="AA1316"/>
      <c r="AD1316"/>
      <c r="AE1316"/>
      <c r="AF1316"/>
      <c r="AH1316"/>
      <c r="AI1316"/>
      <c r="AJ1316"/>
      <c r="AM1316"/>
    </row>
    <row r="1317" spans="3:39">
      <c r="C1317"/>
      <c r="D1317"/>
      <c r="E1317"/>
      <c r="F1317"/>
      <c r="G1317"/>
      <c r="H1317"/>
      <c r="I1317" s="740"/>
      <c r="V1317"/>
      <c r="W1317"/>
      <c r="Y1317"/>
      <c r="Z1317"/>
      <c r="AA1317"/>
      <c r="AD1317"/>
      <c r="AE1317"/>
      <c r="AF1317"/>
      <c r="AH1317"/>
      <c r="AI1317"/>
      <c r="AJ1317"/>
      <c r="AM1317"/>
    </row>
    <row r="1318" spans="3:39">
      <c r="C1318"/>
      <c r="D1318"/>
      <c r="E1318"/>
      <c r="F1318"/>
      <c r="G1318"/>
      <c r="H1318"/>
      <c r="I1318" s="740"/>
      <c r="V1318"/>
      <c r="W1318"/>
      <c r="Y1318"/>
      <c r="Z1318"/>
      <c r="AA1318"/>
      <c r="AD1318"/>
      <c r="AE1318"/>
      <c r="AF1318"/>
      <c r="AH1318"/>
      <c r="AI1318"/>
      <c r="AJ1318"/>
      <c r="AM1318"/>
    </row>
    <row r="1319" spans="3:39">
      <c r="C1319"/>
      <c r="D1319"/>
      <c r="E1319"/>
      <c r="F1319"/>
      <c r="G1319"/>
      <c r="H1319"/>
      <c r="I1319" s="740"/>
      <c r="V1319"/>
      <c r="W1319"/>
      <c r="Y1319"/>
      <c r="Z1319"/>
      <c r="AA1319"/>
      <c r="AD1319"/>
      <c r="AE1319"/>
      <c r="AF1319"/>
      <c r="AH1319"/>
      <c r="AI1319"/>
      <c r="AJ1319"/>
      <c r="AM1319"/>
    </row>
    <row r="1320" spans="3:39">
      <c r="C1320"/>
      <c r="D1320"/>
      <c r="E1320"/>
      <c r="F1320"/>
      <c r="G1320"/>
      <c r="H1320"/>
      <c r="I1320" s="740"/>
      <c r="V1320"/>
      <c r="W1320"/>
      <c r="Y1320"/>
      <c r="Z1320"/>
      <c r="AA1320"/>
      <c r="AD1320"/>
      <c r="AE1320"/>
      <c r="AF1320"/>
      <c r="AH1320"/>
      <c r="AI1320"/>
      <c r="AJ1320"/>
      <c r="AM1320"/>
    </row>
    <row r="1321" spans="3:39">
      <c r="C1321"/>
      <c r="D1321"/>
      <c r="E1321"/>
      <c r="F1321"/>
      <c r="G1321"/>
      <c r="H1321"/>
      <c r="I1321" s="740"/>
      <c r="V1321"/>
      <c r="W1321"/>
      <c r="Y1321"/>
      <c r="Z1321"/>
      <c r="AA1321"/>
      <c r="AD1321"/>
      <c r="AE1321"/>
      <c r="AF1321"/>
      <c r="AH1321"/>
      <c r="AI1321"/>
      <c r="AJ1321"/>
      <c r="AM1321"/>
    </row>
    <row r="1322" spans="3:39">
      <c r="C1322"/>
      <c r="D1322"/>
      <c r="E1322"/>
      <c r="F1322"/>
      <c r="G1322"/>
      <c r="H1322"/>
      <c r="I1322" s="740"/>
      <c r="V1322"/>
      <c r="W1322"/>
      <c r="Y1322"/>
      <c r="Z1322"/>
      <c r="AA1322"/>
      <c r="AD1322"/>
      <c r="AE1322"/>
      <c r="AF1322"/>
      <c r="AH1322"/>
      <c r="AI1322"/>
      <c r="AJ1322"/>
      <c r="AM1322"/>
    </row>
    <row r="1323" spans="3:39">
      <c r="C1323"/>
      <c r="D1323"/>
      <c r="E1323"/>
      <c r="F1323"/>
      <c r="G1323"/>
      <c r="H1323"/>
      <c r="I1323" s="740"/>
      <c r="V1323"/>
      <c r="W1323"/>
      <c r="Y1323"/>
      <c r="Z1323"/>
      <c r="AA1323"/>
      <c r="AD1323"/>
      <c r="AE1323"/>
      <c r="AF1323"/>
      <c r="AH1323"/>
      <c r="AI1323"/>
      <c r="AJ1323"/>
      <c r="AM1323"/>
    </row>
    <row r="1324" spans="3:39">
      <c r="C1324"/>
      <c r="D1324"/>
      <c r="E1324"/>
      <c r="F1324"/>
      <c r="G1324"/>
      <c r="H1324"/>
      <c r="I1324" s="740"/>
      <c r="V1324"/>
      <c r="W1324"/>
      <c r="Y1324"/>
      <c r="Z1324"/>
      <c r="AA1324"/>
      <c r="AD1324"/>
      <c r="AE1324"/>
      <c r="AF1324"/>
      <c r="AH1324"/>
      <c r="AI1324"/>
      <c r="AJ1324"/>
      <c r="AM1324"/>
    </row>
    <row r="1325" spans="3:39">
      <c r="C1325"/>
      <c r="D1325"/>
      <c r="E1325"/>
      <c r="F1325"/>
      <c r="G1325"/>
      <c r="H1325"/>
      <c r="I1325" s="740"/>
      <c r="V1325"/>
      <c r="W1325"/>
      <c r="Y1325"/>
      <c r="Z1325"/>
      <c r="AA1325"/>
      <c r="AD1325"/>
      <c r="AE1325"/>
      <c r="AF1325"/>
      <c r="AH1325"/>
      <c r="AI1325"/>
      <c r="AJ1325"/>
      <c r="AM1325"/>
    </row>
    <row r="1326" spans="3:39">
      <c r="C1326"/>
      <c r="D1326"/>
      <c r="E1326"/>
      <c r="F1326"/>
      <c r="G1326"/>
      <c r="H1326"/>
      <c r="I1326" s="740"/>
      <c r="V1326"/>
      <c r="W1326"/>
      <c r="Y1326"/>
      <c r="Z1326"/>
      <c r="AA1326"/>
      <c r="AD1326"/>
      <c r="AE1326"/>
      <c r="AF1326"/>
      <c r="AH1326"/>
      <c r="AI1326"/>
      <c r="AJ1326"/>
      <c r="AM1326"/>
    </row>
    <row r="1327" spans="3:39">
      <c r="C1327"/>
      <c r="D1327"/>
      <c r="E1327"/>
      <c r="F1327"/>
      <c r="G1327"/>
      <c r="H1327"/>
      <c r="I1327" s="740"/>
      <c r="V1327"/>
      <c r="W1327"/>
      <c r="Y1327"/>
      <c r="Z1327"/>
      <c r="AA1327"/>
      <c r="AD1327"/>
      <c r="AE1327"/>
      <c r="AF1327"/>
      <c r="AH1327"/>
      <c r="AI1327"/>
      <c r="AJ1327"/>
      <c r="AM1327"/>
    </row>
    <row r="1328" spans="3:39">
      <c r="C1328"/>
      <c r="D1328"/>
      <c r="E1328"/>
      <c r="F1328"/>
      <c r="G1328"/>
      <c r="H1328"/>
      <c r="I1328" s="740"/>
      <c r="V1328"/>
      <c r="W1328"/>
      <c r="Y1328"/>
      <c r="Z1328"/>
      <c r="AA1328"/>
      <c r="AD1328"/>
      <c r="AE1328"/>
      <c r="AF1328"/>
      <c r="AH1328"/>
      <c r="AI1328"/>
      <c r="AJ1328"/>
      <c r="AM1328"/>
    </row>
    <row r="1329" spans="3:39">
      <c r="C1329"/>
      <c r="D1329"/>
      <c r="E1329"/>
      <c r="F1329"/>
      <c r="G1329"/>
      <c r="H1329"/>
      <c r="I1329" s="740"/>
      <c r="V1329"/>
      <c r="W1329"/>
      <c r="Y1329"/>
      <c r="Z1329"/>
      <c r="AA1329"/>
      <c r="AD1329"/>
      <c r="AE1329"/>
      <c r="AF1329"/>
      <c r="AH1329"/>
      <c r="AI1329"/>
      <c r="AJ1329"/>
      <c r="AM1329"/>
    </row>
    <row r="1330" spans="3:39">
      <c r="C1330"/>
      <c r="D1330"/>
      <c r="E1330"/>
      <c r="F1330"/>
      <c r="G1330"/>
      <c r="H1330"/>
      <c r="I1330" s="740"/>
      <c r="V1330"/>
      <c r="W1330"/>
      <c r="Y1330"/>
      <c r="Z1330"/>
      <c r="AA1330"/>
      <c r="AD1330"/>
      <c r="AE1330"/>
      <c r="AF1330"/>
      <c r="AH1330"/>
      <c r="AI1330"/>
      <c r="AJ1330"/>
      <c r="AM1330"/>
    </row>
    <row r="1331" spans="3:39">
      <c r="C1331"/>
      <c r="D1331"/>
      <c r="E1331"/>
      <c r="F1331"/>
      <c r="G1331"/>
      <c r="H1331"/>
      <c r="I1331" s="740"/>
      <c r="V1331"/>
      <c r="W1331"/>
      <c r="Y1331"/>
      <c r="Z1331"/>
      <c r="AA1331"/>
      <c r="AD1331"/>
      <c r="AE1331"/>
      <c r="AF1331"/>
      <c r="AH1331"/>
      <c r="AI1331"/>
      <c r="AJ1331"/>
      <c r="AM1331"/>
    </row>
    <row r="1332" spans="3:39">
      <c r="C1332"/>
      <c r="D1332"/>
      <c r="E1332"/>
      <c r="F1332"/>
      <c r="G1332"/>
      <c r="H1332"/>
      <c r="I1332" s="740"/>
      <c r="V1332"/>
      <c r="W1332"/>
      <c r="Y1332"/>
      <c r="Z1332"/>
      <c r="AA1332"/>
      <c r="AD1332"/>
      <c r="AE1332"/>
      <c r="AF1332"/>
      <c r="AH1332"/>
      <c r="AI1332"/>
      <c r="AJ1332"/>
      <c r="AM1332"/>
    </row>
    <row r="1333" spans="3:39">
      <c r="C1333"/>
      <c r="D1333"/>
      <c r="E1333"/>
      <c r="F1333"/>
      <c r="G1333"/>
      <c r="H1333"/>
      <c r="I1333" s="740"/>
      <c r="V1333"/>
      <c r="W1333"/>
      <c r="Y1333"/>
      <c r="Z1333"/>
      <c r="AA1333"/>
      <c r="AD1333"/>
      <c r="AE1333"/>
      <c r="AF1333"/>
      <c r="AH1333"/>
      <c r="AI1333"/>
      <c r="AJ1333"/>
      <c r="AM1333"/>
    </row>
    <row r="1334" spans="3:39">
      <c r="C1334"/>
      <c r="D1334"/>
      <c r="E1334"/>
      <c r="F1334"/>
      <c r="G1334"/>
      <c r="H1334"/>
      <c r="I1334" s="740"/>
      <c r="V1334"/>
      <c r="W1334"/>
      <c r="Y1334"/>
      <c r="Z1334"/>
      <c r="AA1334"/>
      <c r="AD1334"/>
      <c r="AE1334"/>
      <c r="AF1334"/>
      <c r="AH1334"/>
      <c r="AI1334"/>
      <c r="AJ1334"/>
      <c r="AM1334"/>
    </row>
    <row r="1335" spans="3:39">
      <c r="C1335"/>
      <c r="D1335"/>
      <c r="E1335"/>
      <c r="F1335"/>
      <c r="G1335"/>
      <c r="H1335"/>
      <c r="I1335" s="740"/>
      <c r="V1335"/>
      <c r="W1335"/>
      <c r="Y1335"/>
      <c r="Z1335"/>
      <c r="AA1335"/>
      <c r="AD1335"/>
      <c r="AE1335"/>
      <c r="AF1335"/>
      <c r="AH1335"/>
      <c r="AI1335"/>
      <c r="AJ1335"/>
      <c r="AM1335"/>
    </row>
    <row r="1336" spans="3:39">
      <c r="C1336"/>
      <c r="D1336"/>
      <c r="E1336"/>
      <c r="F1336"/>
      <c r="G1336"/>
      <c r="H1336"/>
      <c r="I1336" s="740"/>
      <c r="V1336"/>
      <c r="W1336"/>
      <c r="Y1336"/>
      <c r="Z1336"/>
      <c r="AA1336"/>
      <c r="AD1336"/>
      <c r="AE1336"/>
      <c r="AF1336"/>
      <c r="AH1336"/>
      <c r="AI1336"/>
      <c r="AJ1336"/>
      <c r="AM1336"/>
    </row>
    <row r="1337" spans="3:39">
      <c r="C1337"/>
      <c r="D1337"/>
      <c r="E1337"/>
      <c r="F1337"/>
      <c r="G1337"/>
      <c r="H1337"/>
      <c r="I1337" s="740"/>
      <c r="V1337"/>
      <c r="W1337"/>
      <c r="Y1337"/>
      <c r="Z1337"/>
      <c r="AA1337"/>
      <c r="AD1337"/>
      <c r="AE1337"/>
      <c r="AF1337"/>
      <c r="AH1337"/>
      <c r="AI1337"/>
      <c r="AJ1337"/>
      <c r="AM1337"/>
    </row>
    <row r="1338" spans="3:39">
      <c r="C1338"/>
      <c r="D1338"/>
      <c r="E1338"/>
      <c r="F1338"/>
      <c r="G1338"/>
      <c r="H1338"/>
      <c r="I1338" s="740"/>
      <c r="V1338"/>
      <c r="W1338"/>
      <c r="Y1338"/>
      <c r="Z1338"/>
      <c r="AA1338"/>
      <c r="AD1338"/>
      <c r="AE1338"/>
      <c r="AF1338"/>
      <c r="AH1338"/>
      <c r="AI1338"/>
      <c r="AJ1338"/>
      <c r="AM1338"/>
    </row>
    <row r="1339" spans="3:39">
      <c r="C1339"/>
      <c r="D1339"/>
      <c r="E1339"/>
      <c r="F1339"/>
      <c r="G1339"/>
      <c r="H1339"/>
      <c r="I1339" s="740"/>
      <c r="V1339"/>
      <c r="W1339"/>
      <c r="Y1339"/>
      <c r="Z1339"/>
      <c r="AA1339"/>
      <c r="AD1339"/>
      <c r="AE1339"/>
      <c r="AF1339"/>
      <c r="AH1339"/>
      <c r="AI1339"/>
      <c r="AJ1339"/>
      <c r="AM1339"/>
    </row>
    <row r="1340" spans="3:39">
      <c r="C1340"/>
      <c r="D1340"/>
      <c r="E1340"/>
      <c r="F1340"/>
      <c r="G1340"/>
      <c r="H1340"/>
      <c r="I1340" s="740"/>
      <c r="V1340"/>
      <c r="W1340"/>
      <c r="Y1340"/>
      <c r="Z1340"/>
      <c r="AA1340"/>
      <c r="AD1340"/>
      <c r="AE1340"/>
      <c r="AF1340"/>
      <c r="AH1340"/>
      <c r="AI1340"/>
      <c r="AJ1340"/>
      <c r="AM1340"/>
    </row>
    <row r="1341" spans="3:39">
      <c r="C1341"/>
      <c r="D1341"/>
      <c r="E1341"/>
      <c r="F1341"/>
      <c r="G1341"/>
      <c r="H1341"/>
      <c r="I1341" s="740"/>
      <c r="V1341"/>
      <c r="W1341"/>
      <c r="Y1341"/>
      <c r="Z1341"/>
      <c r="AA1341"/>
      <c r="AD1341"/>
      <c r="AE1341"/>
      <c r="AF1341"/>
      <c r="AH1341"/>
      <c r="AI1341"/>
      <c r="AJ1341"/>
      <c r="AM1341"/>
    </row>
    <row r="1342" spans="3:39">
      <c r="C1342"/>
      <c r="D1342"/>
      <c r="E1342"/>
      <c r="F1342"/>
      <c r="G1342"/>
      <c r="H1342"/>
      <c r="I1342" s="740"/>
      <c r="V1342"/>
      <c r="W1342"/>
      <c r="Y1342"/>
      <c r="Z1342"/>
      <c r="AA1342"/>
      <c r="AD1342"/>
      <c r="AE1342"/>
      <c r="AF1342"/>
      <c r="AH1342"/>
      <c r="AI1342"/>
      <c r="AJ1342"/>
      <c r="AM1342"/>
    </row>
    <row r="1343" spans="3:39">
      <c r="C1343"/>
      <c r="D1343"/>
      <c r="E1343"/>
      <c r="F1343"/>
      <c r="G1343"/>
      <c r="H1343"/>
      <c r="I1343" s="740"/>
      <c r="V1343"/>
      <c r="W1343"/>
      <c r="Y1343"/>
      <c r="Z1343"/>
      <c r="AA1343"/>
      <c r="AD1343"/>
      <c r="AE1343"/>
      <c r="AF1343"/>
      <c r="AH1343"/>
      <c r="AI1343"/>
      <c r="AJ1343"/>
      <c r="AM1343"/>
    </row>
    <row r="1344" spans="3:39">
      <c r="C1344"/>
      <c r="D1344"/>
      <c r="E1344"/>
      <c r="F1344"/>
      <c r="G1344"/>
      <c r="H1344"/>
      <c r="I1344" s="740"/>
      <c r="V1344"/>
      <c r="W1344"/>
      <c r="Y1344"/>
      <c r="Z1344"/>
      <c r="AA1344"/>
      <c r="AD1344"/>
      <c r="AE1344"/>
      <c r="AF1344"/>
      <c r="AH1344"/>
      <c r="AI1344"/>
      <c r="AJ1344"/>
      <c r="AM1344"/>
    </row>
    <row r="1345" spans="3:39">
      <c r="C1345"/>
      <c r="D1345"/>
      <c r="E1345"/>
      <c r="F1345"/>
      <c r="G1345"/>
      <c r="H1345"/>
      <c r="I1345" s="740"/>
      <c r="V1345"/>
      <c r="W1345"/>
      <c r="Y1345"/>
      <c r="Z1345"/>
      <c r="AA1345"/>
      <c r="AD1345"/>
      <c r="AE1345"/>
      <c r="AF1345"/>
      <c r="AH1345"/>
      <c r="AI1345"/>
      <c r="AJ1345"/>
      <c r="AM1345"/>
    </row>
    <row r="1346" spans="3:39">
      <c r="C1346"/>
      <c r="D1346"/>
      <c r="E1346"/>
      <c r="F1346"/>
      <c r="G1346"/>
      <c r="H1346"/>
      <c r="I1346" s="740"/>
      <c r="V1346"/>
      <c r="W1346"/>
      <c r="Y1346"/>
      <c r="Z1346"/>
      <c r="AA1346"/>
      <c r="AD1346"/>
      <c r="AE1346"/>
      <c r="AF1346"/>
      <c r="AH1346"/>
      <c r="AI1346"/>
      <c r="AJ1346"/>
      <c r="AM1346"/>
    </row>
    <row r="1347" spans="3:39">
      <c r="C1347"/>
      <c r="D1347"/>
      <c r="E1347"/>
      <c r="F1347"/>
      <c r="G1347"/>
      <c r="H1347"/>
      <c r="I1347" s="740"/>
      <c r="V1347"/>
      <c r="W1347"/>
      <c r="Y1347"/>
      <c r="Z1347"/>
      <c r="AA1347"/>
      <c r="AD1347"/>
      <c r="AE1347"/>
      <c r="AF1347"/>
      <c r="AH1347"/>
      <c r="AI1347"/>
      <c r="AJ1347"/>
      <c r="AM1347"/>
    </row>
    <row r="1348" spans="3:39">
      <c r="C1348"/>
      <c r="D1348"/>
      <c r="E1348"/>
      <c r="F1348"/>
      <c r="G1348"/>
      <c r="H1348"/>
      <c r="I1348" s="740"/>
      <c r="V1348"/>
      <c r="W1348"/>
      <c r="Y1348"/>
      <c r="Z1348"/>
      <c r="AA1348"/>
      <c r="AD1348"/>
      <c r="AE1348"/>
      <c r="AF1348"/>
      <c r="AH1348"/>
      <c r="AI1348"/>
      <c r="AJ1348"/>
      <c r="AM1348"/>
    </row>
    <row r="1349" spans="3:39">
      <c r="C1349"/>
      <c r="D1349"/>
      <c r="E1349"/>
      <c r="F1349"/>
      <c r="G1349"/>
      <c r="H1349"/>
      <c r="I1349" s="740"/>
      <c r="V1349"/>
      <c r="W1349"/>
      <c r="Y1349"/>
      <c r="Z1349"/>
      <c r="AA1349"/>
      <c r="AD1349"/>
      <c r="AE1349"/>
      <c r="AF1349"/>
      <c r="AH1349"/>
      <c r="AI1349"/>
      <c r="AJ1349"/>
      <c r="AM1349"/>
    </row>
    <row r="1350" spans="3:39">
      <c r="C1350"/>
      <c r="D1350"/>
      <c r="E1350"/>
      <c r="F1350"/>
      <c r="G1350"/>
      <c r="H1350"/>
      <c r="I1350" s="740"/>
      <c r="V1350"/>
      <c r="W1350"/>
      <c r="Y1350"/>
      <c r="Z1350"/>
      <c r="AA1350"/>
      <c r="AD1350"/>
      <c r="AE1350"/>
      <c r="AF1350"/>
      <c r="AH1350"/>
      <c r="AI1350"/>
      <c r="AJ1350"/>
      <c r="AM1350"/>
    </row>
    <row r="1351" spans="3:39">
      <c r="C1351"/>
      <c r="D1351"/>
      <c r="E1351"/>
      <c r="F1351"/>
      <c r="G1351"/>
      <c r="H1351"/>
      <c r="I1351" s="740"/>
      <c r="V1351"/>
      <c r="W1351"/>
      <c r="Y1351"/>
      <c r="Z1351"/>
      <c r="AA1351"/>
      <c r="AD1351"/>
      <c r="AE1351"/>
      <c r="AF1351"/>
      <c r="AH1351"/>
      <c r="AI1351"/>
      <c r="AJ1351"/>
      <c r="AM1351"/>
    </row>
    <row r="1352" spans="3:39">
      <c r="C1352"/>
      <c r="D1352"/>
      <c r="E1352"/>
      <c r="F1352"/>
      <c r="G1352"/>
      <c r="H1352"/>
      <c r="I1352" s="740"/>
      <c r="V1352"/>
      <c r="W1352"/>
      <c r="Y1352"/>
      <c r="Z1352"/>
      <c r="AA1352"/>
      <c r="AD1352"/>
      <c r="AE1352"/>
      <c r="AF1352"/>
      <c r="AH1352"/>
      <c r="AI1352"/>
      <c r="AJ1352"/>
      <c r="AM1352"/>
    </row>
    <row r="1353" spans="3:39">
      <c r="C1353"/>
      <c r="D1353"/>
      <c r="E1353"/>
      <c r="F1353"/>
      <c r="G1353"/>
      <c r="H1353"/>
      <c r="I1353" s="740"/>
      <c r="V1353"/>
      <c r="W1353"/>
      <c r="Y1353"/>
      <c r="Z1353"/>
      <c r="AA1353"/>
      <c r="AD1353"/>
      <c r="AE1353"/>
      <c r="AF1353"/>
      <c r="AH1353"/>
      <c r="AI1353"/>
      <c r="AJ1353"/>
      <c r="AM1353"/>
    </row>
    <row r="1354" spans="3:39">
      <c r="C1354"/>
      <c r="D1354"/>
      <c r="E1354"/>
      <c r="F1354"/>
      <c r="G1354"/>
      <c r="H1354"/>
      <c r="I1354" s="740"/>
      <c r="V1354"/>
      <c r="W1354"/>
      <c r="Y1354"/>
      <c r="Z1354"/>
      <c r="AA1354"/>
      <c r="AD1354"/>
      <c r="AE1354"/>
      <c r="AF1354"/>
      <c r="AH1354"/>
      <c r="AI1354"/>
      <c r="AJ1354"/>
      <c r="AM1354"/>
    </row>
    <row r="1355" spans="3:39">
      <c r="C1355"/>
      <c r="D1355"/>
      <c r="E1355"/>
      <c r="F1355"/>
      <c r="G1355"/>
      <c r="H1355"/>
      <c r="I1355" s="740"/>
      <c r="V1355"/>
      <c r="W1355"/>
      <c r="Y1355"/>
      <c r="Z1355"/>
      <c r="AA1355"/>
      <c r="AD1355"/>
      <c r="AE1355"/>
      <c r="AF1355"/>
      <c r="AH1355"/>
      <c r="AI1355"/>
      <c r="AJ1355"/>
      <c r="AM1355"/>
    </row>
    <row r="1356" spans="3:39">
      <c r="C1356"/>
      <c r="D1356"/>
      <c r="E1356"/>
      <c r="F1356"/>
      <c r="G1356"/>
      <c r="H1356"/>
      <c r="I1356" s="740"/>
      <c r="V1356"/>
      <c r="W1356"/>
      <c r="Y1356"/>
      <c r="Z1356"/>
      <c r="AA1356"/>
      <c r="AD1356"/>
      <c r="AE1356"/>
      <c r="AF1356"/>
      <c r="AH1356"/>
      <c r="AI1356"/>
      <c r="AJ1356"/>
      <c r="AM1356"/>
    </row>
    <row r="1357" spans="3:39">
      <c r="C1357"/>
      <c r="D1357"/>
      <c r="E1357"/>
      <c r="F1357"/>
      <c r="G1357"/>
      <c r="H1357"/>
      <c r="I1357" s="740"/>
      <c r="V1357"/>
      <c r="W1357"/>
      <c r="Y1357"/>
      <c r="Z1357"/>
      <c r="AA1357"/>
      <c r="AD1357"/>
      <c r="AE1357"/>
      <c r="AF1357"/>
      <c r="AH1357"/>
      <c r="AI1357"/>
      <c r="AJ1357"/>
      <c r="AM1357"/>
    </row>
    <row r="1358" spans="3:39">
      <c r="C1358"/>
      <c r="D1358"/>
      <c r="E1358"/>
      <c r="F1358"/>
      <c r="G1358"/>
      <c r="H1358"/>
      <c r="I1358" s="740"/>
      <c r="V1358"/>
      <c r="W1358"/>
      <c r="Y1358"/>
      <c r="Z1358"/>
      <c r="AA1358"/>
      <c r="AD1358"/>
      <c r="AE1358"/>
      <c r="AF1358"/>
      <c r="AH1358"/>
      <c r="AI1358"/>
      <c r="AJ1358"/>
      <c r="AM1358"/>
    </row>
    <row r="1359" spans="3:39">
      <c r="C1359"/>
      <c r="D1359"/>
      <c r="E1359"/>
      <c r="F1359"/>
      <c r="G1359"/>
      <c r="H1359"/>
      <c r="I1359" s="740"/>
      <c r="V1359"/>
      <c r="W1359"/>
      <c r="Y1359"/>
      <c r="Z1359"/>
      <c r="AA1359"/>
      <c r="AD1359"/>
      <c r="AE1359"/>
      <c r="AF1359"/>
      <c r="AH1359"/>
      <c r="AI1359"/>
      <c r="AJ1359"/>
      <c r="AM1359"/>
    </row>
    <row r="1360" spans="3:39">
      <c r="C1360"/>
      <c r="D1360"/>
      <c r="E1360"/>
      <c r="F1360"/>
      <c r="G1360"/>
      <c r="H1360"/>
      <c r="I1360" s="740"/>
      <c r="V1360"/>
      <c r="W1360"/>
      <c r="Y1360"/>
      <c r="Z1360"/>
      <c r="AA1360"/>
      <c r="AD1360"/>
      <c r="AE1360"/>
      <c r="AF1360"/>
      <c r="AH1360"/>
      <c r="AI1360"/>
      <c r="AJ1360"/>
      <c r="AM1360"/>
    </row>
    <row r="1361" spans="3:39">
      <c r="C1361"/>
      <c r="D1361"/>
      <c r="E1361"/>
      <c r="F1361"/>
      <c r="G1361"/>
      <c r="H1361"/>
      <c r="I1361" s="740"/>
      <c r="V1361"/>
      <c r="W1361"/>
      <c r="Y1361"/>
      <c r="Z1361"/>
      <c r="AA1361"/>
      <c r="AD1361"/>
      <c r="AE1361"/>
      <c r="AF1361"/>
      <c r="AH1361"/>
      <c r="AI1361"/>
      <c r="AJ1361"/>
      <c r="AM1361"/>
    </row>
    <row r="1362" spans="3:39">
      <c r="C1362"/>
      <c r="D1362"/>
      <c r="E1362"/>
      <c r="F1362"/>
      <c r="G1362"/>
      <c r="H1362"/>
      <c r="I1362" s="740"/>
      <c r="V1362"/>
      <c r="W1362"/>
      <c r="Y1362"/>
      <c r="Z1362"/>
      <c r="AA1362"/>
      <c r="AD1362"/>
      <c r="AE1362"/>
      <c r="AF1362"/>
      <c r="AH1362"/>
      <c r="AI1362"/>
      <c r="AJ1362"/>
      <c r="AM1362"/>
    </row>
    <row r="1363" spans="3:39">
      <c r="C1363"/>
      <c r="D1363"/>
      <c r="E1363"/>
      <c r="F1363"/>
      <c r="G1363"/>
      <c r="H1363"/>
      <c r="I1363" s="740"/>
      <c r="V1363"/>
      <c r="W1363"/>
      <c r="Y1363"/>
      <c r="Z1363"/>
      <c r="AA1363"/>
      <c r="AD1363"/>
      <c r="AE1363"/>
      <c r="AF1363"/>
      <c r="AH1363"/>
      <c r="AI1363"/>
      <c r="AJ1363"/>
      <c r="AM1363"/>
    </row>
    <row r="1364" spans="3:39">
      <c r="C1364"/>
      <c r="D1364"/>
      <c r="E1364"/>
      <c r="F1364"/>
      <c r="G1364"/>
      <c r="H1364"/>
      <c r="I1364" s="740"/>
      <c r="V1364"/>
      <c r="W1364"/>
      <c r="Y1364"/>
      <c r="Z1364"/>
      <c r="AA1364"/>
      <c r="AD1364"/>
      <c r="AE1364"/>
      <c r="AF1364"/>
      <c r="AH1364"/>
      <c r="AI1364"/>
      <c r="AJ1364"/>
      <c r="AM1364"/>
    </row>
    <row r="1365" spans="3:39">
      <c r="C1365"/>
      <c r="D1365"/>
      <c r="E1365"/>
      <c r="F1365"/>
      <c r="G1365"/>
      <c r="H1365"/>
      <c r="I1365" s="740"/>
      <c r="V1365"/>
      <c r="W1365"/>
      <c r="Y1365"/>
      <c r="Z1365"/>
      <c r="AA1365"/>
      <c r="AD1365"/>
      <c r="AE1365"/>
      <c r="AF1365"/>
      <c r="AH1365"/>
      <c r="AI1365"/>
      <c r="AJ1365"/>
      <c r="AM1365"/>
    </row>
    <row r="1366" spans="3:39">
      <c r="C1366"/>
      <c r="D1366"/>
      <c r="E1366"/>
      <c r="F1366"/>
      <c r="G1366"/>
      <c r="H1366"/>
      <c r="I1366" s="740"/>
      <c r="V1366"/>
      <c r="W1366"/>
      <c r="Y1366"/>
      <c r="Z1366"/>
      <c r="AA1366"/>
      <c r="AD1366"/>
      <c r="AE1366"/>
      <c r="AF1366"/>
      <c r="AH1366"/>
      <c r="AI1366"/>
      <c r="AJ1366"/>
      <c r="AM1366"/>
    </row>
    <row r="1367" spans="3:39">
      <c r="C1367"/>
      <c r="D1367"/>
      <c r="E1367"/>
      <c r="F1367"/>
      <c r="G1367"/>
      <c r="H1367"/>
      <c r="I1367" s="740"/>
      <c r="V1367"/>
      <c r="W1367"/>
      <c r="Y1367"/>
      <c r="Z1367"/>
      <c r="AA1367"/>
      <c r="AD1367"/>
      <c r="AE1367"/>
      <c r="AF1367"/>
      <c r="AH1367"/>
      <c r="AI1367"/>
      <c r="AJ1367"/>
      <c r="AM1367"/>
    </row>
    <row r="1368" spans="3:39">
      <c r="C1368"/>
      <c r="D1368"/>
      <c r="E1368"/>
      <c r="F1368"/>
      <c r="G1368"/>
      <c r="H1368"/>
      <c r="I1368" s="740"/>
      <c r="V1368"/>
      <c r="W1368"/>
      <c r="Y1368"/>
      <c r="Z1368"/>
      <c r="AA1368"/>
      <c r="AD1368"/>
      <c r="AE1368"/>
      <c r="AF1368"/>
      <c r="AH1368"/>
      <c r="AI1368"/>
      <c r="AJ1368"/>
      <c r="AM1368"/>
    </row>
    <row r="1369" spans="3:39">
      <c r="C1369"/>
      <c r="D1369"/>
      <c r="E1369"/>
      <c r="F1369"/>
      <c r="G1369"/>
      <c r="H1369"/>
      <c r="I1369" s="740"/>
      <c r="V1369"/>
      <c r="W1369"/>
      <c r="Y1369"/>
      <c r="Z1369"/>
      <c r="AA1369"/>
      <c r="AD1369"/>
      <c r="AE1369"/>
      <c r="AF1369"/>
      <c r="AH1369"/>
      <c r="AI1369"/>
      <c r="AJ1369"/>
      <c r="AM1369"/>
    </row>
    <row r="1370" spans="3:39">
      <c r="C1370"/>
      <c r="D1370"/>
      <c r="E1370"/>
      <c r="F1370"/>
      <c r="G1370"/>
      <c r="H1370"/>
      <c r="I1370" s="740"/>
      <c r="V1370"/>
      <c r="W1370"/>
      <c r="Y1370"/>
      <c r="Z1370"/>
      <c r="AA1370"/>
      <c r="AD1370"/>
      <c r="AE1370"/>
      <c r="AF1370"/>
      <c r="AH1370"/>
      <c r="AI1370"/>
      <c r="AJ1370"/>
      <c r="AM1370"/>
    </row>
    <row r="1371" spans="3:39">
      <c r="C1371"/>
      <c r="D1371"/>
      <c r="E1371"/>
      <c r="F1371"/>
      <c r="G1371"/>
      <c r="H1371"/>
      <c r="I1371" s="740"/>
      <c r="V1371"/>
      <c r="W1371"/>
      <c r="Y1371"/>
      <c r="Z1371"/>
      <c r="AA1371"/>
      <c r="AD1371"/>
      <c r="AE1371"/>
      <c r="AF1371"/>
      <c r="AH1371"/>
      <c r="AI1371"/>
      <c r="AJ1371"/>
      <c r="AM1371"/>
    </row>
    <row r="1372" spans="3:39">
      <c r="C1372"/>
      <c r="D1372"/>
      <c r="E1372"/>
      <c r="F1372"/>
      <c r="G1372"/>
      <c r="H1372"/>
      <c r="I1372" s="740"/>
      <c r="V1372"/>
      <c r="W1372"/>
      <c r="Y1372"/>
      <c r="Z1372"/>
      <c r="AA1372"/>
      <c r="AD1372"/>
      <c r="AE1372"/>
      <c r="AF1372"/>
      <c r="AH1372"/>
      <c r="AI1372"/>
      <c r="AJ1372"/>
      <c r="AM1372"/>
    </row>
    <row r="1373" spans="3:39">
      <c r="C1373"/>
      <c r="D1373"/>
      <c r="E1373"/>
      <c r="F1373"/>
      <c r="G1373"/>
      <c r="H1373"/>
      <c r="I1373" s="740"/>
      <c r="V1373"/>
      <c r="W1373"/>
      <c r="Y1373"/>
      <c r="Z1373"/>
      <c r="AA1373"/>
      <c r="AD1373"/>
      <c r="AE1373"/>
      <c r="AF1373"/>
      <c r="AH1373"/>
      <c r="AI1373"/>
      <c r="AJ1373"/>
      <c r="AM1373"/>
    </row>
    <row r="1374" spans="3:39">
      <c r="C1374"/>
      <c r="D1374"/>
      <c r="E1374"/>
      <c r="F1374"/>
      <c r="G1374"/>
      <c r="H1374"/>
      <c r="I1374" s="740"/>
      <c r="V1374"/>
      <c r="W1374"/>
      <c r="Y1374"/>
      <c r="Z1374"/>
      <c r="AA1374"/>
      <c r="AD1374"/>
      <c r="AE1374"/>
      <c r="AF1374"/>
      <c r="AH1374"/>
      <c r="AI1374"/>
      <c r="AJ1374"/>
      <c r="AM1374"/>
    </row>
    <row r="1375" spans="3:39">
      <c r="C1375"/>
      <c r="D1375"/>
      <c r="E1375"/>
      <c r="F1375"/>
      <c r="G1375"/>
      <c r="H1375"/>
      <c r="I1375" s="740"/>
      <c r="V1375"/>
      <c r="W1375"/>
      <c r="Y1375"/>
      <c r="Z1375"/>
      <c r="AA1375"/>
      <c r="AD1375"/>
      <c r="AE1375"/>
      <c r="AF1375"/>
      <c r="AH1375"/>
      <c r="AI1375"/>
      <c r="AJ1375"/>
      <c r="AM1375"/>
    </row>
    <row r="1376" spans="3:39">
      <c r="C1376"/>
      <c r="D1376"/>
      <c r="E1376"/>
      <c r="F1376"/>
      <c r="G1376"/>
      <c r="H1376"/>
      <c r="I1376" s="740"/>
      <c r="V1376"/>
      <c r="W1376"/>
      <c r="Y1376"/>
      <c r="Z1376"/>
      <c r="AA1376"/>
      <c r="AD1376"/>
      <c r="AE1376"/>
      <c r="AF1376"/>
      <c r="AH1376"/>
      <c r="AI1376"/>
      <c r="AJ1376"/>
      <c r="AM1376"/>
    </row>
    <row r="1377" spans="3:39">
      <c r="C1377"/>
      <c r="D1377"/>
      <c r="E1377"/>
      <c r="F1377"/>
      <c r="G1377"/>
      <c r="H1377"/>
      <c r="I1377" s="740"/>
      <c r="V1377"/>
      <c r="W1377"/>
      <c r="Y1377"/>
      <c r="Z1377"/>
      <c r="AA1377"/>
      <c r="AD1377"/>
      <c r="AE1377"/>
      <c r="AF1377"/>
      <c r="AH1377"/>
      <c r="AI1377"/>
      <c r="AJ1377"/>
      <c r="AM1377"/>
    </row>
    <row r="1378" spans="3:39">
      <c r="C1378"/>
      <c r="D1378"/>
      <c r="E1378"/>
      <c r="F1378"/>
      <c r="G1378"/>
      <c r="H1378"/>
      <c r="I1378" s="740"/>
      <c r="V1378"/>
      <c r="W1378"/>
      <c r="Y1378"/>
      <c r="Z1378"/>
      <c r="AA1378"/>
      <c r="AD1378"/>
      <c r="AE1378"/>
      <c r="AF1378"/>
      <c r="AH1378"/>
      <c r="AI1378"/>
      <c r="AJ1378"/>
      <c r="AM1378"/>
    </row>
    <row r="1379" spans="3:39">
      <c r="C1379"/>
      <c r="D1379"/>
      <c r="E1379"/>
      <c r="F1379"/>
      <c r="G1379"/>
      <c r="H1379"/>
      <c r="I1379" s="740"/>
      <c r="V1379"/>
      <c r="W1379"/>
      <c r="Y1379"/>
      <c r="Z1379"/>
      <c r="AA1379"/>
      <c r="AD1379"/>
      <c r="AE1379"/>
      <c r="AF1379"/>
      <c r="AH1379"/>
      <c r="AI1379"/>
      <c r="AJ1379"/>
      <c r="AM1379"/>
    </row>
    <row r="1380" spans="3:39">
      <c r="C1380"/>
      <c r="D1380"/>
      <c r="E1380"/>
      <c r="F1380"/>
      <c r="G1380"/>
      <c r="H1380"/>
      <c r="I1380" s="740"/>
      <c r="V1380"/>
      <c r="W1380"/>
      <c r="Y1380"/>
      <c r="Z1380"/>
      <c r="AA1380"/>
      <c r="AD1380"/>
      <c r="AE1380"/>
      <c r="AF1380"/>
      <c r="AH1380"/>
      <c r="AI1380"/>
      <c r="AJ1380"/>
      <c r="AM1380"/>
    </row>
    <row r="1381" spans="3:39">
      <c r="C1381"/>
      <c r="D1381"/>
      <c r="E1381"/>
      <c r="F1381"/>
      <c r="G1381"/>
      <c r="H1381"/>
      <c r="I1381" s="740"/>
      <c r="V1381"/>
      <c r="W1381"/>
      <c r="Y1381"/>
      <c r="Z1381"/>
      <c r="AA1381"/>
      <c r="AD1381"/>
      <c r="AE1381"/>
      <c r="AF1381"/>
      <c r="AH1381"/>
      <c r="AI1381"/>
      <c r="AJ1381"/>
      <c r="AM1381"/>
    </row>
    <row r="1382" spans="3:39">
      <c r="C1382"/>
      <c r="D1382"/>
      <c r="E1382"/>
      <c r="F1382"/>
      <c r="G1382"/>
      <c r="H1382"/>
      <c r="I1382" s="740"/>
      <c r="V1382"/>
      <c r="W1382"/>
      <c r="Y1382"/>
      <c r="Z1382"/>
      <c r="AA1382"/>
      <c r="AD1382"/>
      <c r="AE1382"/>
      <c r="AF1382"/>
      <c r="AH1382"/>
      <c r="AI1382"/>
      <c r="AJ1382"/>
      <c r="AM1382"/>
    </row>
    <row r="1383" spans="3:39">
      <c r="C1383"/>
      <c r="D1383"/>
      <c r="E1383"/>
      <c r="F1383"/>
      <c r="G1383"/>
      <c r="H1383"/>
      <c r="I1383" s="740"/>
      <c r="V1383"/>
      <c r="W1383"/>
      <c r="Y1383"/>
      <c r="Z1383"/>
      <c r="AA1383"/>
      <c r="AD1383"/>
      <c r="AE1383"/>
      <c r="AF1383"/>
      <c r="AH1383"/>
      <c r="AI1383"/>
      <c r="AJ1383"/>
      <c r="AM1383"/>
    </row>
    <row r="1384" spans="3:39">
      <c r="C1384"/>
      <c r="D1384"/>
      <c r="E1384"/>
      <c r="F1384"/>
      <c r="G1384"/>
      <c r="H1384"/>
      <c r="I1384" s="740"/>
      <c r="V1384"/>
      <c r="W1384"/>
      <c r="Y1384"/>
      <c r="Z1384"/>
      <c r="AA1384"/>
      <c r="AD1384"/>
      <c r="AE1384"/>
      <c r="AF1384"/>
      <c r="AH1384"/>
      <c r="AI1384"/>
      <c r="AJ1384"/>
      <c r="AM1384"/>
    </row>
    <row r="1385" spans="3:39">
      <c r="C1385"/>
      <c r="D1385"/>
      <c r="E1385"/>
      <c r="F1385"/>
      <c r="G1385"/>
      <c r="H1385"/>
      <c r="I1385" s="740"/>
      <c r="V1385"/>
      <c r="W1385"/>
      <c r="Y1385"/>
      <c r="Z1385"/>
      <c r="AA1385"/>
      <c r="AD1385"/>
      <c r="AE1385"/>
      <c r="AF1385"/>
      <c r="AH1385"/>
      <c r="AI1385"/>
      <c r="AJ1385"/>
      <c r="AM1385"/>
    </row>
    <row r="1386" spans="3:39">
      <c r="C1386"/>
      <c r="D1386"/>
      <c r="E1386"/>
      <c r="F1386"/>
      <c r="G1386"/>
      <c r="H1386"/>
      <c r="I1386" s="740"/>
      <c r="V1386"/>
      <c r="W1386"/>
      <c r="Y1386"/>
      <c r="Z1386"/>
      <c r="AA1386"/>
      <c r="AD1386"/>
      <c r="AE1386"/>
      <c r="AF1386"/>
      <c r="AH1386"/>
      <c r="AI1386"/>
      <c r="AJ1386"/>
      <c r="AM1386"/>
    </row>
    <row r="1387" spans="3:39">
      <c r="C1387"/>
      <c r="D1387"/>
      <c r="E1387"/>
      <c r="F1387"/>
      <c r="G1387"/>
      <c r="H1387"/>
      <c r="I1387" s="740"/>
      <c r="V1387"/>
      <c r="W1387"/>
      <c r="Y1387"/>
      <c r="Z1387"/>
      <c r="AA1387"/>
      <c r="AD1387"/>
      <c r="AE1387"/>
      <c r="AF1387"/>
      <c r="AH1387"/>
      <c r="AI1387"/>
      <c r="AJ1387"/>
      <c r="AM1387"/>
    </row>
    <row r="1388" spans="3:39">
      <c r="C1388"/>
      <c r="D1388"/>
      <c r="E1388"/>
      <c r="F1388"/>
      <c r="G1388"/>
      <c r="H1388"/>
      <c r="I1388" s="740"/>
      <c r="V1388"/>
      <c r="W1388"/>
      <c r="Y1388"/>
      <c r="Z1388"/>
      <c r="AA1388"/>
      <c r="AD1388"/>
      <c r="AE1388"/>
      <c r="AF1388"/>
      <c r="AH1388"/>
      <c r="AI1388"/>
      <c r="AJ1388"/>
      <c r="AM1388"/>
    </row>
    <row r="1389" spans="3:39">
      <c r="C1389"/>
      <c r="D1389"/>
      <c r="E1389"/>
      <c r="F1389"/>
      <c r="G1389"/>
      <c r="H1389"/>
      <c r="I1389" s="740"/>
      <c r="V1389"/>
      <c r="W1389"/>
      <c r="Y1389"/>
      <c r="Z1389"/>
      <c r="AA1389"/>
      <c r="AD1389"/>
      <c r="AE1389"/>
      <c r="AF1389"/>
      <c r="AH1389"/>
      <c r="AI1389"/>
      <c r="AJ1389"/>
      <c r="AM1389"/>
    </row>
    <row r="1390" spans="3:39">
      <c r="C1390"/>
      <c r="D1390"/>
      <c r="E1390"/>
      <c r="F1390"/>
      <c r="G1390"/>
      <c r="H1390"/>
      <c r="I1390" s="740"/>
      <c r="V1390"/>
      <c r="W1390"/>
      <c r="Y1390"/>
      <c r="Z1390"/>
      <c r="AA1390"/>
      <c r="AD1390"/>
      <c r="AE1390"/>
      <c r="AF1390"/>
      <c r="AH1390"/>
      <c r="AI1390"/>
      <c r="AJ1390"/>
      <c r="AM1390"/>
    </row>
    <row r="1391" spans="3:39">
      <c r="C1391"/>
      <c r="D1391"/>
      <c r="E1391"/>
      <c r="F1391"/>
      <c r="G1391"/>
      <c r="H1391"/>
      <c r="I1391" s="740"/>
      <c r="V1391"/>
      <c r="W1391"/>
      <c r="Y1391"/>
      <c r="Z1391"/>
      <c r="AA1391"/>
      <c r="AD1391"/>
      <c r="AE1391"/>
      <c r="AF1391"/>
      <c r="AH1391"/>
      <c r="AI1391"/>
      <c r="AJ1391"/>
      <c r="AM1391"/>
    </row>
    <row r="1392" spans="3:39">
      <c r="C1392"/>
      <c r="D1392"/>
      <c r="E1392"/>
      <c r="F1392"/>
      <c r="G1392"/>
      <c r="H1392"/>
      <c r="I1392" s="740"/>
      <c r="V1392"/>
      <c r="W1392"/>
      <c r="Y1392"/>
      <c r="Z1392"/>
      <c r="AA1392"/>
      <c r="AD1392"/>
      <c r="AE1392"/>
      <c r="AF1392"/>
      <c r="AH1392"/>
      <c r="AI1392"/>
      <c r="AJ1392"/>
      <c r="AM1392"/>
    </row>
    <row r="1393" spans="3:39">
      <c r="C1393"/>
      <c r="D1393"/>
      <c r="E1393"/>
      <c r="F1393"/>
      <c r="G1393"/>
      <c r="H1393"/>
      <c r="I1393" s="740"/>
      <c r="V1393"/>
      <c r="W1393"/>
      <c r="Y1393"/>
      <c r="Z1393"/>
      <c r="AA1393"/>
      <c r="AD1393"/>
      <c r="AE1393"/>
      <c r="AF1393"/>
      <c r="AH1393"/>
      <c r="AI1393"/>
      <c r="AJ1393"/>
      <c r="AM1393"/>
    </row>
    <row r="1394" spans="3:39">
      <c r="C1394"/>
      <c r="D1394"/>
      <c r="E1394"/>
      <c r="F1394"/>
      <c r="G1394"/>
      <c r="H1394"/>
      <c r="I1394" s="740"/>
      <c r="V1394"/>
      <c r="W1394"/>
      <c r="Y1394"/>
      <c r="Z1394"/>
      <c r="AA1394"/>
      <c r="AD1394"/>
      <c r="AE1394"/>
      <c r="AF1394"/>
      <c r="AH1394"/>
      <c r="AI1394"/>
      <c r="AJ1394"/>
      <c r="AM1394"/>
    </row>
    <row r="1395" spans="3:39">
      <c r="C1395"/>
      <c r="D1395"/>
      <c r="E1395"/>
      <c r="F1395"/>
      <c r="G1395"/>
      <c r="H1395"/>
      <c r="I1395" s="740"/>
      <c r="V1395"/>
      <c r="W1395"/>
      <c r="Y1395"/>
      <c r="Z1395"/>
      <c r="AA1395"/>
      <c r="AD1395"/>
      <c r="AE1395"/>
      <c r="AF1395"/>
      <c r="AH1395"/>
      <c r="AI1395"/>
      <c r="AJ1395"/>
      <c r="AM1395"/>
    </row>
    <row r="1396" spans="3:39">
      <c r="C1396"/>
      <c r="D1396"/>
      <c r="E1396"/>
      <c r="F1396"/>
      <c r="G1396"/>
      <c r="H1396"/>
      <c r="I1396" s="740"/>
      <c r="V1396"/>
      <c r="W1396"/>
      <c r="Y1396"/>
      <c r="Z1396"/>
      <c r="AA1396"/>
      <c r="AD1396"/>
      <c r="AE1396"/>
      <c r="AF1396"/>
      <c r="AH1396"/>
      <c r="AI1396"/>
      <c r="AJ1396"/>
      <c r="AM1396"/>
    </row>
    <row r="1397" spans="3:39">
      <c r="C1397"/>
      <c r="D1397"/>
      <c r="E1397"/>
      <c r="F1397"/>
      <c r="G1397"/>
      <c r="H1397"/>
      <c r="I1397" s="740"/>
      <c r="V1397"/>
      <c r="W1397"/>
      <c r="Y1397"/>
      <c r="Z1397"/>
      <c r="AA1397"/>
      <c r="AD1397"/>
      <c r="AE1397"/>
      <c r="AF1397"/>
      <c r="AH1397"/>
      <c r="AI1397"/>
      <c r="AJ1397"/>
      <c r="AM1397"/>
    </row>
    <row r="1398" spans="3:39">
      <c r="C1398"/>
      <c r="D1398"/>
      <c r="E1398"/>
      <c r="F1398"/>
      <c r="G1398"/>
      <c r="H1398"/>
      <c r="I1398" s="740"/>
      <c r="V1398"/>
      <c r="W1398"/>
      <c r="Y1398"/>
      <c r="Z1398"/>
      <c r="AA1398"/>
      <c r="AD1398"/>
      <c r="AE1398"/>
      <c r="AF1398"/>
      <c r="AH1398"/>
      <c r="AI1398"/>
      <c r="AJ1398"/>
      <c r="AM1398"/>
    </row>
    <row r="1399" spans="3:39">
      <c r="C1399"/>
      <c r="D1399"/>
      <c r="E1399"/>
      <c r="F1399"/>
      <c r="G1399"/>
      <c r="H1399"/>
      <c r="I1399" s="740"/>
      <c r="V1399"/>
      <c r="W1399"/>
      <c r="Y1399"/>
      <c r="Z1399"/>
      <c r="AA1399"/>
      <c r="AD1399"/>
      <c r="AE1399"/>
      <c r="AF1399"/>
      <c r="AH1399"/>
      <c r="AI1399"/>
      <c r="AJ1399"/>
      <c r="AM1399"/>
    </row>
    <row r="1400" spans="3:39">
      <c r="C1400"/>
      <c r="D1400"/>
      <c r="E1400"/>
      <c r="F1400"/>
      <c r="G1400"/>
      <c r="H1400"/>
      <c r="I1400" s="740"/>
      <c r="V1400"/>
      <c r="W1400"/>
      <c r="Y1400"/>
      <c r="Z1400"/>
      <c r="AA1400"/>
      <c r="AD1400"/>
      <c r="AE1400"/>
      <c r="AF1400"/>
      <c r="AH1400"/>
      <c r="AI1400"/>
      <c r="AJ1400"/>
      <c r="AM1400"/>
    </row>
    <row r="1401" spans="3:39">
      <c r="C1401"/>
      <c r="D1401"/>
      <c r="E1401"/>
      <c r="F1401"/>
      <c r="G1401"/>
      <c r="H1401"/>
      <c r="I1401" s="740"/>
      <c r="V1401"/>
      <c r="W1401"/>
      <c r="Y1401"/>
      <c r="Z1401"/>
      <c r="AA1401"/>
      <c r="AD1401"/>
      <c r="AE1401"/>
      <c r="AF1401"/>
      <c r="AH1401"/>
      <c r="AI1401"/>
      <c r="AJ1401"/>
      <c r="AM1401"/>
    </row>
    <row r="1402" spans="3:39">
      <c r="C1402"/>
      <c r="D1402"/>
      <c r="E1402"/>
      <c r="F1402"/>
      <c r="G1402"/>
      <c r="H1402"/>
      <c r="I1402" s="740"/>
      <c r="V1402"/>
      <c r="W1402"/>
      <c r="Y1402"/>
      <c r="Z1402"/>
      <c r="AA1402"/>
      <c r="AD1402"/>
      <c r="AE1402"/>
      <c r="AF1402"/>
      <c r="AH1402"/>
      <c r="AI1402"/>
      <c r="AJ1402"/>
      <c r="AM1402"/>
    </row>
    <row r="1403" spans="3:39">
      <c r="C1403"/>
      <c r="D1403"/>
      <c r="E1403"/>
      <c r="F1403"/>
      <c r="G1403"/>
      <c r="H1403"/>
      <c r="I1403" s="740"/>
      <c r="V1403"/>
      <c r="W1403"/>
      <c r="Y1403"/>
      <c r="Z1403"/>
      <c r="AA1403"/>
      <c r="AD1403"/>
      <c r="AE1403"/>
      <c r="AF1403"/>
      <c r="AH1403"/>
      <c r="AI1403"/>
      <c r="AJ1403"/>
      <c r="AM1403"/>
    </row>
    <row r="1404" spans="3:39">
      <c r="C1404"/>
      <c r="D1404"/>
      <c r="E1404"/>
      <c r="F1404"/>
      <c r="G1404"/>
      <c r="H1404"/>
      <c r="I1404" s="740"/>
      <c r="V1404"/>
      <c r="W1404"/>
      <c r="Y1404"/>
      <c r="Z1404"/>
      <c r="AA1404"/>
      <c r="AD1404"/>
      <c r="AE1404"/>
      <c r="AF1404"/>
      <c r="AH1404"/>
      <c r="AI1404"/>
      <c r="AJ1404"/>
      <c r="AM1404"/>
    </row>
    <row r="1405" spans="3:39">
      <c r="C1405"/>
      <c r="D1405"/>
      <c r="E1405"/>
      <c r="F1405"/>
      <c r="G1405"/>
      <c r="H1405"/>
      <c r="I1405" s="740"/>
      <c r="V1405"/>
      <c r="W1405"/>
      <c r="Y1405"/>
      <c r="Z1405"/>
      <c r="AA1405"/>
      <c r="AD1405"/>
      <c r="AE1405"/>
      <c r="AF1405"/>
      <c r="AH1405"/>
      <c r="AI1405"/>
      <c r="AJ1405"/>
      <c r="AM1405"/>
    </row>
    <row r="1406" spans="3:39">
      <c r="C1406"/>
      <c r="D1406"/>
      <c r="E1406"/>
      <c r="F1406"/>
      <c r="G1406"/>
      <c r="H1406"/>
      <c r="I1406" s="740"/>
      <c r="V1406"/>
      <c r="W1406"/>
      <c r="Y1406"/>
      <c r="Z1406"/>
      <c r="AA1406"/>
      <c r="AD1406"/>
      <c r="AE1406"/>
      <c r="AF1406"/>
      <c r="AH1406"/>
      <c r="AI1406"/>
      <c r="AJ1406"/>
      <c r="AM1406"/>
    </row>
    <row r="1407" spans="3:39">
      <c r="C1407"/>
      <c r="D1407"/>
      <c r="E1407"/>
      <c r="F1407"/>
      <c r="G1407"/>
      <c r="H1407"/>
      <c r="I1407" s="740"/>
      <c r="V1407"/>
      <c r="W1407"/>
      <c r="Y1407"/>
      <c r="Z1407"/>
      <c r="AA1407"/>
      <c r="AD1407"/>
      <c r="AE1407"/>
      <c r="AF1407"/>
      <c r="AH1407"/>
      <c r="AI1407"/>
      <c r="AJ1407"/>
      <c r="AM1407"/>
    </row>
    <row r="1408" spans="3:39">
      <c r="C1408"/>
      <c r="D1408"/>
      <c r="E1408"/>
      <c r="F1408"/>
      <c r="G1408"/>
      <c r="H1408"/>
      <c r="I1408" s="740"/>
      <c r="V1408"/>
      <c r="W1408"/>
      <c r="Y1408"/>
      <c r="Z1408"/>
      <c r="AA1408"/>
      <c r="AD1408"/>
      <c r="AE1408"/>
      <c r="AF1408"/>
      <c r="AH1408"/>
      <c r="AI1408"/>
      <c r="AJ1408"/>
      <c r="AM1408"/>
    </row>
    <row r="1409" spans="3:39">
      <c r="C1409"/>
      <c r="D1409"/>
      <c r="E1409"/>
      <c r="F1409"/>
      <c r="G1409"/>
      <c r="H1409"/>
      <c r="I1409" s="740"/>
      <c r="V1409"/>
      <c r="W1409"/>
      <c r="Y1409"/>
      <c r="Z1409"/>
      <c r="AA1409"/>
      <c r="AD1409"/>
      <c r="AE1409"/>
      <c r="AF1409"/>
      <c r="AH1409"/>
      <c r="AI1409"/>
      <c r="AJ1409"/>
      <c r="AM1409"/>
    </row>
    <row r="1410" spans="3:39">
      <c r="C1410"/>
      <c r="D1410"/>
      <c r="E1410"/>
      <c r="F1410"/>
      <c r="G1410"/>
      <c r="H1410"/>
      <c r="I1410" s="740"/>
      <c r="V1410"/>
      <c r="W1410"/>
      <c r="Y1410"/>
      <c r="Z1410"/>
      <c r="AA1410"/>
      <c r="AD1410"/>
      <c r="AE1410"/>
      <c r="AF1410"/>
      <c r="AH1410"/>
      <c r="AI1410"/>
      <c r="AJ1410"/>
      <c r="AM1410"/>
    </row>
    <row r="1411" spans="3:39">
      <c r="C1411"/>
      <c r="D1411"/>
      <c r="E1411"/>
      <c r="F1411"/>
      <c r="G1411"/>
      <c r="H1411"/>
      <c r="I1411" s="740"/>
      <c r="V1411"/>
      <c r="W1411"/>
      <c r="Y1411"/>
      <c r="Z1411"/>
      <c r="AA1411"/>
      <c r="AD1411"/>
      <c r="AE1411"/>
      <c r="AF1411"/>
      <c r="AH1411"/>
      <c r="AI1411"/>
      <c r="AJ1411"/>
      <c r="AM1411"/>
    </row>
    <row r="1412" spans="3:39">
      <c r="C1412"/>
      <c r="D1412"/>
      <c r="E1412"/>
      <c r="F1412"/>
      <c r="G1412"/>
      <c r="H1412"/>
      <c r="I1412" s="740"/>
      <c r="V1412"/>
      <c r="W1412"/>
      <c r="Y1412"/>
      <c r="Z1412"/>
      <c r="AA1412"/>
      <c r="AD1412"/>
      <c r="AE1412"/>
      <c r="AF1412"/>
      <c r="AH1412"/>
      <c r="AI1412"/>
      <c r="AJ1412"/>
      <c r="AM1412"/>
    </row>
    <row r="1413" spans="3:39">
      <c r="C1413"/>
      <c r="D1413"/>
      <c r="E1413"/>
      <c r="F1413"/>
      <c r="G1413"/>
      <c r="H1413"/>
      <c r="I1413" s="740"/>
      <c r="V1413"/>
      <c r="W1413"/>
      <c r="Y1413"/>
      <c r="Z1413"/>
      <c r="AA1413"/>
      <c r="AD1413"/>
      <c r="AE1413"/>
      <c r="AF1413"/>
      <c r="AH1413"/>
      <c r="AI1413"/>
      <c r="AJ1413"/>
      <c r="AM1413"/>
    </row>
    <row r="1414" spans="3:39">
      <c r="C1414"/>
      <c r="D1414"/>
      <c r="E1414"/>
      <c r="F1414"/>
      <c r="G1414"/>
      <c r="H1414"/>
      <c r="I1414" s="740"/>
      <c r="V1414"/>
      <c r="W1414"/>
      <c r="Y1414"/>
      <c r="Z1414"/>
      <c r="AA1414"/>
      <c r="AD1414"/>
      <c r="AE1414"/>
      <c r="AF1414"/>
      <c r="AH1414"/>
      <c r="AI1414"/>
      <c r="AJ1414"/>
      <c r="AM1414"/>
    </row>
    <row r="1415" spans="3:39">
      <c r="C1415"/>
      <c r="D1415"/>
      <c r="E1415"/>
      <c r="F1415"/>
      <c r="G1415"/>
      <c r="H1415"/>
      <c r="I1415" s="740"/>
      <c r="V1415"/>
      <c r="W1415"/>
      <c r="Y1415"/>
      <c r="Z1415"/>
      <c r="AA1415"/>
      <c r="AD1415"/>
      <c r="AE1415"/>
      <c r="AF1415"/>
      <c r="AH1415"/>
      <c r="AI1415"/>
      <c r="AJ1415"/>
      <c r="AM1415"/>
    </row>
    <row r="1416" spans="3:39">
      <c r="C1416"/>
      <c r="D1416"/>
      <c r="E1416"/>
      <c r="F1416"/>
      <c r="G1416"/>
      <c r="H1416"/>
      <c r="I1416" s="740"/>
      <c r="V1416"/>
      <c r="W1416"/>
      <c r="Y1416"/>
      <c r="Z1416"/>
      <c r="AA1416"/>
      <c r="AD1416"/>
      <c r="AE1416"/>
      <c r="AF1416"/>
      <c r="AH1416"/>
      <c r="AI1416"/>
      <c r="AJ1416"/>
      <c r="AM1416"/>
    </row>
    <row r="1417" spans="3:39">
      <c r="C1417"/>
      <c r="D1417"/>
      <c r="E1417"/>
      <c r="F1417"/>
      <c r="G1417"/>
      <c r="H1417"/>
      <c r="I1417" s="740"/>
      <c r="V1417"/>
      <c r="W1417"/>
      <c r="Y1417"/>
      <c r="Z1417"/>
      <c r="AA1417"/>
      <c r="AD1417"/>
      <c r="AE1417"/>
      <c r="AF1417"/>
      <c r="AH1417"/>
      <c r="AI1417"/>
      <c r="AJ1417"/>
      <c r="AM1417"/>
    </row>
    <row r="1418" spans="3:39">
      <c r="C1418"/>
      <c r="D1418"/>
      <c r="E1418"/>
      <c r="F1418"/>
      <c r="G1418"/>
      <c r="H1418"/>
      <c r="I1418" s="740"/>
      <c r="V1418"/>
      <c r="W1418"/>
      <c r="Y1418"/>
      <c r="Z1418"/>
      <c r="AA1418"/>
      <c r="AD1418"/>
      <c r="AE1418"/>
      <c r="AF1418"/>
      <c r="AH1418"/>
      <c r="AI1418"/>
      <c r="AJ1418"/>
      <c r="AM1418"/>
    </row>
    <row r="1419" spans="3:39">
      <c r="C1419"/>
      <c r="D1419"/>
      <c r="E1419"/>
      <c r="F1419"/>
      <c r="G1419"/>
      <c r="H1419"/>
      <c r="I1419" s="740"/>
      <c r="V1419"/>
      <c r="W1419"/>
      <c r="Y1419"/>
      <c r="Z1419"/>
      <c r="AA1419"/>
      <c r="AD1419"/>
      <c r="AE1419"/>
      <c r="AF1419"/>
      <c r="AH1419"/>
      <c r="AI1419"/>
      <c r="AJ1419"/>
      <c r="AM1419"/>
    </row>
    <row r="1420" spans="3:39">
      <c r="C1420"/>
      <c r="D1420"/>
      <c r="E1420"/>
      <c r="F1420"/>
      <c r="G1420"/>
      <c r="H1420"/>
      <c r="I1420" s="740"/>
      <c r="V1420"/>
      <c r="W1420"/>
      <c r="Y1420"/>
      <c r="Z1420"/>
      <c r="AA1420"/>
      <c r="AD1420"/>
      <c r="AE1420"/>
      <c r="AF1420"/>
      <c r="AH1420"/>
      <c r="AI1420"/>
      <c r="AJ1420"/>
      <c r="AM1420"/>
    </row>
    <row r="1421" spans="3:39">
      <c r="C1421"/>
      <c r="D1421"/>
      <c r="E1421"/>
      <c r="F1421"/>
      <c r="G1421"/>
      <c r="H1421"/>
      <c r="I1421" s="740"/>
      <c r="V1421"/>
      <c r="W1421"/>
      <c r="Y1421"/>
      <c r="Z1421"/>
      <c r="AA1421"/>
      <c r="AD1421"/>
      <c r="AE1421"/>
      <c r="AF1421"/>
      <c r="AH1421"/>
      <c r="AI1421"/>
      <c r="AJ1421"/>
      <c r="AM1421"/>
    </row>
    <row r="1422" spans="3:39">
      <c r="C1422"/>
      <c r="D1422"/>
      <c r="E1422"/>
      <c r="F1422"/>
      <c r="G1422"/>
      <c r="H1422"/>
      <c r="I1422" s="740"/>
      <c r="V1422"/>
      <c r="W1422"/>
      <c r="Y1422"/>
      <c r="Z1422"/>
      <c r="AA1422"/>
      <c r="AD1422"/>
      <c r="AE1422"/>
      <c r="AF1422"/>
      <c r="AH1422"/>
      <c r="AI1422"/>
      <c r="AJ1422"/>
      <c r="AM1422"/>
    </row>
    <row r="1423" spans="3:39">
      <c r="C1423"/>
      <c r="D1423"/>
      <c r="E1423"/>
      <c r="F1423"/>
      <c r="G1423"/>
      <c r="H1423"/>
      <c r="I1423" s="740"/>
      <c r="V1423"/>
      <c r="W1423"/>
      <c r="Y1423"/>
      <c r="Z1423"/>
      <c r="AA1423"/>
      <c r="AD1423"/>
      <c r="AE1423"/>
      <c r="AF1423"/>
      <c r="AH1423"/>
      <c r="AI1423"/>
      <c r="AJ1423"/>
      <c r="AM1423"/>
    </row>
    <row r="1424" spans="3:39">
      <c r="C1424"/>
      <c r="D1424"/>
      <c r="E1424"/>
      <c r="F1424"/>
      <c r="G1424"/>
      <c r="H1424"/>
      <c r="I1424" s="740"/>
      <c r="V1424"/>
      <c r="W1424"/>
      <c r="Y1424"/>
      <c r="Z1424"/>
      <c r="AA1424"/>
      <c r="AD1424"/>
      <c r="AE1424"/>
      <c r="AF1424"/>
      <c r="AH1424"/>
      <c r="AI1424"/>
      <c r="AJ1424"/>
      <c r="AM1424"/>
    </row>
    <row r="1425" spans="3:39">
      <c r="C1425"/>
      <c r="D1425"/>
      <c r="E1425"/>
      <c r="F1425"/>
      <c r="G1425"/>
      <c r="H1425"/>
      <c r="I1425" s="740"/>
      <c r="V1425"/>
      <c r="W1425"/>
      <c r="Y1425"/>
      <c r="Z1425"/>
      <c r="AA1425"/>
      <c r="AD1425"/>
      <c r="AE1425"/>
      <c r="AF1425"/>
      <c r="AH1425"/>
      <c r="AI1425"/>
      <c r="AJ1425"/>
      <c r="AM1425"/>
    </row>
    <row r="1426" spans="3:39">
      <c r="C1426"/>
      <c r="D1426"/>
      <c r="E1426"/>
      <c r="F1426"/>
      <c r="G1426"/>
      <c r="H1426"/>
      <c r="I1426" s="740"/>
      <c r="V1426"/>
      <c r="W1426"/>
      <c r="Y1426"/>
      <c r="Z1426"/>
      <c r="AA1426"/>
      <c r="AD1426"/>
      <c r="AE1426"/>
      <c r="AF1426"/>
      <c r="AH1426"/>
      <c r="AI1426"/>
      <c r="AJ1426"/>
      <c r="AM1426"/>
    </row>
    <row r="1427" spans="3:39">
      <c r="C1427"/>
      <c r="D1427"/>
      <c r="E1427"/>
      <c r="F1427"/>
      <c r="G1427"/>
      <c r="H1427"/>
      <c r="I1427" s="740"/>
      <c r="V1427"/>
      <c r="W1427"/>
      <c r="Y1427"/>
      <c r="Z1427"/>
      <c r="AA1427"/>
      <c r="AD1427"/>
      <c r="AE1427"/>
      <c r="AF1427"/>
      <c r="AH1427"/>
      <c r="AI1427"/>
      <c r="AJ1427"/>
      <c r="AM1427"/>
    </row>
    <row r="1428" spans="3:39">
      <c r="C1428"/>
      <c r="D1428"/>
      <c r="E1428"/>
      <c r="F1428"/>
      <c r="G1428"/>
      <c r="H1428"/>
      <c r="I1428" s="740"/>
      <c r="V1428"/>
      <c r="W1428"/>
      <c r="Y1428"/>
      <c r="Z1428"/>
      <c r="AA1428"/>
      <c r="AD1428"/>
      <c r="AE1428"/>
      <c r="AF1428"/>
      <c r="AH1428"/>
      <c r="AI1428"/>
      <c r="AJ1428"/>
      <c r="AM1428"/>
    </row>
    <row r="1429" spans="3:39">
      <c r="C1429"/>
      <c r="D1429"/>
      <c r="E1429"/>
      <c r="F1429"/>
      <c r="G1429"/>
      <c r="H1429"/>
      <c r="I1429" s="740"/>
      <c r="V1429"/>
      <c r="W1429"/>
      <c r="Y1429"/>
      <c r="Z1429"/>
      <c r="AA1429"/>
      <c r="AD1429"/>
      <c r="AE1429"/>
      <c r="AF1429"/>
      <c r="AH1429"/>
      <c r="AI1429"/>
      <c r="AJ1429"/>
      <c r="AM1429"/>
    </row>
    <row r="1430" spans="3:39">
      <c r="C1430"/>
      <c r="D1430"/>
      <c r="E1430"/>
      <c r="F1430"/>
      <c r="G1430"/>
      <c r="H1430"/>
      <c r="I1430" s="740"/>
      <c r="V1430"/>
      <c r="W1430"/>
      <c r="Y1430"/>
      <c r="Z1430"/>
      <c r="AA1430"/>
      <c r="AD1430"/>
      <c r="AE1430"/>
      <c r="AF1430"/>
      <c r="AH1430"/>
      <c r="AI1430"/>
      <c r="AJ1430"/>
      <c r="AM1430"/>
    </row>
    <row r="1431" spans="3:39">
      <c r="C1431"/>
      <c r="D1431"/>
      <c r="E1431"/>
      <c r="F1431"/>
      <c r="G1431"/>
      <c r="H1431"/>
      <c r="I1431" s="740"/>
      <c r="V1431"/>
      <c r="W1431"/>
      <c r="Y1431"/>
      <c r="Z1431"/>
      <c r="AA1431"/>
      <c r="AD1431"/>
      <c r="AE1431"/>
      <c r="AF1431"/>
      <c r="AH1431"/>
      <c r="AI1431"/>
      <c r="AJ1431"/>
      <c r="AM1431"/>
    </row>
    <row r="1432" spans="3:39">
      <c r="C1432"/>
      <c r="D1432"/>
      <c r="E1432"/>
      <c r="F1432"/>
      <c r="G1432"/>
      <c r="H1432"/>
      <c r="I1432" s="740"/>
      <c r="V1432"/>
      <c r="W1432"/>
      <c r="Y1432"/>
      <c r="Z1432"/>
      <c r="AA1432"/>
      <c r="AD1432"/>
      <c r="AE1432"/>
      <c r="AF1432"/>
      <c r="AH1432"/>
      <c r="AI1432"/>
      <c r="AJ1432"/>
      <c r="AM1432"/>
    </row>
    <row r="1433" spans="3:39">
      <c r="C1433"/>
      <c r="D1433"/>
      <c r="E1433"/>
      <c r="F1433"/>
      <c r="G1433"/>
      <c r="H1433"/>
      <c r="I1433" s="740"/>
      <c r="V1433"/>
      <c r="W1433"/>
      <c r="Y1433"/>
      <c r="Z1433"/>
      <c r="AA1433"/>
      <c r="AD1433"/>
      <c r="AE1433"/>
      <c r="AF1433"/>
      <c r="AH1433"/>
      <c r="AI1433"/>
      <c r="AJ1433"/>
      <c r="AM1433"/>
    </row>
    <row r="1434" spans="3:39">
      <c r="C1434"/>
      <c r="D1434"/>
      <c r="E1434"/>
      <c r="F1434"/>
      <c r="G1434"/>
      <c r="H1434"/>
      <c r="I1434" s="740"/>
      <c r="V1434"/>
      <c r="W1434"/>
      <c r="Y1434"/>
      <c r="Z1434"/>
      <c r="AA1434"/>
      <c r="AD1434"/>
      <c r="AE1434"/>
      <c r="AF1434"/>
      <c r="AH1434"/>
      <c r="AI1434"/>
      <c r="AJ1434"/>
      <c r="AM1434"/>
    </row>
    <row r="1435" spans="3:39">
      <c r="C1435"/>
      <c r="D1435"/>
      <c r="E1435"/>
      <c r="F1435"/>
      <c r="G1435"/>
      <c r="H1435"/>
      <c r="I1435" s="740"/>
      <c r="V1435"/>
      <c r="W1435"/>
      <c r="Y1435"/>
      <c r="Z1435"/>
      <c r="AA1435"/>
      <c r="AD1435"/>
      <c r="AE1435"/>
      <c r="AF1435"/>
      <c r="AH1435"/>
      <c r="AI1435"/>
      <c r="AJ1435"/>
      <c r="AM1435"/>
    </row>
    <row r="1436" spans="3:39">
      <c r="C1436"/>
      <c r="D1436"/>
      <c r="E1436"/>
      <c r="F1436"/>
      <c r="G1436"/>
      <c r="H1436"/>
      <c r="I1436" s="740"/>
      <c r="V1436"/>
      <c r="W1436"/>
      <c r="Y1436"/>
      <c r="Z1436"/>
      <c r="AA1436"/>
      <c r="AD1436"/>
      <c r="AE1436"/>
      <c r="AF1436"/>
      <c r="AH1436"/>
      <c r="AI1436"/>
      <c r="AJ1436"/>
      <c r="AM1436"/>
    </row>
    <row r="1437" spans="3:39">
      <c r="C1437"/>
      <c r="D1437"/>
      <c r="E1437"/>
      <c r="F1437"/>
      <c r="G1437"/>
      <c r="H1437"/>
      <c r="I1437" s="740"/>
      <c r="V1437"/>
      <c r="W1437"/>
      <c r="Y1437"/>
      <c r="Z1437"/>
      <c r="AA1437"/>
      <c r="AD1437"/>
      <c r="AE1437"/>
      <c r="AF1437"/>
      <c r="AH1437"/>
      <c r="AI1437"/>
      <c r="AJ1437"/>
      <c r="AM1437"/>
    </row>
    <row r="1438" spans="3:39">
      <c r="C1438"/>
      <c r="D1438"/>
      <c r="E1438"/>
      <c r="F1438"/>
      <c r="G1438"/>
      <c r="H1438"/>
      <c r="I1438" s="740"/>
      <c r="V1438"/>
      <c r="W1438"/>
      <c r="Y1438"/>
      <c r="Z1438"/>
      <c r="AA1438"/>
      <c r="AD1438"/>
      <c r="AE1438"/>
      <c r="AF1438"/>
      <c r="AH1438"/>
      <c r="AI1438"/>
      <c r="AJ1438"/>
      <c r="AM1438"/>
    </row>
    <row r="1439" spans="3:39">
      <c r="C1439"/>
      <c r="D1439"/>
      <c r="E1439"/>
      <c r="F1439"/>
      <c r="G1439"/>
      <c r="H1439"/>
      <c r="I1439" s="740"/>
      <c r="V1439"/>
      <c r="W1439"/>
      <c r="Y1439"/>
      <c r="Z1439"/>
      <c r="AA1439"/>
      <c r="AD1439"/>
      <c r="AE1439"/>
      <c r="AF1439"/>
      <c r="AH1439"/>
      <c r="AI1439"/>
      <c r="AJ1439"/>
      <c r="AM1439"/>
    </row>
    <row r="1440" spans="3:39">
      <c r="C1440"/>
      <c r="D1440"/>
      <c r="E1440"/>
      <c r="F1440"/>
      <c r="G1440"/>
      <c r="H1440"/>
      <c r="I1440" s="740"/>
      <c r="V1440"/>
      <c r="W1440"/>
      <c r="Y1440"/>
      <c r="Z1440"/>
      <c r="AA1440"/>
      <c r="AD1440"/>
      <c r="AE1440"/>
      <c r="AF1440"/>
      <c r="AH1440"/>
      <c r="AI1440"/>
      <c r="AJ1440"/>
      <c r="AM1440"/>
    </row>
    <row r="1441" spans="3:39">
      <c r="C1441"/>
      <c r="D1441"/>
      <c r="E1441"/>
      <c r="F1441"/>
      <c r="G1441"/>
      <c r="H1441"/>
      <c r="I1441" s="740"/>
      <c r="V1441"/>
      <c r="W1441"/>
      <c r="Y1441"/>
      <c r="Z1441"/>
      <c r="AA1441"/>
      <c r="AD1441"/>
      <c r="AE1441"/>
      <c r="AF1441"/>
      <c r="AH1441"/>
      <c r="AI1441"/>
      <c r="AJ1441"/>
      <c r="AM1441"/>
    </row>
    <row r="1442" spans="3:39">
      <c r="C1442"/>
      <c r="D1442"/>
      <c r="E1442"/>
      <c r="F1442"/>
      <c r="G1442"/>
      <c r="H1442"/>
      <c r="I1442" s="740"/>
      <c r="V1442"/>
      <c r="W1442"/>
      <c r="Y1442"/>
      <c r="Z1442"/>
      <c r="AA1442"/>
      <c r="AD1442"/>
      <c r="AE1442"/>
      <c r="AF1442"/>
      <c r="AH1442"/>
      <c r="AI1442"/>
      <c r="AJ1442"/>
      <c r="AM1442"/>
    </row>
    <row r="1443" spans="3:39">
      <c r="C1443"/>
      <c r="D1443"/>
      <c r="E1443"/>
      <c r="F1443"/>
      <c r="G1443"/>
      <c r="H1443"/>
      <c r="I1443" s="740"/>
      <c r="V1443"/>
      <c r="W1443"/>
      <c r="Y1443"/>
      <c r="Z1443"/>
      <c r="AA1443"/>
      <c r="AD1443"/>
      <c r="AE1443"/>
      <c r="AF1443"/>
      <c r="AH1443"/>
      <c r="AI1443"/>
      <c r="AJ1443"/>
      <c r="AM1443"/>
    </row>
    <row r="1444" spans="3:39">
      <c r="C1444"/>
      <c r="D1444"/>
      <c r="E1444"/>
      <c r="F1444"/>
      <c r="G1444"/>
      <c r="H1444"/>
      <c r="I1444" s="740"/>
      <c r="V1444"/>
      <c r="W1444"/>
      <c r="Y1444"/>
      <c r="Z1444"/>
      <c r="AA1444"/>
      <c r="AD1444"/>
      <c r="AE1444"/>
      <c r="AF1444"/>
      <c r="AH1444"/>
      <c r="AI1444"/>
      <c r="AJ1444"/>
      <c r="AM1444"/>
    </row>
    <row r="1445" spans="3:39">
      <c r="C1445"/>
      <c r="D1445"/>
      <c r="E1445"/>
      <c r="F1445"/>
      <c r="G1445"/>
      <c r="H1445"/>
      <c r="I1445" s="740"/>
      <c r="V1445"/>
      <c r="W1445"/>
      <c r="Y1445"/>
      <c r="Z1445"/>
      <c r="AA1445"/>
      <c r="AD1445"/>
      <c r="AE1445"/>
      <c r="AF1445"/>
      <c r="AH1445"/>
      <c r="AI1445"/>
      <c r="AJ1445"/>
      <c r="AM1445"/>
    </row>
    <row r="1446" spans="3:39">
      <c r="C1446"/>
      <c r="D1446"/>
      <c r="E1446"/>
      <c r="F1446"/>
      <c r="G1446"/>
      <c r="H1446"/>
      <c r="I1446" s="740"/>
      <c r="V1446"/>
      <c r="W1446"/>
      <c r="Y1446"/>
      <c r="Z1446"/>
      <c r="AA1446"/>
      <c r="AD1446"/>
      <c r="AE1446"/>
      <c r="AF1446"/>
      <c r="AH1446"/>
      <c r="AI1446"/>
      <c r="AJ1446"/>
      <c r="AM1446"/>
    </row>
    <row r="1447" spans="3:39">
      <c r="C1447"/>
      <c r="D1447"/>
      <c r="E1447"/>
      <c r="F1447"/>
      <c r="G1447"/>
      <c r="H1447"/>
      <c r="I1447" s="740"/>
      <c r="V1447"/>
      <c r="W1447"/>
      <c r="Y1447"/>
      <c r="Z1447"/>
      <c r="AA1447"/>
      <c r="AD1447"/>
      <c r="AE1447"/>
      <c r="AF1447"/>
      <c r="AH1447"/>
      <c r="AI1447"/>
      <c r="AJ1447"/>
      <c r="AM1447"/>
    </row>
    <row r="1448" spans="3:39">
      <c r="C1448"/>
      <c r="D1448"/>
      <c r="E1448"/>
      <c r="F1448"/>
      <c r="G1448"/>
      <c r="H1448"/>
      <c r="I1448" s="740"/>
      <c r="V1448"/>
      <c r="W1448"/>
      <c r="Y1448"/>
      <c r="Z1448"/>
      <c r="AA1448"/>
      <c r="AD1448"/>
      <c r="AE1448"/>
      <c r="AF1448"/>
      <c r="AH1448"/>
      <c r="AI1448"/>
      <c r="AJ1448"/>
      <c r="AM1448"/>
    </row>
    <row r="1449" spans="3:39">
      <c r="C1449"/>
      <c r="D1449"/>
      <c r="E1449"/>
      <c r="F1449"/>
      <c r="G1449"/>
      <c r="H1449"/>
      <c r="I1449" s="740"/>
      <c r="V1449"/>
      <c r="W1449"/>
      <c r="Y1449"/>
      <c r="Z1449"/>
      <c r="AA1449"/>
      <c r="AD1449"/>
      <c r="AE1449"/>
      <c r="AF1449"/>
      <c r="AH1449"/>
      <c r="AI1449"/>
      <c r="AJ1449"/>
      <c r="AM1449"/>
    </row>
    <row r="1450" spans="3:39">
      <c r="C1450"/>
      <c r="D1450"/>
      <c r="E1450"/>
      <c r="F1450"/>
      <c r="G1450"/>
      <c r="H1450"/>
      <c r="I1450" s="740"/>
      <c r="V1450"/>
      <c r="W1450"/>
      <c r="Y1450"/>
      <c r="Z1450"/>
      <c r="AA1450"/>
      <c r="AD1450"/>
      <c r="AE1450"/>
      <c r="AF1450"/>
      <c r="AH1450"/>
      <c r="AI1450"/>
      <c r="AJ1450"/>
      <c r="AM1450"/>
    </row>
    <row r="1451" spans="3:39">
      <c r="C1451"/>
      <c r="D1451"/>
      <c r="E1451"/>
      <c r="F1451"/>
      <c r="G1451"/>
      <c r="H1451"/>
      <c r="I1451" s="740"/>
      <c r="V1451"/>
      <c r="W1451"/>
      <c r="Y1451"/>
      <c r="Z1451"/>
      <c r="AA1451"/>
      <c r="AD1451"/>
      <c r="AE1451"/>
      <c r="AF1451"/>
      <c r="AH1451"/>
      <c r="AI1451"/>
      <c r="AJ1451"/>
      <c r="AM1451"/>
    </row>
    <row r="1452" spans="3:39">
      <c r="C1452"/>
      <c r="D1452"/>
      <c r="E1452"/>
      <c r="F1452"/>
      <c r="G1452"/>
      <c r="H1452"/>
      <c r="I1452" s="740"/>
      <c r="V1452"/>
      <c r="W1452"/>
      <c r="Y1452"/>
      <c r="Z1452"/>
      <c r="AA1452"/>
      <c r="AD1452"/>
      <c r="AE1452"/>
      <c r="AF1452"/>
      <c r="AH1452"/>
      <c r="AI1452"/>
      <c r="AJ1452"/>
      <c r="AM1452"/>
    </row>
    <row r="1453" spans="3:39">
      <c r="C1453"/>
      <c r="D1453"/>
      <c r="E1453"/>
      <c r="F1453"/>
      <c r="G1453"/>
      <c r="H1453"/>
      <c r="I1453" s="740"/>
      <c r="V1453"/>
      <c r="W1453"/>
      <c r="Y1453"/>
      <c r="Z1453"/>
      <c r="AA1453"/>
      <c r="AD1453"/>
      <c r="AE1453"/>
      <c r="AF1453"/>
      <c r="AH1453"/>
      <c r="AI1453"/>
      <c r="AJ1453"/>
      <c r="AM1453"/>
    </row>
    <row r="1454" spans="3:39">
      <c r="C1454"/>
      <c r="D1454"/>
      <c r="E1454"/>
      <c r="F1454"/>
      <c r="G1454"/>
      <c r="H1454"/>
      <c r="I1454" s="740"/>
      <c r="V1454"/>
      <c r="W1454"/>
      <c r="Y1454"/>
      <c r="Z1454"/>
      <c r="AA1454"/>
      <c r="AD1454"/>
      <c r="AE1454"/>
      <c r="AF1454"/>
      <c r="AH1454"/>
      <c r="AI1454"/>
      <c r="AJ1454"/>
      <c r="AM1454"/>
    </row>
    <row r="1455" spans="3:39">
      <c r="C1455"/>
      <c r="D1455"/>
      <c r="E1455"/>
      <c r="F1455"/>
      <c r="G1455"/>
      <c r="H1455"/>
      <c r="I1455" s="740"/>
      <c r="V1455"/>
      <c r="W1455"/>
      <c r="Y1455"/>
      <c r="Z1455"/>
      <c r="AA1455"/>
      <c r="AD1455"/>
      <c r="AE1455"/>
      <c r="AF1455"/>
      <c r="AH1455"/>
      <c r="AI1455"/>
      <c r="AJ1455"/>
      <c r="AM1455"/>
    </row>
    <row r="1456" spans="3:39">
      <c r="C1456"/>
      <c r="D1456"/>
      <c r="E1456"/>
      <c r="F1456"/>
      <c r="G1456"/>
      <c r="H1456"/>
      <c r="I1456" s="740"/>
      <c r="V1456"/>
      <c r="W1456"/>
      <c r="Y1456"/>
      <c r="Z1456"/>
      <c r="AA1456"/>
      <c r="AD1456"/>
      <c r="AE1456"/>
      <c r="AF1456"/>
      <c r="AH1456"/>
      <c r="AI1456"/>
      <c r="AJ1456"/>
      <c r="AM1456"/>
    </row>
    <row r="1457" spans="3:39">
      <c r="C1457"/>
      <c r="D1457"/>
      <c r="E1457"/>
      <c r="F1457"/>
      <c r="G1457"/>
      <c r="H1457"/>
      <c r="I1457" s="740"/>
      <c r="V1457"/>
      <c r="W1457"/>
      <c r="Y1457"/>
      <c r="Z1457"/>
      <c r="AA1457"/>
      <c r="AD1457"/>
      <c r="AE1457"/>
      <c r="AF1457"/>
      <c r="AH1457"/>
      <c r="AI1457"/>
      <c r="AJ1457"/>
      <c r="AM1457"/>
    </row>
    <row r="1458" spans="3:39">
      <c r="C1458"/>
      <c r="D1458"/>
      <c r="E1458"/>
      <c r="F1458"/>
      <c r="G1458"/>
      <c r="H1458"/>
      <c r="I1458" s="740"/>
      <c r="V1458"/>
      <c r="W1458"/>
      <c r="Y1458"/>
      <c r="Z1458"/>
      <c r="AA1458"/>
      <c r="AD1458"/>
      <c r="AE1458"/>
      <c r="AF1458"/>
      <c r="AH1458"/>
      <c r="AI1458"/>
      <c r="AJ1458"/>
      <c r="AM1458"/>
    </row>
    <row r="1459" spans="3:39">
      <c r="C1459"/>
      <c r="D1459"/>
      <c r="E1459"/>
      <c r="F1459"/>
      <c r="G1459"/>
      <c r="H1459"/>
      <c r="I1459" s="740"/>
      <c r="V1459"/>
      <c r="W1459"/>
      <c r="Y1459"/>
      <c r="Z1459"/>
      <c r="AA1459"/>
      <c r="AD1459"/>
      <c r="AE1459"/>
      <c r="AF1459"/>
      <c r="AH1459"/>
      <c r="AI1459"/>
      <c r="AJ1459"/>
      <c r="AM1459"/>
    </row>
    <row r="1460" spans="3:39">
      <c r="C1460"/>
      <c r="D1460"/>
      <c r="E1460"/>
      <c r="F1460"/>
      <c r="G1460"/>
      <c r="H1460"/>
      <c r="I1460" s="740"/>
      <c r="V1460"/>
      <c r="W1460"/>
      <c r="Y1460"/>
      <c r="Z1460"/>
      <c r="AA1460"/>
      <c r="AD1460"/>
      <c r="AE1460"/>
      <c r="AF1460"/>
      <c r="AH1460"/>
      <c r="AI1460"/>
      <c r="AJ1460"/>
      <c r="AM1460"/>
    </row>
    <row r="1461" spans="3:39">
      <c r="C1461"/>
      <c r="D1461"/>
      <c r="E1461"/>
      <c r="F1461"/>
      <c r="G1461"/>
      <c r="H1461"/>
      <c r="I1461" s="740"/>
      <c r="V1461"/>
      <c r="W1461"/>
      <c r="Y1461"/>
      <c r="Z1461"/>
      <c r="AA1461"/>
      <c r="AD1461"/>
      <c r="AE1461"/>
      <c r="AF1461"/>
      <c r="AH1461"/>
      <c r="AI1461"/>
      <c r="AJ1461"/>
      <c r="AM1461"/>
    </row>
    <row r="1462" spans="3:39">
      <c r="C1462"/>
      <c r="D1462"/>
      <c r="E1462"/>
      <c r="F1462"/>
      <c r="G1462"/>
      <c r="H1462"/>
      <c r="I1462" s="740"/>
      <c r="V1462"/>
      <c r="W1462"/>
      <c r="Y1462"/>
      <c r="Z1462"/>
      <c r="AA1462"/>
      <c r="AD1462"/>
      <c r="AE1462"/>
      <c r="AF1462"/>
      <c r="AH1462"/>
      <c r="AI1462"/>
      <c r="AJ1462"/>
      <c r="AM1462"/>
    </row>
    <row r="1463" spans="3:39">
      <c r="C1463"/>
      <c r="D1463"/>
      <c r="E1463"/>
      <c r="F1463"/>
      <c r="G1463"/>
      <c r="H1463"/>
      <c r="I1463" s="740"/>
      <c r="V1463"/>
      <c r="W1463"/>
      <c r="Y1463"/>
      <c r="Z1463"/>
      <c r="AA1463"/>
      <c r="AD1463"/>
      <c r="AE1463"/>
      <c r="AF1463"/>
      <c r="AH1463"/>
      <c r="AI1463"/>
      <c r="AJ1463"/>
      <c r="AM1463"/>
    </row>
    <row r="1464" spans="3:39">
      <c r="C1464"/>
      <c r="D1464"/>
      <c r="E1464"/>
      <c r="F1464"/>
      <c r="G1464"/>
      <c r="H1464"/>
      <c r="I1464" s="740"/>
      <c r="V1464"/>
      <c r="W1464"/>
      <c r="Y1464"/>
      <c r="Z1464"/>
      <c r="AA1464"/>
      <c r="AD1464"/>
      <c r="AE1464"/>
      <c r="AF1464"/>
      <c r="AH1464"/>
      <c r="AI1464"/>
      <c r="AJ1464"/>
      <c r="AM1464"/>
    </row>
    <row r="1465" spans="3:39">
      <c r="C1465"/>
      <c r="D1465"/>
      <c r="E1465"/>
      <c r="F1465"/>
      <c r="G1465"/>
      <c r="H1465"/>
      <c r="I1465" s="740"/>
      <c r="V1465"/>
      <c r="W1465"/>
      <c r="Y1465"/>
      <c r="Z1465"/>
      <c r="AA1465"/>
      <c r="AD1465"/>
      <c r="AE1465"/>
      <c r="AF1465"/>
      <c r="AH1465"/>
      <c r="AI1465"/>
      <c r="AJ1465"/>
      <c r="AM1465"/>
    </row>
    <row r="1466" spans="3:39">
      <c r="C1466"/>
      <c r="D1466"/>
      <c r="E1466"/>
      <c r="F1466"/>
      <c r="G1466"/>
      <c r="H1466"/>
      <c r="I1466" s="740"/>
      <c r="V1466"/>
      <c r="W1466"/>
      <c r="Y1466"/>
      <c r="Z1466"/>
      <c r="AA1466"/>
      <c r="AD1466"/>
      <c r="AE1466"/>
      <c r="AF1466"/>
      <c r="AH1466"/>
      <c r="AI1466"/>
      <c r="AJ1466"/>
      <c r="AM1466"/>
    </row>
    <row r="1467" spans="3:39">
      <c r="C1467"/>
      <c r="D1467"/>
      <c r="E1467"/>
      <c r="F1467"/>
      <c r="G1467"/>
      <c r="H1467"/>
      <c r="I1467" s="740"/>
      <c r="V1467"/>
      <c r="W1467"/>
      <c r="Y1467"/>
      <c r="Z1467"/>
      <c r="AA1467"/>
      <c r="AD1467"/>
      <c r="AE1467"/>
      <c r="AF1467"/>
      <c r="AH1467"/>
      <c r="AI1467"/>
      <c r="AJ1467"/>
      <c r="AM1467"/>
    </row>
    <row r="1468" spans="3:39">
      <c r="C1468"/>
      <c r="D1468"/>
      <c r="E1468"/>
      <c r="F1468"/>
      <c r="G1468"/>
      <c r="H1468"/>
      <c r="I1468" s="740"/>
      <c r="V1468"/>
      <c r="W1468"/>
      <c r="Y1468"/>
      <c r="Z1468"/>
      <c r="AA1468"/>
      <c r="AD1468"/>
      <c r="AE1468"/>
      <c r="AF1468"/>
      <c r="AH1468"/>
      <c r="AI1468"/>
      <c r="AJ1468"/>
      <c r="AM1468"/>
    </row>
    <row r="1469" spans="3:39">
      <c r="C1469"/>
      <c r="D1469"/>
      <c r="E1469"/>
      <c r="F1469"/>
      <c r="G1469"/>
      <c r="H1469"/>
      <c r="I1469" s="740"/>
      <c r="V1469"/>
      <c r="W1469"/>
      <c r="Y1469"/>
      <c r="Z1469"/>
      <c r="AA1469"/>
      <c r="AD1469"/>
      <c r="AE1469"/>
      <c r="AF1469"/>
      <c r="AH1469"/>
      <c r="AI1469"/>
      <c r="AJ1469"/>
      <c r="AM1469"/>
    </row>
    <row r="1470" spans="3:39">
      <c r="C1470"/>
      <c r="D1470"/>
      <c r="E1470"/>
      <c r="F1470"/>
      <c r="G1470"/>
      <c r="H1470"/>
      <c r="I1470" s="740"/>
      <c r="V1470"/>
      <c r="W1470"/>
      <c r="Y1470"/>
      <c r="Z1470"/>
      <c r="AA1470"/>
      <c r="AD1470"/>
      <c r="AE1470"/>
      <c r="AF1470"/>
      <c r="AH1470"/>
      <c r="AI1470"/>
      <c r="AJ1470"/>
      <c r="AM1470"/>
    </row>
    <row r="1471" spans="3:39">
      <c r="C1471"/>
      <c r="D1471"/>
      <c r="E1471"/>
      <c r="F1471"/>
      <c r="G1471"/>
      <c r="H1471"/>
      <c r="I1471" s="740"/>
      <c r="V1471"/>
      <c r="W1471"/>
      <c r="Y1471"/>
      <c r="Z1471"/>
      <c r="AA1471"/>
      <c r="AD1471"/>
      <c r="AE1471"/>
      <c r="AF1471"/>
      <c r="AH1471"/>
      <c r="AI1471"/>
      <c r="AJ1471"/>
      <c r="AM1471"/>
    </row>
    <row r="1472" spans="3:39">
      <c r="C1472"/>
      <c r="D1472"/>
      <c r="E1472"/>
      <c r="F1472"/>
      <c r="G1472"/>
      <c r="H1472"/>
      <c r="I1472" s="740"/>
      <c r="V1472"/>
      <c r="W1472"/>
      <c r="Y1472"/>
      <c r="Z1472"/>
      <c r="AA1472"/>
      <c r="AD1472"/>
      <c r="AE1472"/>
      <c r="AF1472"/>
      <c r="AH1472"/>
      <c r="AI1472"/>
      <c r="AJ1472"/>
      <c r="AM1472"/>
    </row>
    <row r="1473" spans="3:39">
      <c r="C1473"/>
      <c r="D1473"/>
      <c r="E1473"/>
      <c r="F1473"/>
      <c r="G1473"/>
      <c r="H1473"/>
      <c r="I1473" s="740"/>
      <c r="V1473"/>
      <c r="W1473"/>
      <c r="Y1473"/>
      <c r="Z1473"/>
      <c r="AA1473"/>
      <c r="AD1473"/>
      <c r="AE1473"/>
      <c r="AF1473"/>
      <c r="AH1473"/>
      <c r="AI1473"/>
      <c r="AJ1473"/>
      <c r="AM1473"/>
    </row>
    <row r="1474" spans="3:39">
      <c r="C1474"/>
      <c r="D1474"/>
      <c r="E1474"/>
      <c r="F1474"/>
      <c r="G1474"/>
      <c r="H1474"/>
      <c r="I1474" s="740"/>
      <c r="V1474"/>
      <c r="W1474"/>
      <c r="Y1474"/>
      <c r="Z1474"/>
      <c r="AA1474"/>
      <c r="AD1474"/>
      <c r="AE1474"/>
      <c r="AF1474"/>
      <c r="AH1474"/>
      <c r="AI1474"/>
      <c r="AJ1474"/>
      <c r="AM1474"/>
    </row>
    <row r="1475" spans="3:39">
      <c r="C1475"/>
      <c r="D1475"/>
      <c r="E1475"/>
      <c r="F1475"/>
      <c r="G1475"/>
      <c r="H1475"/>
      <c r="I1475" s="740"/>
      <c r="V1475"/>
      <c r="W1475"/>
      <c r="Y1475"/>
      <c r="Z1475"/>
      <c r="AA1475"/>
      <c r="AD1475"/>
      <c r="AE1475"/>
      <c r="AF1475"/>
      <c r="AH1475"/>
      <c r="AI1475"/>
      <c r="AJ1475"/>
      <c r="AM1475"/>
    </row>
    <row r="1476" spans="3:39">
      <c r="C1476"/>
      <c r="D1476"/>
      <c r="E1476"/>
      <c r="F1476"/>
      <c r="G1476"/>
      <c r="H1476"/>
      <c r="I1476" s="740"/>
      <c r="V1476"/>
      <c r="W1476"/>
      <c r="Y1476"/>
      <c r="Z1476"/>
      <c r="AA1476"/>
      <c r="AD1476"/>
      <c r="AE1476"/>
      <c r="AF1476"/>
      <c r="AH1476"/>
      <c r="AI1476"/>
      <c r="AJ1476"/>
      <c r="AM1476"/>
    </row>
    <row r="1477" spans="3:39">
      <c r="C1477"/>
      <c r="D1477"/>
      <c r="E1477"/>
      <c r="F1477"/>
      <c r="G1477"/>
      <c r="H1477"/>
      <c r="I1477" s="740"/>
      <c r="V1477"/>
      <c r="W1477"/>
      <c r="Y1477"/>
      <c r="Z1477"/>
      <c r="AA1477"/>
      <c r="AD1477"/>
      <c r="AE1477"/>
      <c r="AF1477"/>
      <c r="AH1477"/>
      <c r="AI1477"/>
      <c r="AJ1477"/>
      <c r="AM1477"/>
    </row>
    <row r="1478" spans="3:39">
      <c r="C1478"/>
      <c r="D1478"/>
      <c r="E1478"/>
      <c r="F1478"/>
      <c r="G1478"/>
      <c r="H1478"/>
      <c r="I1478" s="740"/>
      <c r="V1478"/>
      <c r="W1478"/>
      <c r="Y1478"/>
      <c r="Z1478"/>
      <c r="AA1478"/>
      <c r="AD1478"/>
      <c r="AE1478"/>
      <c r="AF1478"/>
      <c r="AH1478"/>
      <c r="AI1478"/>
      <c r="AJ1478"/>
      <c r="AM1478"/>
    </row>
    <row r="1479" spans="3:39">
      <c r="C1479"/>
      <c r="D1479"/>
      <c r="E1479"/>
      <c r="F1479"/>
      <c r="G1479"/>
      <c r="H1479"/>
      <c r="I1479" s="740"/>
      <c r="V1479"/>
      <c r="W1479"/>
      <c r="Y1479"/>
      <c r="Z1479"/>
      <c r="AA1479"/>
      <c r="AD1479"/>
      <c r="AE1479"/>
      <c r="AF1479"/>
      <c r="AH1479"/>
      <c r="AI1479"/>
      <c r="AJ1479"/>
      <c r="AM1479"/>
    </row>
    <row r="1480" spans="3:39">
      <c r="C1480"/>
      <c r="D1480"/>
      <c r="E1480"/>
      <c r="F1480"/>
      <c r="G1480"/>
      <c r="H1480"/>
      <c r="I1480" s="740"/>
      <c r="V1480"/>
      <c r="W1480"/>
      <c r="Y1480"/>
      <c r="Z1480"/>
      <c r="AA1480"/>
      <c r="AD1480"/>
      <c r="AE1480"/>
      <c r="AF1480"/>
      <c r="AH1480"/>
      <c r="AI1480"/>
      <c r="AJ1480"/>
      <c r="AM1480"/>
    </row>
    <row r="1481" spans="3:39">
      <c r="C1481"/>
      <c r="D1481"/>
      <c r="E1481"/>
      <c r="F1481"/>
      <c r="G1481"/>
      <c r="H1481"/>
      <c r="I1481" s="740"/>
      <c r="V1481"/>
      <c r="W1481"/>
      <c r="Y1481"/>
      <c r="Z1481"/>
      <c r="AA1481"/>
      <c r="AD1481"/>
      <c r="AE1481"/>
      <c r="AF1481"/>
      <c r="AH1481"/>
      <c r="AI1481"/>
      <c r="AJ1481"/>
      <c r="AM1481"/>
    </row>
    <row r="1482" spans="3:39">
      <c r="C1482"/>
      <c r="D1482"/>
      <c r="E1482"/>
      <c r="F1482"/>
      <c r="G1482"/>
      <c r="H1482"/>
      <c r="I1482" s="740"/>
      <c r="V1482"/>
      <c r="W1482"/>
      <c r="Y1482"/>
      <c r="Z1482"/>
      <c r="AA1482"/>
      <c r="AD1482"/>
      <c r="AE1482"/>
      <c r="AF1482"/>
      <c r="AH1482"/>
      <c r="AI1482"/>
      <c r="AJ1482"/>
      <c r="AM1482"/>
    </row>
    <row r="1483" spans="3:39">
      <c r="C1483"/>
      <c r="D1483"/>
      <c r="E1483"/>
      <c r="F1483"/>
      <c r="G1483"/>
      <c r="H1483"/>
      <c r="I1483" s="740"/>
      <c r="V1483"/>
      <c r="W1483"/>
      <c r="Y1483"/>
      <c r="Z1483"/>
      <c r="AA1483"/>
      <c r="AD1483"/>
      <c r="AE1483"/>
      <c r="AF1483"/>
      <c r="AH1483"/>
      <c r="AI1483"/>
      <c r="AJ1483"/>
      <c r="AM1483"/>
    </row>
    <row r="1484" spans="3:39">
      <c r="C1484"/>
      <c r="D1484"/>
      <c r="E1484"/>
      <c r="F1484"/>
      <c r="G1484"/>
      <c r="H1484"/>
      <c r="I1484" s="740"/>
      <c r="V1484"/>
      <c r="W1484"/>
      <c r="Y1484"/>
      <c r="Z1484"/>
      <c r="AA1484"/>
      <c r="AD1484"/>
      <c r="AE1484"/>
      <c r="AF1484"/>
      <c r="AH1484"/>
      <c r="AI1484"/>
      <c r="AJ1484"/>
      <c r="AM1484"/>
    </row>
    <row r="1485" spans="3:39">
      <c r="C1485"/>
      <c r="D1485"/>
      <c r="E1485"/>
      <c r="F1485"/>
      <c r="G1485"/>
      <c r="H1485"/>
      <c r="I1485" s="740"/>
      <c r="V1485"/>
      <c r="W1485"/>
      <c r="Y1485"/>
      <c r="Z1485"/>
      <c r="AA1485"/>
      <c r="AD1485"/>
      <c r="AE1485"/>
      <c r="AF1485"/>
      <c r="AH1485"/>
      <c r="AI1485"/>
      <c r="AJ1485"/>
      <c r="AM1485"/>
    </row>
    <row r="1486" spans="3:39">
      <c r="C1486"/>
      <c r="D1486"/>
      <c r="E1486"/>
      <c r="F1486"/>
      <c r="G1486"/>
      <c r="H1486"/>
      <c r="I1486" s="740"/>
      <c r="V1486"/>
      <c r="W1486"/>
      <c r="Y1486"/>
      <c r="Z1486"/>
      <c r="AA1486"/>
      <c r="AD1486"/>
      <c r="AE1486"/>
      <c r="AF1486"/>
      <c r="AH1486"/>
      <c r="AI1486"/>
      <c r="AJ1486"/>
      <c r="AM1486"/>
    </row>
    <row r="1487" spans="3:39">
      <c r="C1487"/>
      <c r="D1487"/>
      <c r="E1487"/>
      <c r="F1487"/>
      <c r="G1487"/>
      <c r="H1487"/>
      <c r="I1487" s="740"/>
      <c r="V1487"/>
      <c r="W1487"/>
      <c r="Y1487"/>
      <c r="Z1487"/>
      <c r="AA1487"/>
      <c r="AD1487"/>
      <c r="AE1487"/>
      <c r="AF1487"/>
      <c r="AH1487"/>
      <c r="AI1487"/>
      <c r="AJ1487"/>
      <c r="AM1487"/>
    </row>
    <row r="1488" spans="3:39">
      <c r="C1488"/>
      <c r="D1488"/>
      <c r="E1488"/>
      <c r="F1488"/>
      <c r="G1488"/>
      <c r="H1488"/>
      <c r="I1488" s="740"/>
      <c r="V1488"/>
      <c r="W1488"/>
      <c r="Y1488"/>
      <c r="Z1488"/>
      <c r="AA1488"/>
      <c r="AD1488"/>
      <c r="AE1488"/>
      <c r="AF1488"/>
      <c r="AH1488"/>
      <c r="AI1488"/>
      <c r="AJ1488"/>
      <c r="AM1488"/>
    </row>
    <row r="1489" spans="3:39">
      <c r="C1489"/>
      <c r="D1489"/>
      <c r="E1489"/>
      <c r="F1489"/>
      <c r="G1489"/>
      <c r="H1489"/>
      <c r="I1489" s="740"/>
      <c r="V1489"/>
      <c r="W1489"/>
      <c r="Y1489"/>
      <c r="Z1489"/>
      <c r="AA1489"/>
      <c r="AD1489"/>
      <c r="AE1489"/>
      <c r="AF1489"/>
      <c r="AH1489"/>
      <c r="AI1489"/>
      <c r="AJ1489"/>
      <c r="AM1489"/>
    </row>
    <row r="1490" spans="3:39">
      <c r="C1490"/>
      <c r="D1490"/>
      <c r="E1490"/>
      <c r="F1490"/>
      <c r="G1490"/>
      <c r="H1490"/>
      <c r="I1490" s="740"/>
      <c r="V1490"/>
      <c r="W1490"/>
      <c r="Y1490"/>
      <c r="Z1490"/>
      <c r="AA1490"/>
      <c r="AD1490"/>
      <c r="AE1490"/>
      <c r="AF1490"/>
      <c r="AH1490"/>
      <c r="AI1490"/>
      <c r="AJ1490"/>
      <c r="AM1490"/>
    </row>
    <row r="1491" spans="3:39">
      <c r="C1491"/>
      <c r="D1491"/>
      <c r="E1491"/>
      <c r="F1491"/>
      <c r="G1491"/>
      <c r="H1491"/>
      <c r="I1491" s="740"/>
      <c r="V1491"/>
      <c r="W1491"/>
      <c r="Y1491"/>
      <c r="Z1491"/>
      <c r="AA1491"/>
      <c r="AD1491"/>
      <c r="AE1491"/>
      <c r="AF1491"/>
      <c r="AH1491"/>
      <c r="AI1491"/>
      <c r="AJ1491"/>
      <c r="AM1491"/>
    </row>
    <row r="1492" spans="3:39">
      <c r="C1492"/>
      <c r="D1492"/>
      <c r="E1492"/>
      <c r="F1492"/>
      <c r="G1492"/>
      <c r="H1492"/>
      <c r="I1492" s="740"/>
      <c r="V1492"/>
      <c r="W1492"/>
      <c r="Y1492"/>
      <c r="Z1492"/>
      <c r="AA1492"/>
      <c r="AD1492"/>
      <c r="AE1492"/>
      <c r="AF1492"/>
      <c r="AH1492"/>
      <c r="AI1492"/>
      <c r="AJ1492"/>
      <c r="AM1492"/>
    </row>
    <row r="1493" spans="3:39">
      <c r="C1493"/>
      <c r="D1493"/>
      <c r="E1493"/>
      <c r="F1493"/>
      <c r="G1493"/>
      <c r="H1493"/>
      <c r="I1493" s="740"/>
      <c r="V1493"/>
      <c r="W1493"/>
      <c r="Y1493"/>
      <c r="Z1493"/>
      <c r="AA1493"/>
      <c r="AD1493"/>
      <c r="AE1493"/>
      <c r="AF1493"/>
      <c r="AH1493"/>
      <c r="AI1493"/>
      <c r="AJ1493"/>
      <c r="AM1493"/>
    </row>
    <row r="1494" spans="3:39">
      <c r="C1494"/>
      <c r="D1494"/>
      <c r="E1494"/>
      <c r="F1494"/>
      <c r="G1494"/>
      <c r="H1494"/>
      <c r="I1494" s="740"/>
      <c r="V1494"/>
      <c r="W1494"/>
      <c r="Y1494"/>
      <c r="Z1494"/>
      <c r="AA1494"/>
      <c r="AD1494"/>
      <c r="AE1494"/>
      <c r="AF1494"/>
      <c r="AH1494"/>
      <c r="AI1494"/>
      <c r="AJ1494"/>
      <c r="AM1494"/>
    </row>
    <row r="1495" spans="3:39">
      <c r="C1495"/>
      <c r="D1495"/>
      <c r="E1495"/>
      <c r="F1495"/>
      <c r="G1495"/>
      <c r="H1495"/>
      <c r="I1495" s="740"/>
      <c r="V1495"/>
      <c r="W1495"/>
      <c r="Y1495"/>
      <c r="Z1495"/>
      <c r="AA1495"/>
      <c r="AD1495"/>
      <c r="AE1495"/>
      <c r="AF1495"/>
      <c r="AH1495"/>
      <c r="AI1495"/>
      <c r="AJ1495"/>
      <c r="AM1495"/>
    </row>
    <row r="1496" spans="3:39">
      <c r="C1496"/>
      <c r="D1496"/>
      <c r="E1496"/>
      <c r="F1496"/>
      <c r="G1496"/>
      <c r="H1496"/>
      <c r="I1496" s="740"/>
      <c r="V1496"/>
      <c r="W1496"/>
      <c r="Y1496"/>
      <c r="Z1496"/>
      <c r="AA1496"/>
      <c r="AD1496"/>
      <c r="AE1496"/>
      <c r="AF1496"/>
      <c r="AH1496"/>
      <c r="AI1496"/>
      <c r="AJ1496"/>
      <c r="AM1496"/>
    </row>
    <row r="1497" spans="3:39">
      <c r="C1497"/>
      <c r="D1497"/>
      <c r="E1497"/>
      <c r="F1497"/>
      <c r="G1497"/>
      <c r="H1497"/>
      <c r="I1497" s="740"/>
      <c r="V1497"/>
      <c r="W1497"/>
      <c r="Y1497"/>
      <c r="Z1497"/>
      <c r="AA1497"/>
      <c r="AD1497"/>
      <c r="AE1497"/>
      <c r="AF1497"/>
      <c r="AH1497"/>
      <c r="AI1497"/>
      <c r="AJ1497"/>
      <c r="AM1497"/>
    </row>
    <row r="1498" spans="3:39">
      <c r="C1498"/>
      <c r="D1498"/>
      <c r="E1498"/>
      <c r="F1498"/>
      <c r="G1498"/>
      <c r="H1498"/>
      <c r="I1498" s="740"/>
      <c r="V1498"/>
      <c r="W1498"/>
      <c r="Y1498"/>
      <c r="Z1498"/>
      <c r="AA1498"/>
      <c r="AD1498"/>
      <c r="AE1498"/>
      <c r="AF1498"/>
      <c r="AH1498"/>
      <c r="AI1498"/>
      <c r="AJ1498"/>
      <c r="AM1498"/>
    </row>
    <row r="1499" spans="3:39">
      <c r="C1499"/>
      <c r="D1499"/>
      <c r="E1499"/>
      <c r="F1499"/>
      <c r="G1499"/>
      <c r="H1499"/>
      <c r="I1499" s="740"/>
      <c r="V1499"/>
      <c r="W1499"/>
      <c r="Y1499"/>
      <c r="Z1499"/>
      <c r="AA1499"/>
      <c r="AD1499"/>
      <c r="AE1499"/>
      <c r="AF1499"/>
      <c r="AH1499"/>
      <c r="AI1499"/>
      <c r="AJ1499"/>
      <c r="AM1499"/>
    </row>
    <row r="1500" spans="3:39">
      <c r="C1500"/>
      <c r="D1500"/>
      <c r="E1500"/>
      <c r="F1500"/>
      <c r="G1500"/>
      <c r="H1500"/>
      <c r="I1500" s="740"/>
      <c r="V1500"/>
      <c r="W1500"/>
      <c r="Y1500"/>
      <c r="Z1500"/>
      <c r="AA1500"/>
      <c r="AD1500"/>
      <c r="AE1500"/>
      <c r="AF1500"/>
      <c r="AH1500"/>
      <c r="AI1500"/>
      <c r="AJ1500"/>
      <c r="AM1500"/>
    </row>
    <row r="1501" spans="3:39">
      <c r="C1501"/>
      <c r="D1501"/>
      <c r="E1501"/>
      <c r="F1501"/>
      <c r="G1501"/>
      <c r="H1501"/>
      <c r="I1501" s="740"/>
      <c r="V1501"/>
      <c r="W1501"/>
      <c r="Y1501"/>
      <c r="Z1501"/>
      <c r="AA1501"/>
      <c r="AD1501"/>
      <c r="AE1501"/>
      <c r="AF1501"/>
      <c r="AH1501"/>
      <c r="AI1501"/>
      <c r="AJ1501"/>
      <c r="AM1501"/>
    </row>
    <row r="1502" spans="3:39">
      <c r="C1502"/>
      <c r="D1502"/>
      <c r="E1502"/>
      <c r="F1502"/>
      <c r="G1502"/>
      <c r="H1502"/>
      <c r="I1502" s="740"/>
      <c r="V1502"/>
      <c r="W1502"/>
      <c r="Y1502"/>
      <c r="Z1502"/>
      <c r="AA1502"/>
      <c r="AD1502"/>
      <c r="AE1502"/>
      <c r="AF1502"/>
      <c r="AH1502"/>
      <c r="AI1502"/>
      <c r="AJ1502"/>
      <c r="AM1502"/>
    </row>
    <row r="1503" spans="3:39">
      <c r="C1503"/>
      <c r="D1503"/>
      <c r="E1503"/>
      <c r="F1503"/>
      <c r="G1503"/>
      <c r="H1503"/>
      <c r="I1503" s="740"/>
      <c r="V1503"/>
      <c r="W1503"/>
      <c r="Y1503"/>
      <c r="Z1503"/>
      <c r="AA1503"/>
      <c r="AD1503"/>
      <c r="AE1503"/>
      <c r="AF1503"/>
      <c r="AH1503"/>
      <c r="AI1503"/>
      <c r="AJ1503"/>
      <c r="AM1503"/>
    </row>
    <row r="1504" spans="3:39">
      <c r="C1504"/>
      <c r="D1504"/>
      <c r="E1504"/>
      <c r="F1504"/>
      <c r="G1504"/>
      <c r="H1504"/>
      <c r="I1504" s="740"/>
      <c r="V1504"/>
      <c r="W1504"/>
      <c r="Y1504"/>
      <c r="Z1504"/>
      <c r="AA1504"/>
      <c r="AD1504"/>
      <c r="AE1504"/>
      <c r="AF1504"/>
      <c r="AH1504"/>
      <c r="AI1504"/>
      <c r="AJ1504"/>
      <c r="AM1504"/>
    </row>
    <row r="1505" spans="3:39">
      <c r="C1505"/>
      <c r="D1505"/>
      <c r="E1505"/>
      <c r="F1505"/>
      <c r="G1505"/>
      <c r="H1505"/>
      <c r="I1505" s="740"/>
      <c r="V1505"/>
      <c r="W1505"/>
      <c r="Y1505"/>
      <c r="Z1505"/>
      <c r="AA1505"/>
      <c r="AD1505"/>
      <c r="AE1505"/>
      <c r="AF1505"/>
      <c r="AH1505"/>
      <c r="AI1505"/>
      <c r="AJ1505"/>
      <c r="AM1505"/>
    </row>
    <row r="1506" spans="3:39">
      <c r="C1506"/>
      <c r="D1506"/>
      <c r="E1506"/>
      <c r="F1506"/>
      <c r="G1506"/>
      <c r="H1506"/>
      <c r="I1506" s="740"/>
      <c r="V1506"/>
      <c r="W1506"/>
      <c r="Y1506"/>
      <c r="Z1506"/>
      <c r="AA1506"/>
      <c r="AD1506"/>
      <c r="AE1506"/>
      <c r="AF1506"/>
      <c r="AH1506"/>
      <c r="AI1506"/>
      <c r="AJ1506"/>
      <c r="AM1506"/>
    </row>
    <row r="1507" spans="3:39">
      <c r="C1507"/>
      <c r="D1507"/>
      <c r="E1507"/>
      <c r="F1507"/>
      <c r="G1507"/>
      <c r="H1507"/>
      <c r="I1507" s="740"/>
      <c r="V1507"/>
      <c r="W1507"/>
      <c r="Y1507"/>
      <c r="Z1507"/>
      <c r="AA1507"/>
      <c r="AD1507"/>
      <c r="AE1507"/>
      <c r="AF1507"/>
      <c r="AH1507"/>
      <c r="AI1507"/>
      <c r="AJ1507"/>
      <c r="AM1507"/>
    </row>
    <row r="1508" spans="3:39">
      <c r="C1508"/>
      <c r="D1508"/>
      <c r="E1508"/>
      <c r="F1508"/>
      <c r="G1508"/>
      <c r="H1508"/>
      <c r="I1508" s="740"/>
      <c r="V1508"/>
      <c r="W1508"/>
      <c r="Y1508"/>
      <c r="Z1508"/>
      <c r="AA1508"/>
      <c r="AD1508"/>
      <c r="AE1508"/>
      <c r="AF1508"/>
      <c r="AH1508"/>
      <c r="AI1508"/>
      <c r="AJ1508"/>
      <c r="AM1508"/>
    </row>
    <row r="1509" spans="3:39">
      <c r="C1509"/>
      <c r="D1509"/>
      <c r="E1509"/>
      <c r="F1509"/>
      <c r="G1509"/>
      <c r="H1509"/>
      <c r="I1509" s="740"/>
      <c r="V1509"/>
      <c r="W1509"/>
      <c r="Y1509"/>
      <c r="Z1509"/>
      <c r="AA1509"/>
      <c r="AD1509"/>
      <c r="AE1509"/>
      <c r="AF1509"/>
      <c r="AH1509"/>
      <c r="AI1509"/>
      <c r="AJ1509"/>
      <c r="AM1509"/>
    </row>
    <row r="1510" spans="3:39">
      <c r="C1510"/>
      <c r="D1510"/>
      <c r="E1510"/>
      <c r="F1510"/>
      <c r="G1510"/>
      <c r="H1510"/>
      <c r="I1510" s="740"/>
      <c r="V1510"/>
      <c r="W1510"/>
      <c r="Y1510"/>
      <c r="Z1510"/>
      <c r="AA1510"/>
      <c r="AD1510"/>
      <c r="AE1510"/>
      <c r="AF1510"/>
      <c r="AH1510"/>
      <c r="AI1510"/>
      <c r="AJ1510"/>
      <c r="AM1510"/>
    </row>
    <row r="1511" spans="3:39">
      <c r="C1511"/>
      <c r="D1511"/>
      <c r="E1511"/>
      <c r="F1511"/>
      <c r="G1511"/>
      <c r="H1511"/>
      <c r="I1511" s="740"/>
      <c r="V1511"/>
      <c r="W1511"/>
      <c r="Y1511"/>
      <c r="Z1511"/>
      <c r="AA1511"/>
      <c r="AD1511"/>
      <c r="AE1511"/>
      <c r="AF1511"/>
      <c r="AH1511"/>
      <c r="AI1511"/>
      <c r="AJ1511"/>
      <c r="AM1511"/>
    </row>
    <row r="1512" spans="3:39">
      <c r="C1512"/>
      <c r="D1512"/>
      <c r="E1512"/>
      <c r="F1512"/>
      <c r="G1512"/>
      <c r="H1512"/>
      <c r="I1512" s="740"/>
      <c r="V1512"/>
      <c r="W1512"/>
      <c r="Y1512"/>
      <c r="Z1512"/>
      <c r="AA1512"/>
      <c r="AD1512"/>
      <c r="AE1512"/>
      <c r="AF1512"/>
      <c r="AH1512"/>
      <c r="AI1512"/>
      <c r="AJ1512"/>
      <c r="AM1512"/>
    </row>
    <row r="1513" spans="3:39">
      <c r="C1513"/>
      <c r="D1513"/>
      <c r="E1513"/>
      <c r="F1513"/>
      <c r="G1513"/>
      <c r="H1513"/>
      <c r="I1513" s="740"/>
      <c r="V1513"/>
      <c r="W1513"/>
      <c r="Y1513"/>
      <c r="Z1513"/>
      <c r="AA1513"/>
      <c r="AD1513"/>
      <c r="AE1513"/>
      <c r="AF1513"/>
      <c r="AH1513"/>
      <c r="AI1513"/>
      <c r="AJ1513"/>
      <c r="AM1513"/>
    </row>
    <row r="1514" spans="3:39">
      <c r="C1514"/>
      <c r="D1514"/>
      <c r="E1514"/>
      <c r="F1514"/>
      <c r="G1514"/>
      <c r="H1514"/>
      <c r="I1514" s="740"/>
      <c r="V1514"/>
      <c r="W1514"/>
      <c r="Y1514"/>
      <c r="Z1514"/>
      <c r="AA1514"/>
      <c r="AD1514"/>
      <c r="AE1514"/>
      <c r="AF1514"/>
      <c r="AH1514"/>
      <c r="AI1514"/>
      <c r="AJ1514"/>
      <c r="AM1514"/>
    </row>
    <row r="1515" spans="3:39">
      <c r="C1515"/>
      <c r="D1515"/>
      <c r="E1515"/>
      <c r="F1515"/>
      <c r="G1515"/>
      <c r="H1515"/>
      <c r="I1515" s="740"/>
      <c r="V1515"/>
      <c r="W1515"/>
      <c r="Y1515"/>
      <c r="Z1515"/>
      <c r="AA1515"/>
      <c r="AD1515"/>
      <c r="AE1515"/>
      <c r="AF1515"/>
      <c r="AH1515"/>
      <c r="AI1515"/>
      <c r="AJ1515"/>
      <c r="AM1515"/>
    </row>
    <row r="1516" spans="3:39">
      <c r="C1516"/>
      <c r="D1516"/>
      <c r="E1516"/>
      <c r="F1516"/>
      <c r="G1516"/>
      <c r="H1516"/>
      <c r="I1516" s="740"/>
      <c r="V1516"/>
      <c r="W1516"/>
      <c r="Y1516"/>
      <c r="Z1516"/>
      <c r="AA1516"/>
      <c r="AD1516"/>
      <c r="AE1516"/>
      <c r="AF1516"/>
      <c r="AH1516"/>
      <c r="AI1516"/>
      <c r="AJ1516"/>
      <c r="AM1516"/>
    </row>
    <row r="1517" spans="3:39">
      <c r="C1517"/>
      <c r="D1517"/>
      <c r="E1517"/>
      <c r="F1517"/>
      <c r="G1517"/>
      <c r="H1517"/>
      <c r="I1517" s="740"/>
      <c r="V1517"/>
      <c r="W1517"/>
      <c r="Y1517"/>
      <c r="Z1517"/>
      <c r="AA1517"/>
      <c r="AD1517"/>
      <c r="AE1517"/>
      <c r="AF1517"/>
      <c r="AH1517"/>
      <c r="AI1517"/>
      <c r="AJ1517"/>
      <c r="AM1517"/>
    </row>
    <row r="1518" spans="3:39">
      <c r="C1518"/>
      <c r="D1518"/>
      <c r="E1518"/>
      <c r="F1518"/>
      <c r="G1518"/>
      <c r="H1518"/>
      <c r="I1518" s="740"/>
      <c r="V1518"/>
      <c r="W1518"/>
      <c r="Y1518"/>
      <c r="Z1518"/>
      <c r="AA1518"/>
      <c r="AD1518"/>
      <c r="AE1518"/>
      <c r="AF1518"/>
      <c r="AH1518"/>
      <c r="AI1518"/>
      <c r="AJ1518"/>
      <c r="AM1518"/>
    </row>
    <row r="1519" spans="3:39">
      <c r="C1519"/>
      <c r="D1519"/>
      <c r="E1519"/>
      <c r="F1519"/>
      <c r="G1519"/>
      <c r="H1519"/>
      <c r="I1519" s="740"/>
      <c r="V1519"/>
      <c r="W1519"/>
      <c r="Y1519"/>
      <c r="Z1519"/>
      <c r="AA1519"/>
      <c r="AD1519"/>
      <c r="AE1519"/>
      <c r="AF1519"/>
      <c r="AH1519"/>
      <c r="AI1519"/>
      <c r="AJ1519"/>
      <c r="AM1519"/>
    </row>
    <row r="1520" spans="3:39">
      <c r="C1520"/>
      <c r="D1520"/>
      <c r="E1520"/>
      <c r="F1520"/>
      <c r="G1520"/>
      <c r="H1520"/>
      <c r="I1520" s="740"/>
      <c r="V1520"/>
      <c r="W1520"/>
      <c r="Y1520"/>
      <c r="Z1520"/>
      <c r="AA1520"/>
      <c r="AD1520"/>
      <c r="AE1520"/>
      <c r="AF1520"/>
      <c r="AH1520"/>
      <c r="AI1520"/>
      <c r="AJ1520"/>
      <c r="AM1520"/>
    </row>
    <row r="1521" spans="3:39">
      <c r="C1521"/>
      <c r="D1521"/>
      <c r="E1521"/>
      <c r="F1521"/>
      <c r="G1521"/>
      <c r="H1521"/>
      <c r="I1521" s="740"/>
      <c r="V1521"/>
      <c r="W1521"/>
      <c r="Y1521"/>
      <c r="Z1521"/>
      <c r="AA1521"/>
      <c r="AD1521"/>
      <c r="AE1521"/>
      <c r="AF1521"/>
      <c r="AH1521"/>
      <c r="AI1521"/>
      <c r="AJ1521"/>
      <c r="AM1521"/>
    </row>
    <row r="1522" spans="3:39">
      <c r="C1522"/>
      <c r="D1522"/>
      <c r="E1522"/>
      <c r="F1522"/>
      <c r="G1522"/>
      <c r="H1522"/>
      <c r="I1522" s="740"/>
      <c r="V1522"/>
      <c r="W1522"/>
      <c r="Y1522"/>
      <c r="Z1522"/>
      <c r="AA1522"/>
      <c r="AD1522"/>
      <c r="AE1522"/>
      <c r="AF1522"/>
      <c r="AH1522"/>
      <c r="AI1522"/>
      <c r="AJ1522"/>
      <c r="AM1522"/>
    </row>
    <row r="1523" spans="3:39">
      <c r="C1523"/>
      <c r="D1523"/>
      <c r="E1523"/>
      <c r="F1523"/>
      <c r="G1523"/>
      <c r="H1523"/>
      <c r="I1523" s="740"/>
      <c r="V1523"/>
      <c r="W1523"/>
      <c r="Y1523"/>
      <c r="Z1523"/>
      <c r="AA1523"/>
      <c r="AD1523"/>
      <c r="AE1523"/>
      <c r="AF1523"/>
      <c r="AH1523"/>
      <c r="AI1523"/>
      <c r="AJ1523"/>
      <c r="AM1523"/>
    </row>
    <row r="1524" spans="3:39">
      <c r="C1524"/>
      <c r="D1524"/>
      <c r="E1524"/>
      <c r="F1524"/>
      <c r="G1524"/>
      <c r="H1524"/>
      <c r="I1524" s="740"/>
      <c r="V1524"/>
      <c r="W1524"/>
      <c r="Y1524"/>
      <c r="Z1524"/>
      <c r="AA1524"/>
      <c r="AD1524"/>
      <c r="AE1524"/>
      <c r="AF1524"/>
      <c r="AH1524"/>
      <c r="AI1524"/>
      <c r="AJ1524"/>
      <c r="AM1524"/>
    </row>
    <row r="1525" spans="3:39">
      <c r="C1525"/>
      <c r="D1525"/>
      <c r="E1525"/>
      <c r="F1525"/>
      <c r="G1525"/>
      <c r="H1525"/>
      <c r="I1525" s="740"/>
      <c r="V1525"/>
      <c r="W1525"/>
      <c r="Y1525"/>
      <c r="Z1525"/>
      <c r="AA1525"/>
      <c r="AD1525"/>
      <c r="AE1525"/>
      <c r="AF1525"/>
      <c r="AH1525"/>
      <c r="AI1525"/>
      <c r="AJ1525"/>
      <c r="AM1525"/>
    </row>
    <row r="1526" spans="3:39">
      <c r="C1526"/>
      <c r="D1526"/>
      <c r="E1526"/>
      <c r="F1526"/>
      <c r="G1526"/>
      <c r="H1526"/>
      <c r="I1526" s="740"/>
      <c r="V1526"/>
      <c r="W1526"/>
      <c r="Y1526"/>
      <c r="Z1526"/>
      <c r="AA1526"/>
      <c r="AD1526"/>
      <c r="AE1526"/>
      <c r="AF1526"/>
      <c r="AH1526"/>
      <c r="AI1526"/>
      <c r="AJ1526"/>
      <c r="AM1526"/>
    </row>
    <row r="1527" spans="3:39">
      <c r="C1527"/>
      <c r="D1527"/>
      <c r="E1527"/>
      <c r="F1527"/>
      <c r="G1527"/>
      <c r="H1527"/>
      <c r="I1527" s="740"/>
      <c r="V1527"/>
      <c r="W1527"/>
      <c r="Y1527"/>
      <c r="Z1527"/>
      <c r="AA1527"/>
      <c r="AD1527"/>
      <c r="AE1527"/>
      <c r="AF1527"/>
      <c r="AH1527"/>
      <c r="AI1527"/>
      <c r="AJ1527"/>
      <c r="AM1527"/>
    </row>
    <row r="1528" spans="3:39">
      <c r="C1528"/>
      <c r="D1528"/>
      <c r="E1528"/>
      <c r="F1528"/>
      <c r="G1528"/>
      <c r="H1528"/>
      <c r="I1528" s="740"/>
      <c r="V1528"/>
      <c r="W1528"/>
      <c r="Y1528"/>
      <c r="Z1528"/>
      <c r="AA1528"/>
      <c r="AD1528"/>
      <c r="AE1528"/>
      <c r="AF1528"/>
      <c r="AH1528"/>
      <c r="AI1528"/>
      <c r="AJ1528"/>
      <c r="AM1528"/>
    </row>
    <row r="1529" spans="3:39">
      <c r="C1529"/>
      <c r="D1529"/>
      <c r="E1529"/>
      <c r="F1529"/>
      <c r="G1529"/>
      <c r="H1529"/>
      <c r="I1529" s="740"/>
      <c r="V1529"/>
      <c r="W1529"/>
      <c r="Y1529"/>
      <c r="Z1529"/>
      <c r="AA1529"/>
      <c r="AD1529"/>
      <c r="AE1529"/>
      <c r="AF1529"/>
      <c r="AH1529"/>
      <c r="AI1529"/>
      <c r="AJ1529"/>
      <c r="AM1529"/>
    </row>
    <row r="1530" spans="3:39">
      <c r="C1530"/>
      <c r="D1530"/>
      <c r="E1530"/>
      <c r="F1530"/>
      <c r="G1530"/>
      <c r="H1530"/>
      <c r="I1530" s="740"/>
      <c r="V1530"/>
      <c r="W1530"/>
      <c r="Y1530"/>
      <c r="Z1530"/>
      <c r="AA1530"/>
      <c r="AD1530"/>
      <c r="AE1530"/>
      <c r="AF1530"/>
      <c r="AH1530"/>
      <c r="AI1530"/>
      <c r="AJ1530"/>
      <c r="AM1530"/>
    </row>
    <row r="1531" spans="3:39">
      <c r="C1531"/>
      <c r="D1531"/>
      <c r="E1531"/>
      <c r="F1531"/>
      <c r="G1531"/>
      <c r="H1531"/>
      <c r="I1531" s="740"/>
      <c r="V1531"/>
      <c r="W1531"/>
      <c r="Y1531"/>
      <c r="Z1531"/>
      <c r="AA1531"/>
      <c r="AD1531"/>
      <c r="AE1531"/>
      <c r="AF1531"/>
      <c r="AH1531"/>
      <c r="AI1531"/>
      <c r="AJ1531"/>
      <c r="AM1531"/>
    </row>
    <row r="1532" spans="3:39">
      <c r="C1532"/>
      <c r="D1532"/>
      <c r="E1532"/>
      <c r="F1532"/>
      <c r="G1532"/>
      <c r="H1532"/>
      <c r="I1532" s="740"/>
      <c r="V1532"/>
      <c r="W1532"/>
      <c r="Y1532"/>
      <c r="Z1532"/>
      <c r="AA1532"/>
      <c r="AD1532"/>
      <c r="AE1532"/>
      <c r="AF1532"/>
      <c r="AH1532"/>
      <c r="AI1532"/>
      <c r="AJ1532"/>
      <c r="AM1532"/>
    </row>
    <row r="1533" spans="3:39">
      <c r="C1533"/>
      <c r="D1533"/>
      <c r="E1533"/>
      <c r="F1533"/>
      <c r="G1533"/>
      <c r="H1533"/>
      <c r="I1533" s="740"/>
      <c r="V1533"/>
      <c r="W1533"/>
      <c r="Y1533"/>
      <c r="Z1533"/>
      <c r="AA1533"/>
      <c r="AD1533"/>
      <c r="AE1533"/>
      <c r="AF1533"/>
      <c r="AH1533"/>
      <c r="AI1533"/>
      <c r="AJ1533"/>
      <c r="AM1533"/>
    </row>
    <row r="1534" spans="3:39">
      <c r="C1534"/>
      <c r="D1534"/>
      <c r="E1534"/>
      <c r="F1534"/>
      <c r="G1534"/>
      <c r="H1534"/>
      <c r="I1534" s="740"/>
      <c r="V1534"/>
      <c r="W1534"/>
      <c r="Y1534"/>
      <c r="Z1534"/>
      <c r="AA1534"/>
      <c r="AD1534"/>
      <c r="AE1534"/>
      <c r="AF1534"/>
      <c r="AH1534"/>
      <c r="AI1534"/>
      <c r="AJ1534"/>
      <c r="AM1534"/>
    </row>
    <row r="1535" spans="3:39">
      <c r="C1535"/>
      <c r="D1535"/>
      <c r="E1535"/>
      <c r="F1535"/>
      <c r="G1535"/>
      <c r="H1535"/>
      <c r="I1535" s="740"/>
      <c r="V1535"/>
      <c r="W1535"/>
      <c r="Y1535"/>
      <c r="Z1535"/>
      <c r="AA1535"/>
      <c r="AD1535"/>
      <c r="AE1535"/>
      <c r="AF1535"/>
      <c r="AH1535"/>
      <c r="AI1535"/>
      <c r="AJ1535"/>
      <c r="AM1535"/>
    </row>
    <row r="1536" spans="3:39">
      <c r="C1536"/>
      <c r="D1536"/>
      <c r="E1536"/>
      <c r="F1536"/>
      <c r="G1536"/>
      <c r="H1536"/>
      <c r="I1536" s="740"/>
      <c r="V1536"/>
      <c r="W1536"/>
      <c r="Y1536"/>
      <c r="Z1536"/>
      <c r="AA1536"/>
      <c r="AD1536"/>
      <c r="AE1536"/>
      <c r="AF1536"/>
      <c r="AH1536"/>
      <c r="AI1536"/>
      <c r="AJ1536"/>
      <c r="AM1536"/>
    </row>
    <row r="1537" spans="3:39">
      <c r="C1537"/>
      <c r="D1537"/>
      <c r="E1537"/>
      <c r="F1537"/>
      <c r="G1537"/>
      <c r="H1537"/>
      <c r="I1537" s="740"/>
      <c r="V1537"/>
      <c r="W1537"/>
      <c r="Y1537"/>
      <c r="Z1537"/>
      <c r="AA1537"/>
      <c r="AD1537"/>
      <c r="AE1537"/>
      <c r="AF1537"/>
      <c r="AH1537"/>
      <c r="AI1537"/>
      <c r="AJ1537"/>
      <c r="AM1537"/>
    </row>
    <row r="1538" spans="3:39">
      <c r="C1538"/>
      <c r="D1538"/>
      <c r="E1538"/>
      <c r="F1538"/>
      <c r="G1538"/>
      <c r="H1538"/>
      <c r="I1538" s="740"/>
      <c r="V1538"/>
      <c r="W1538"/>
      <c r="Y1538"/>
      <c r="Z1538"/>
      <c r="AA1538"/>
      <c r="AD1538"/>
      <c r="AE1538"/>
      <c r="AF1538"/>
      <c r="AH1538"/>
      <c r="AI1538"/>
      <c r="AJ1538"/>
      <c r="AM1538"/>
    </row>
    <row r="1539" spans="3:39">
      <c r="C1539"/>
      <c r="D1539"/>
      <c r="E1539"/>
      <c r="F1539"/>
      <c r="G1539"/>
      <c r="H1539"/>
      <c r="I1539" s="740"/>
      <c r="V1539"/>
      <c r="W1539"/>
      <c r="Y1539"/>
      <c r="Z1539"/>
      <c r="AA1539"/>
      <c r="AD1539"/>
      <c r="AE1539"/>
      <c r="AF1539"/>
      <c r="AH1539"/>
      <c r="AI1539"/>
      <c r="AJ1539"/>
      <c r="AM1539"/>
    </row>
    <row r="1540" spans="3:39">
      <c r="C1540"/>
      <c r="D1540"/>
      <c r="E1540"/>
      <c r="F1540"/>
      <c r="G1540"/>
      <c r="H1540"/>
      <c r="I1540" s="740"/>
      <c r="V1540"/>
      <c r="W1540"/>
      <c r="Y1540"/>
      <c r="Z1540"/>
      <c r="AA1540"/>
      <c r="AD1540"/>
      <c r="AE1540"/>
      <c r="AF1540"/>
      <c r="AH1540"/>
      <c r="AI1540"/>
      <c r="AJ1540"/>
      <c r="AM1540"/>
    </row>
    <row r="1541" spans="3:39">
      <c r="C1541"/>
      <c r="D1541"/>
      <c r="E1541"/>
      <c r="F1541"/>
      <c r="G1541"/>
      <c r="H1541"/>
      <c r="I1541" s="740"/>
      <c r="V1541"/>
      <c r="W1541"/>
      <c r="Y1541"/>
      <c r="Z1541"/>
      <c r="AA1541"/>
      <c r="AD1541"/>
      <c r="AE1541"/>
      <c r="AF1541"/>
      <c r="AH1541"/>
      <c r="AI1541"/>
      <c r="AJ1541"/>
      <c r="AM1541"/>
    </row>
    <row r="1542" spans="3:39">
      <c r="C1542"/>
      <c r="D1542"/>
      <c r="E1542"/>
      <c r="F1542"/>
      <c r="G1542"/>
      <c r="H1542"/>
      <c r="I1542" s="740"/>
      <c r="V1542"/>
      <c r="W1542"/>
      <c r="Y1542"/>
      <c r="Z1542"/>
      <c r="AA1542"/>
      <c r="AD1542"/>
      <c r="AE1542"/>
      <c r="AF1542"/>
      <c r="AH1542"/>
      <c r="AI1542"/>
      <c r="AJ1542"/>
      <c r="AM1542"/>
    </row>
    <row r="1543" spans="3:39">
      <c r="C1543"/>
      <c r="D1543"/>
      <c r="E1543"/>
      <c r="F1543"/>
      <c r="G1543"/>
      <c r="H1543"/>
      <c r="I1543" s="740"/>
      <c r="V1543"/>
      <c r="W1543"/>
      <c r="Y1543"/>
      <c r="Z1543"/>
      <c r="AA1543"/>
      <c r="AD1543"/>
      <c r="AE1543"/>
      <c r="AF1543"/>
      <c r="AH1543"/>
      <c r="AI1543"/>
      <c r="AJ1543"/>
      <c r="AM1543"/>
    </row>
    <row r="1544" spans="3:39">
      <c r="C1544"/>
      <c r="D1544"/>
      <c r="E1544"/>
      <c r="F1544"/>
      <c r="G1544"/>
      <c r="H1544"/>
      <c r="I1544" s="740"/>
      <c r="V1544"/>
      <c r="W1544"/>
      <c r="Y1544"/>
      <c r="Z1544"/>
      <c r="AA1544"/>
      <c r="AD1544"/>
      <c r="AE1544"/>
      <c r="AF1544"/>
      <c r="AH1544"/>
      <c r="AI1544"/>
      <c r="AJ1544"/>
      <c r="AM1544"/>
    </row>
    <row r="1545" spans="3:39">
      <c r="C1545"/>
      <c r="D1545"/>
      <c r="E1545"/>
      <c r="F1545"/>
      <c r="G1545"/>
      <c r="H1545"/>
      <c r="I1545" s="740"/>
      <c r="V1545"/>
      <c r="W1545"/>
      <c r="Y1545"/>
      <c r="Z1545"/>
      <c r="AA1545"/>
      <c r="AD1545"/>
      <c r="AE1545"/>
      <c r="AF1545"/>
      <c r="AH1545"/>
      <c r="AI1545"/>
      <c r="AJ1545"/>
      <c r="AM1545"/>
    </row>
    <row r="1546" spans="3:39">
      <c r="C1546"/>
      <c r="D1546"/>
      <c r="E1546"/>
      <c r="F1546"/>
      <c r="G1546"/>
      <c r="H1546"/>
      <c r="I1546" s="740"/>
      <c r="V1546"/>
      <c r="W1546"/>
      <c r="Y1546"/>
      <c r="Z1546"/>
      <c r="AA1546"/>
      <c r="AD1546"/>
      <c r="AE1546"/>
      <c r="AF1546"/>
      <c r="AH1546"/>
      <c r="AI1546"/>
      <c r="AJ1546"/>
      <c r="AM1546"/>
    </row>
    <row r="1547" spans="3:39">
      <c r="C1547"/>
      <c r="D1547"/>
      <c r="E1547"/>
      <c r="F1547"/>
      <c r="G1547"/>
      <c r="H1547"/>
      <c r="I1547" s="740"/>
      <c r="V1547"/>
      <c r="W1547"/>
      <c r="Y1547"/>
      <c r="Z1547"/>
      <c r="AA1547"/>
      <c r="AD1547"/>
      <c r="AE1547"/>
      <c r="AF1547"/>
      <c r="AH1547"/>
      <c r="AI1547"/>
      <c r="AJ1547"/>
      <c r="AM1547"/>
    </row>
    <row r="1548" spans="3:39">
      <c r="C1548"/>
      <c r="D1548"/>
      <c r="E1548"/>
      <c r="F1548"/>
      <c r="G1548"/>
      <c r="H1548"/>
      <c r="I1548" s="740"/>
      <c r="V1548"/>
      <c r="W1548"/>
      <c r="Y1548"/>
      <c r="Z1548"/>
      <c r="AA1548"/>
      <c r="AD1548"/>
      <c r="AE1548"/>
      <c r="AF1548"/>
      <c r="AH1548"/>
      <c r="AI1548"/>
      <c r="AJ1548"/>
      <c r="AM1548"/>
    </row>
    <row r="1549" spans="3:39">
      <c r="C1549"/>
      <c r="D1549"/>
      <c r="E1549"/>
      <c r="F1549"/>
      <c r="G1549"/>
      <c r="H1549"/>
      <c r="I1549" s="740"/>
      <c r="V1549"/>
      <c r="W1549"/>
      <c r="Y1549"/>
      <c r="Z1549"/>
      <c r="AA1549"/>
      <c r="AD1549"/>
      <c r="AE1549"/>
      <c r="AF1549"/>
      <c r="AH1549"/>
      <c r="AI1549"/>
      <c r="AJ1549"/>
      <c r="AM1549"/>
    </row>
    <row r="1550" spans="3:39">
      <c r="C1550"/>
      <c r="D1550"/>
      <c r="E1550"/>
      <c r="F1550"/>
      <c r="G1550"/>
      <c r="H1550"/>
      <c r="I1550" s="740"/>
      <c r="V1550"/>
      <c r="W1550"/>
      <c r="Y1550"/>
      <c r="Z1550"/>
      <c r="AA1550"/>
      <c r="AD1550"/>
      <c r="AE1550"/>
      <c r="AF1550"/>
      <c r="AH1550"/>
      <c r="AI1550"/>
      <c r="AJ1550"/>
      <c r="AM1550"/>
    </row>
    <row r="1551" spans="3:39">
      <c r="C1551"/>
      <c r="D1551"/>
      <c r="E1551"/>
      <c r="F1551"/>
      <c r="G1551"/>
      <c r="H1551"/>
      <c r="I1551" s="740"/>
      <c r="V1551"/>
      <c r="W1551"/>
      <c r="Y1551"/>
      <c r="Z1551"/>
      <c r="AA1551"/>
      <c r="AD1551"/>
      <c r="AE1551"/>
      <c r="AF1551"/>
      <c r="AH1551"/>
      <c r="AI1551"/>
      <c r="AJ1551"/>
      <c r="AM1551"/>
    </row>
    <row r="1552" spans="3:39">
      <c r="C1552"/>
      <c r="D1552"/>
      <c r="E1552"/>
      <c r="F1552"/>
      <c r="G1552"/>
      <c r="H1552"/>
      <c r="I1552" s="740"/>
      <c r="V1552"/>
      <c r="W1552"/>
      <c r="Y1552"/>
      <c r="Z1552"/>
      <c r="AA1552"/>
      <c r="AD1552"/>
      <c r="AE1552"/>
      <c r="AF1552"/>
      <c r="AH1552"/>
      <c r="AI1552"/>
      <c r="AJ1552"/>
      <c r="AM1552"/>
    </row>
    <row r="1553" spans="3:39">
      <c r="C1553"/>
      <c r="D1553"/>
      <c r="E1553"/>
      <c r="F1553"/>
      <c r="G1553"/>
      <c r="H1553"/>
      <c r="I1553" s="740"/>
      <c r="V1553"/>
      <c r="W1553"/>
      <c r="Y1553"/>
      <c r="Z1553"/>
      <c r="AA1553"/>
      <c r="AD1553"/>
      <c r="AE1553"/>
      <c r="AF1553"/>
      <c r="AH1553"/>
      <c r="AI1553"/>
      <c r="AJ1553"/>
      <c r="AM1553"/>
    </row>
    <row r="1554" spans="3:39">
      <c r="C1554"/>
      <c r="D1554"/>
      <c r="E1554"/>
      <c r="F1554"/>
      <c r="G1554"/>
      <c r="H1554"/>
      <c r="I1554" s="740"/>
      <c r="V1554"/>
      <c r="W1554"/>
      <c r="Y1554"/>
      <c r="Z1554"/>
      <c r="AA1554"/>
      <c r="AD1554"/>
      <c r="AE1554"/>
      <c r="AF1554"/>
      <c r="AH1554"/>
      <c r="AI1554"/>
      <c r="AJ1554"/>
      <c r="AM1554"/>
    </row>
    <row r="1555" spans="3:39">
      <c r="C1555"/>
      <c r="D1555"/>
      <c r="E1555"/>
      <c r="F1555"/>
      <c r="G1555"/>
      <c r="H1555"/>
      <c r="I1555" s="740"/>
      <c r="V1555"/>
      <c r="W1555"/>
      <c r="Y1555"/>
      <c r="Z1555"/>
      <c r="AA1555"/>
      <c r="AD1555"/>
      <c r="AE1555"/>
      <c r="AF1555"/>
      <c r="AH1555"/>
      <c r="AI1555"/>
      <c r="AJ1555"/>
      <c r="AM1555"/>
    </row>
    <row r="1556" spans="3:39">
      <c r="C1556"/>
      <c r="D1556"/>
      <c r="E1556"/>
      <c r="F1556"/>
      <c r="G1556"/>
      <c r="H1556"/>
      <c r="I1556" s="740"/>
      <c r="V1556"/>
      <c r="W1556"/>
      <c r="Y1556"/>
      <c r="Z1556"/>
      <c r="AA1556"/>
      <c r="AD1556"/>
      <c r="AE1556"/>
      <c r="AF1556"/>
      <c r="AH1556"/>
      <c r="AI1556"/>
      <c r="AJ1556"/>
      <c r="AM1556"/>
    </row>
    <row r="1557" spans="3:39">
      <c r="C1557"/>
      <c r="D1557"/>
      <c r="E1557"/>
      <c r="F1557"/>
      <c r="G1557"/>
      <c r="H1557"/>
      <c r="I1557" s="740"/>
      <c r="V1557"/>
      <c r="W1557"/>
      <c r="Y1557"/>
      <c r="Z1557"/>
      <c r="AA1557"/>
      <c r="AD1557"/>
      <c r="AE1557"/>
      <c r="AF1557"/>
      <c r="AH1557"/>
      <c r="AI1557"/>
      <c r="AJ1557"/>
      <c r="AM1557"/>
    </row>
    <row r="1558" spans="3:39">
      <c r="C1558"/>
      <c r="D1558"/>
      <c r="E1558"/>
      <c r="F1558"/>
      <c r="G1558"/>
      <c r="H1558"/>
      <c r="I1558" s="740"/>
      <c r="V1558"/>
      <c r="W1558"/>
      <c r="Y1558"/>
      <c r="Z1558"/>
      <c r="AA1558"/>
      <c r="AD1558"/>
      <c r="AE1558"/>
      <c r="AF1558"/>
      <c r="AH1558"/>
      <c r="AI1558"/>
      <c r="AJ1558"/>
      <c r="AM1558"/>
    </row>
    <row r="1559" spans="3:39">
      <c r="C1559"/>
      <c r="D1559"/>
      <c r="E1559"/>
      <c r="F1559"/>
      <c r="G1559"/>
      <c r="H1559"/>
      <c r="I1559" s="740"/>
      <c r="V1559"/>
      <c r="W1559"/>
      <c r="Y1559"/>
      <c r="Z1559"/>
      <c r="AA1559"/>
      <c r="AD1559"/>
      <c r="AE1559"/>
      <c r="AF1559"/>
      <c r="AH1559"/>
      <c r="AI1559"/>
      <c r="AJ1559"/>
      <c r="AM1559"/>
    </row>
    <row r="1560" spans="3:39">
      <c r="C1560"/>
      <c r="D1560"/>
      <c r="E1560"/>
      <c r="F1560"/>
      <c r="G1560"/>
      <c r="H1560"/>
      <c r="I1560" s="740"/>
      <c r="V1560"/>
      <c r="W1560"/>
      <c r="Y1560"/>
      <c r="Z1560"/>
      <c r="AA1560"/>
      <c r="AD1560"/>
      <c r="AE1560"/>
      <c r="AF1560"/>
      <c r="AH1560"/>
      <c r="AI1560"/>
      <c r="AJ1560"/>
      <c r="AM1560"/>
    </row>
    <row r="1561" spans="3:39">
      <c r="C1561"/>
      <c r="D1561"/>
      <c r="E1561"/>
      <c r="F1561"/>
      <c r="G1561"/>
      <c r="H1561"/>
      <c r="I1561" s="740"/>
      <c r="V1561"/>
      <c r="W1561"/>
      <c r="Y1561"/>
      <c r="Z1561"/>
      <c r="AA1561"/>
      <c r="AD1561"/>
      <c r="AE1561"/>
      <c r="AF1561"/>
      <c r="AH1561"/>
      <c r="AI1561"/>
      <c r="AJ1561"/>
      <c r="AM1561"/>
    </row>
    <row r="1562" spans="3:39">
      <c r="C1562"/>
      <c r="D1562"/>
      <c r="E1562"/>
      <c r="F1562"/>
      <c r="G1562"/>
      <c r="H1562"/>
      <c r="I1562" s="740"/>
      <c r="V1562"/>
      <c r="W1562"/>
      <c r="Y1562"/>
      <c r="Z1562"/>
      <c r="AA1562"/>
      <c r="AD1562"/>
      <c r="AE1562"/>
      <c r="AF1562"/>
      <c r="AH1562"/>
      <c r="AI1562"/>
      <c r="AJ1562"/>
      <c r="AM1562"/>
    </row>
    <row r="1563" spans="3:39">
      <c r="C1563"/>
      <c r="D1563"/>
      <c r="E1563"/>
      <c r="F1563"/>
      <c r="G1563"/>
      <c r="H1563"/>
      <c r="I1563" s="740"/>
      <c r="V1563"/>
      <c r="W1563"/>
      <c r="Y1563"/>
      <c r="Z1563"/>
      <c r="AA1563"/>
      <c r="AD1563"/>
      <c r="AE1563"/>
      <c r="AF1563"/>
      <c r="AH1563"/>
      <c r="AI1563"/>
      <c r="AJ1563"/>
      <c r="AM1563"/>
    </row>
    <row r="1564" spans="3:39">
      <c r="C1564"/>
      <c r="D1564"/>
      <c r="E1564"/>
      <c r="F1564"/>
      <c r="G1564"/>
      <c r="H1564"/>
      <c r="I1564" s="740"/>
      <c r="V1564"/>
      <c r="W1564"/>
      <c r="Y1564"/>
      <c r="Z1564"/>
      <c r="AA1564"/>
      <c r="AD1564"/>
      <c r="AE1564"/>
      <c r="AF1564"/>
      <c r="AH1564"/>
      <c r="AI1564"/>
      <c r="AJ1564"/>
      <c r="AM1564"/>
    </row>
    <row r="1565" spans="3:39">
      <c r="C1565"/>
      <c r="D1565"/>
      <c r="E1565"/>
      <c r="F1565"/>
      <c r="G1565"/>
      <c r="H1565"/>
      <c r="I1565" s="740"/>
      <c r="V1565"/>
      <c r="W1565"/>
      <c r="Y1565"/>
      <c r="Z1565"/>
      <c r="AA1565"/>
      <c r="AD1565"/>
      <c r="AE1565"/>
      <c r="AF1565"/>
      <c r="AH1565"/>
      <c r="AI1565"/>
      <c r="AJ1565"/>
      <c r="AM1565"/>
    </row>
    <row r="1566" spans="3:39">
      <c r="C1566"/>
      <c r="D1566"/>
      <c r="E1566"/>
      <c r="F1566"/>
      <c r="G1566"/>
      <c r="H1566"/>
      <c r="I1566" s="740"/>
      <c r="V1566"/>
      <c r="W1566"/>
      <c r="Y1566"/>
      <c r="Z1566"/>
      <c r="AA1566"/>
      <c r="AD1566"/>
      <c r="AE1566"/>
      <c r="AF1566"/>
      <c r="AH1566"/>
      <c r="AI1566"/>
      <c r="AJ1566"/>
      <c r="AM1566"/>
    </row>
    <row r="1567" spans="3:39">
      <c r="C1567"/>
      <c r="D1567"/>
      <c r="E1567"/>
      <c r="F1567"/>
      <c r="G1567"/>
      <c r="H1567"/>
      <c r="I1567" s="740"/>
      <c r="V1567"/>
      <c r="W1567"/>
      <c r="Y1567"/>
      <c r="Z1567"/>
      <c r="AA1567"/>
      <c r="AD1567"/>
      <c r="AE1567"/>
      <c r="AF1567"/>
      <c r="AH1567"/>
      <c r="AI1567"/>
      <c r="AJ1567"/>
      <c r="AM1567"/>
    </row>
    <row r="1568" spans="3:39">
      <c r="C1568"/>
      <c r="D1568"/>
      <c r="E1568"/>
      <c r="F1568"/>
      <c r="G1568"/>
      <c r="H1568"/>
      <c r="I1568" s="740"/>
      <c r="V1568"/>
      <c r="W1568"/>
      <c r="Y1568"/>
      <c r="Z1568"/>
      <c r="AA1568"/>
      <c r="AD1568"/>
      <c r="AE1568"/>
      <c r="AF1568"/>
      <c r="AH1568"/>
      <c r="AI1568"/>
      <c r="AJ1568"/>
      <c r="AM1568"/>
    </row>
    <row r="1569" spans="3:39">
      <c r="C1569"/>
      <c r="D1569"/>
      <c r="E1569"/>
      <c r="F1569"/>
      <c r="G1569"/>
      <c r="H1569"/>
      <c r="I1569" s="740"/>
      <c r="V1569"/>
      <c r="W1569"/>
      <c r="Y1569"/>
      <c r="Z1569"/>
      <c r="AA1569"/>
      <c r="AD1569"/>
      <c r="AE1569"/>
      <c r="AF1569"/>
      <c r="AH1569"/>
      <c r="AI1569"/>
      <c r="AJ1569"/>
      <c r="AM1569"/>
    </row>
    <row r="1570" spans="3:39">
      <c r="C1570"/>
      <c r="D1570"/>
      <c r="E1570"/>
      <c r="F1570"/>
      <c r="G1570"/>
      <c r="H1570"/>
      <c r="I1570" s="740"/>
      <c r="V1570"/>
      <c r="W1570"/>
      <c r="Y1570"/>
      <c r="Z1570"/>
      <c r="AA1570"/>
      <c r="AD1570"/>
      <c r="AE1570"/>
      <c r="AF1570"/>
      <c r="AH1570"/>
      <c r="AI1570"/>
      <c r="AJ1570"/>
      <c r="AM1570"/>
    </row>
    <row r="1571" spans="3:39">
      <c r="C1571"/>
      <c r="D1571"/>
      <c r="E1571"/>
      <c r="F1571"/>
      <c r="G1571"/>
      <c r="H1571"/>
      <c r="I1571" s="740"/>
      <c r="V1571"/>
      <c r="W1571"/>
      <c r="Y1571"/>
      <c r="Z1571"/>
      <c r="AA1571"/>
      <c r="AD1571"/>
      <c r="AE1571"/>
      <c r="AF1571"/>
      <c r="AH1571"/>
      <c r="AI1571"/>
      <c r="AJ1571"/>
      <c r="AM1571"/>
    </row>
    <row r="1572" spans="3:39">
      <c r="C1572"/>
      <c r="D1572"/>
      <c r="E1572"/>
      <c r="F1572"/>
      <c r="G1572"/>
      <c r="H1572"/>
      <c r="I1572" s="740"/>
      <c r="V1572"/>
      <c r="W1572"/>
      <c r="Y1572"/>
      <c r="Z1572"/>
      <c r="AA1572"/>
      <c r="AD1572"/>
      <c r="AE1572"/>
      <c r="AF1572"/>
      <c r="AH1572"/>
      <c r="AI1572"/>
      <c r="AJ1572"/>
      <c r="AM1572"/>
    </row>
    <row r="1573" spans="3:39">
      <c r="C1573"/>
      <c r="D1573"/>
      <c r="E1573"/>
      <c r="F1573"/>
      <c r="G1573"/>
      <c r="H1573"/>
      <c r="I1573" s="740"/>
      <c r="V1573"/>
      <c r="W1573"/>
      <c r="Y1573"/>
      <c r="Z1573"/>
      <c r="AA1573"/>
      <c r="AD1573"/>
      <c r="AE1573"/>
      <c r="AF1573"/>
      <c r="AH1573"/>
      <c r="AI1573"/>
      <c r="AJ1573"/>
      <c r="AM1573"/>
    </row>
    <row r="1574" spans="3:39">
      <c r="C1574"/>
      <c r="D1574"/>
      <c r="E1574"/>
      <c r="F1574"/>
      <c r="G1574"/>
      <c r="H1574"/>
      <c r="I1574" s="740"/>
      <c r="V1574"/>
      <c r="W1574"/>
      <c r="Y1574"/>
      <c r="Z1574"/>
      <c r="AA1574"/>
      <c r="AD1574"/>
      <c r="AE1574"/>
      <c r="AF1574"/>
      <c r="AH1574"/>
      <c r="AI1574"/>
      <c r="AJ1574"/>
      <c r="AM1574"/>
    </row>
    <row r="1575" spans="3:39">
      <c r="C1575"/>
      <c r="D1575"/>
      <c r="E1575"/>
      <c r="F1575"/>
      <c r="G1575"/>
      <c r="H1575"/>
      <c r="I1575" s="740"/>
      <c r="V1575"/>
      <c r="W1575"/>
      <c r="Y1575"/>
      <c r="Z1575"/>
      <c r="AA1575"/>
      <c r="AD1575"/>
      <c r="AE1575"/>
      <c r="AF1575"/>
      <c r="AH1575"/>
      <c r="AI1575"/>
      <c r="AJ1575"/>
      <c r="AM1575"/>
    </row>
    <row r="1576" spans="3:39">
      <c r="C1576"/>
      <c r="D1576"/>
      <c r="E1576"/>
      <c r="F1576"/>
      <c r="G1576"/>
      <c r="H1576"/>
      <c r="I1576" s="740"/>
      <c r="V1576"/>
      <c r="W1576"/>
      <c r="Y1576"/>
      <c r="Z1576"/>
      <c r="AA1576"/>
      <c r="AD1576"/>
      <c r="AE1576"/>
      <c r="AF1576"/>
      <c r="AH1576"/>
      <c r="AI1576"/>
      <c r="AJ1576"/>
      <c r="AM1576"/>
    </row>
    <row r="1577" spans="3:39">
      <c r="C1577"/>
      <c r="D1577"/>
      <c r="E1577"/>
      <c r="F1577"/>
      <c r="G1577"/>
      <c r="H1577"/>
      <c r="I1577" s="740"/>
      <c r="V1577"/>
      <c r="W1577"/>
      <c r="Y1577"/>
      <c r="Z1577"/>
      <c r="AA1577"/>
      <c r="AD1577"/>
      <c r="AE1577"/>
      <c r="AF1577"/>
      <c r="AH1577"/>
      <c r="AI1577"/>
      <c r="AJ1577"/>
      <c r="AM1577"/>
    </row>
    <row r="1578" spans="3:39">
      <c r="C1578"/>
      <c r="D1578"/>
      <c r="E1578"/>
      <c r="F1578"/>
      <c r="G1578"/>
      <c r="H1578"/>
      <c r="I1578" s="740"/>
      <c r="V1578"/>
      <c r="W1578"/>
      <c r="Y1578"/>
      <c r="Z1578"/>
      <c r="AA1578"/>
      <c r="AD1578"/>
      <c r="AE1578"/>
      <c r="AF1578"/>
      <c r="AH1578"/>
      <c r="AI1578"/>
      <c r="AJ1578"/>
      <c r="AM1578"/>
    </row>
    <row r="1579" spans="3:39">
      <c r="C1579"/>
      <c r="D1579"/>
      <c r="E1579"/>
      <c r="F1579"/>
      <c r="G1579"/>
      <c r="H1579"/>
      <c r="I1579" s="740"/>
      <c r="V1579"/>
      <c r="W1579"/>
      <c r="Y1579"/>
      <c r="Z1579"/>
      <c r="AA1579"/>
      <c r="AD1579"/>
      <c r="AE1579"/>
      <c r="AF1579"/>
      <c r="AH1579"/>
      <c r="AI1579"/>
      <c r="AJ1579"/>
      <c r="AM1579"/>
    </row>
    <row r="1580" spans="3:39">
      <c r="C1580"/>
      <c r="D1580"/>
      <c r="E1580"/>
      <c r="F1580"/>
      <c r="G1580"/>
      <c r="H1580"/>
      <c r="I1580" s="740"/>
      <c r="V1580"/>
      <c r="W1580"/>
      <c r="Y1580"/>
      <c r="Z1580"/>
      <c r="AA1580"/>
      <c r="AD1580"/>
      <c r="AE1580"/>
      <c r="AF1580"/>
      <c r="AH1580"/>
      <c r="AI1580"/>
      <c r="AJ1580"/>
      <c r="AM1580"/>
    </row>
    <row r="1581" spans="3:39">
      <c r="C1581"/>
      <c r="D1581"/>
      <c r="E1581"/>
      <c r="F1581"/>
      <c r="G1581"/>
      <c r="H1581"/>
      <c r="I1581" s="740"/>
      <c r="V1581"/>
      <c r="W1581"/>
      <c r="Y1581"/>
      <c r="Z1581"/>
      <c r="AA1581"/>
      <c r="AD1581"/>
      <c r="AE1581"/>
      <c r="AF1581"/>
      <c r="AH1581"/>
      <c r="AI1581"/>
      <c r="AJ1581"/>
      <c r="AM1581"/>
    </row>
    <row r="1582" spans="3:39">
      <c r="C1582"/>
      <c r="D1582"/>
      <c r="E1582"/>
      <c r="F1582"/>
      <c r="G1582"/>
      <c r="H1582"/>
      <c r="I1582" s="740"/>
      <c r="V1582"/>
      <c r="W1582"/>
      <c r="Y1582"/>
      <c r="Z1582"/>
      <c r="AA1582"/>
      <c r="AD1582"/>
      <c r="AE1582"/>
      <c r="AF1582"/>
      <c r="AH1582"/>
      <c r="AI1582"/>
      <c r="AJ1582"/>
      <c r="AM1582"/>
    </row>
    <row r="1583" spans="3:39">
      <c r="C1583"/>
      <c r="D1583"/>
      <c r="E1583"/>
      <c r="F1583"/>
      <c r="G1583"/>
      <c r="H1583"/>
      <c r="I1583" s="740"/>
      <c r="V1583"/>
      <c r="W1583"/>
      <c r="Y1583"/>
      <c r="Z1583"/>
      <c r="AA1583"/>
      <c r="AD1583"/>
      <c r="AE1583"/>
      <c r="AF1583"/>
      <c r="AH1583"/>
      <c r="AI1583"/>
      <c r="AJ1583"/>
      <c r="AM1583"/>
    </row>
    <row r="1584" spans="3:39">
      <c r="C1584"/>
      <c r="D1584"/>
      <c r="E1584"/>
      <c r="F1584"/>
      <c r="G1584"/>
      <c r="H1584"/>
      <c r="I1584" s="740"/>
      <c r="V1584"/>
      <c r="W1584"/>
      <c r="Y1584"/>
      <c r="Z1584"/>
      <c r="AA1584"/>
      <c r="AD1584"/>
      <c r="AE1584"/>
      <c r="AF1584"/>
      <c r="AH1584"/>
      <c r="AI1584"/>
      <c r="AJ1584"/>
      <c r="AM1584"/>
    </row>
    <row r="1585" spans="3:39">
      <c r="C1585"/>
      <c r="D1585"/>
      <c r="E1585"/>
      <c r="F1585"/>
      <c r="G1585"/>
      <c r="H1585"/>
      <c r="I1585" s="740"/>
      <c r="V1585"/>
      <c r="W1585"/>
      <c r="Y1585"/>
      <c r="Z1585"/>
      <c r="AA1585"/>
      <c r="AD1585"/>
      <c r="AE1585"/>
      <c r="AF1585"/>
      <c r="AH1585"/>
      <c r="AI1585"/>
      <c r="AJ1585"/>
      <c r="AM1585"/>
    </row>
    <row r="1586" spans="3:39">
      <c r="C1586"/>
      <c r="D1586"/>
      <c r="E1586"/>
      <c r="F1586"/>
      <c r="G1586"/>
      <c r="H1586"/>
      <c r="I1586" s="740"/>
      <c r="V1586"/>
      <c r="W1586"/>
      <c r="Y1586"/>
      <c r="Z1586"/>
      <c r="AA1586"/>
      <c r="AD1586"/>
      <c r="AE1586"/>
      <c r="AF1586"/>
      <c r="AH1586"/>
      <c r="AI1586"/>
      <c r="AJ1586"/>
      <c r="AM1586"/>
    </row>
    <row r="1587" spans="3:39">
      <c r="C1587"/>
      <c r="D1587"/>
      <c r="E1587"/>
      <c r="F1587"/>
      <c r="G1587"/>
      <c r="H1587"/>
      <c r="I1587" s="740"/>
      <c r="V1587"/>
      <c r="W1587"/>
      <c r="Y1587"/>
      <c r="Z1587"/>
      <c r="AA1587"/>
      <c r="AD1587"/>
      <c r="AE1587"/>
      <c r="AF1587"/>
      <c r="AH1587"/>
      <c r="AI1587"/>
      <c r="AJ1587"/>
      <c r="AM1587"/>
    </row>
    <row r="1588" spans="3:39">
      <c r="C1588"/>
      <c r="D1588"/>
      <c r="E1588"/>
      <c r="F1588"/>
      <c r="G1588"/>
      <c r="H1588"/>
      <c r="I1588" s="740"/>
      <c r="V1588"/>
      <c r="W1588"/>
      <c r="Y1588"/>
      <c r="Z1588"/>
      <c r="AA1588"/>
      <c r="AD1588"/>
      <c r="AE1588"/>
      <c r="AF1588"/>
      <c r="AH1588"/>
      <c r="AI1588"/>
      <c r="AJ1588"/>
      <c r="AM1588"/>
    </row>
    <row r="1589" spans="3:39">
      <c r="C1589"/>
      <c r="D1589"/>
      <c r="E1589"/>
      <c r="F1589"/>
      <c r="G1589"/>
      <c r="H1589"/>
      <c r="I1589" s="740"/>
      <c r="V1589"/>
      <c r="W1589"/>
      <c r="Y1589"/>
      <c r="Z1589"/>
      <c r="AA1589"/>
      <c r="AD1589"/>
      <c r="AE1589"/>
      <c r="AF1589"/>
      <c r="AH1589"/>
      <c r="AI1589"/>
      <c r="AJ1589"/>
      <c r="AM1589"/>
    </row>
    <row r="1590" spans="3:39">
      <c r="C1590"/>
      <c r="D1590"/>
      <c r="E1590"/>
      <c r="F1590"/>
      <c r="G1590"/>
      <c r="H1590"/>
      <c r="I1590" s="740"/>
      <c r="V1590"/>
      <c r="W1590"/>
      <c r="Y1590"/>
      <c r="Z1590"/>
      <c r="AA1590"/>
      <c r="AD1590"/>
      <c r="AE1590"/>
      <c r="AF1590"/>
      <c r="AH1590"/>
      <c r="AI1590"/>
      <c r="AJ1590"/>
      <c r="AM1590"/>
    </row>
    <row r="1591" spans="3:39">
      <c r="C1591"/>
      <c r="D1591"/>
      <c r="E1591"/>
      <c r="F1591"/>
      <c r="G1591"/>
      <c r="H1591"/>
      <c r="I1591" s="740"/>
      <c r="V1591"/>
      <c r="W1591"/>
      <c r="Y1591"/>
      <c r="Z1591"/>
      <c r="AA1591"/>
      <c r="AD1591"/>
      <c r="AE1591"/>
      <c r="AF1591"/>
      <c r="AH1591"/>
      <c r="AI1591"/>
      <c r="AJ1591"/>
      <c r="AM1591"/>
    </row>
    <row r="1592" spans="3:39">
      <c r="C1592"/>
      <c r="D1592"/>
      <c r="E1592"/>
      <c r="F1592"/>
      <c r="G1592"/>
      <c r="H1592"/>
      <c r="I1592" s="740"/>
      <c r="V1592"/>
      <c r="W1592"/>
      <c r="Y1592"/>
      <c r="Z1592"/>
      <c r="AA1592"/>
      <c r="AD1592"/>
      <c r="AE1592"/>
      <c r="AF1592"/>
      <c r="AH1592"/>
      <c r="AI1592"/>
      <c r="AJ1592"/>
      <c r="AM1592"/>
    </row>
    <row r="1593" spans="3:39">
      <c r="C1593"/>
      <c r="D1593"/>
      <c r="E1593"/>
      <c r="F1593"/>
      <c r="G1593"/>
      <c r="H1593"/>
      <c r="I1593" s="740"/>
      <c r="V1593"/>
      <c r="W1593"/>
      <c r="Y1593"/>
      <c r="Z1593"/>
      <c r="AA1593"/>
      <c r="AD1593"/>
      <c r="AE1593"/>
      <c r="AF1593"/>
      <c r="AH1593"/>
      <c r="AI1593"/>
      <c r="AJ1593"/>
      <c r="AM1593"/>
    </row>
    <row r="1594" spans="3:39">
      <c r="C1594"/>
      <c r="D1594"/>
      <c r="E1594"/>
      <c r="F1594"/>
      <c r="G1594"/>
      <c r="H1594"/>
      <c r="I1594" s="740"/>
      <c r="V1594"/>
      <c r="W1594"/>
      <c r="Y1594"/>
      <c r="Z1594"/>
      <c r="AA1594"/>
      <c r="AD1594"/>
      <c r="AE1594"/>
      <c r="AF1594"/>
      <c r="AH1594"/>
      <c r="AI1594"/>
      <c r="AJ1594"/>
      <c r="AM1594"/>
    </row>
    <row r="1595" spans="3:39">
      <c r="C1595"/>
      <c r="D1595"/>
      <c r="E1595"/>
      <c r="F1595"/>
      <c r="G1595"/>
      <c r="H1595"/>
      <c r="I1595" s="740"/>
      <c r="V1595"/>
      <c r="W1595"/>
      <c r="Y1595"/>
      <c r="Z1595"/>
      <c r="AA1595"/>
      <c r="AD1595"/>
      <c r="AE1595"/>
      <c r="AF1595"/>
      <c r="AH1595"/>
      <c r="AI1595"/>
      <c r="AJ1595"/>
      <c r="AM1595"/>
    </row>
    <row r="1596" spans="3:39">
      <c r="C1596"/>
      <c r="D1596"/>
      <c r="E1596"/>
      <c r="F1596"/>
      <c r="G1596"/>
      <c r="H1596"/>
      <c r="I1596" s="740"/>
      <c r="V1596"/>
      <c r="W1596"/>
      <c r="Y1596"/>
      <c r="Z1596"/>
      <c r="AA1596"/>
      <c r="AD1596"/>
      <c r="AE1596"/>
      <c r="AF1596"/>
      <c r="AH1596"/>
      <c r="AI1596"/>
      <c r="AJ1596"/>
      <c r="AM1596"/>
    </row>
    <row r="1597" spans="3:39">
      <c r="C1597"/>
      <c r="D1597"/>
      <c r="E1597"/>
      <c r="F1597"/>
      <c r="G1597"/>
      <c r="H1597"/>
      <c r="I1597" s="740"/>
      <c r="V1597"/>
      <c r="W1597"/>
      <c r="Y1597"/>
      <c r="Z1597"/>
      <c r="AA1597"/>
      <c r="AD1597"/>
      <c r="AE1597"/>
      <c r="AF1597"/>
      <c r="AH1597"/>
      <c r="AI1597"/>
      <c r="AJ1597"/>
      <c r="AM1597"/>
    </row>
    <row r="1598" spans="3:39">
      <c r="C1598"/>
      <c r="D1598"/>
      <c r="E1598"/>
      <c r="F1598"/>
      <c r="G1598"/>
      <c r="H1598"/>
      <c r="I1598" s="740"/>
      <c r="V1598"/>
      <c r="W1598"/>
      <c r="Y1598"/>
      <c r="Z1598"/>
      <c r="AA1598"/>
      <c r="AD1598"/>
      <c r="AE1598"/>
      <c r="AF1598"/>
      <c r="AH1598"/>
      <c r="AI1598"/>
      <c r="AJ1598"/>
      <c r="AM1598"/>
    </row>
    <row r="1599" spans="3:39">
      <c r="C1599"/>
      <c r="D1599"/>
      <c r="E1599"/>
      <c r="F1599"/>
      <c r="G1599"/>
      <c r="H1599"/>
      <c r="I1599" s="740"/>
      <c r="V1599"/>
      <c r="W1599"/>
      <c r="Y1599"/>
      <c r="Z1599"/>
      <c r="AA1599"/>
      <c r="AD1599"/>
      <c r="AE1599"/>
      <c r="AF1599"/>
      <c r="AH1599"/>
      <c r="AI1599"/>
      <c r="AJ1599"/>
      <c r="AM1599"/>
    </row>
    <row r="1600" spans="3:39">
      <c r="C1600"/>
      <c r="D1600"/>
      <c r="E1600"/>
      <c r="F1600"/>
      <c r="G1600"/>
      <c r="H1600"/>
      <c r="I1600" s="740"/>
      <c r="V1600"/>
      <c r="W1600"/>
      <c r="Y1600"/>
      <c r="Z1600"/>
      <c r="AA1600"/>
      <c r="AD1600"/>
      <c r="AE1600"/>
      <c r="AF1600"/>
      <c r="AH1600"/>
      <c r="AI1600"/>
      <c r="AJ1600"/>
      <c r="AM1600"/>
    </row>
    <row r="1601" spans="3:39">
      <c r="C1601"/>
      <c r="D1601"/>
      <c r="E1601"/>
      <c r="F1601"/>
      <c r="G1601"/>
      <c r="H1601"/>
      <c r="I1601" s="740"/>
      <c r="V1601"/>
      <c r="W1601"/>
      <c r="Y1601"/>
      <c r="Z1601"/>
      <c r="AA1601"/>
      <c r="AD1601"/>
      <c r="AE1601"/>
      <c r="AF1601"/>
      <c r="AH1601"/>
      <c r="AI1601"/>
      <c r="AJ1601"/>
      <c r="AM1601"/>
    </row>
    <row r="1602" spans="3:39">
      <c r="C1602"/>
      <c r="D1602"/>
      <c r="E1602"/>
      <c r="F1602"/>
      <c r="G1602"/>
      <c r="H1602"/>
      <c r="I1602" s="740"/>
      <c r="V1602"/>
      <c r="W1602"/>
      <c r="Y1602"/>
      <c r="Z1602"/>
      <c r="AA1602"/>
      <c r="AD1602"/>
      <c r="AE1602"/>
      <c r="AF1602"/>
      <c r="AH1602"/>
      <c r="AI1602"/>
      <c r="AJ1602"/>
      <c r="AM1602"/>
    </row>
    <row r="1603" spans="3:39">
      <c r="C1603"/>
      <c r="D1603"/>
      <c r="E1603"/>
      <c r="F1603"/>
      <c r="G1603"/>
      <c r="H1603"/>
      <c r="I1603" s="740"/>
      <c r="V1603"/>
      <c r="W1603"/>
      <c r="Y1603"/>
      <c r="Z1603"/>
      <c r="AA1603"/>
      <c r="AD1603"/>
      <c r="AE1603"/>
      <c r="AF1603"/>
      <c r="AH1603"/>
      <c r="AI1603"/>
      <c r="AJ1603"/>
      <c r="AM1603"/>
    </row>
    <row r="1604" spans="3:39">
      <c r="C1604"/>
      <c r="D1604"/>
      <c r="E1604"/>
      <c r="F1604"/>
      <c r="G1604"/>
      <c r="H1604"/>
      <c r="I1604" s="740"/>
      <c r="V1604"/>
      <c r="W1604"/>
      <c r="Y1604"/>
      <c r="Z1604"/>
      <c r="AA1604"/>
      <c r="AD1604"/>
      <c r="AE1604"/>
      <c r="AF1604"/>
      <c r="AH1604"/>
      <c r="AI1604"/>
      <c r="AJ1604"/>
      <c r="AM1604"/>
    </row>
    <row r="1605" spans="3:39">
      <c r="C1605"/>
      <c r="D1605"/>
      <c r="E1605"/>
      <c r="F1605"/>
      <c r="G1605"/>
      <c r="H1605"/>
      <c r="I1605" s="740"/>
      <c r="V1605"/>
      <c r="W1605"/>
      <c r="Y1605"/>
      <c r="Z1605"/>
      <c r="AA1605"/>
      <c r="AD1605"/>
      <c r="AE1605"/>
      <c r="AF1605"/>
      <c r="AH1605"/>
      <c r="AI1605"/>
      <c r="AJ1605"/>
      <c r="AM1605"/>
    </row>
    <row r="1606" spans="3:39">
      <c r="C1606"/>
      <c r="D1606"/>
      <c r="E1606"/>
      <c r="F1606"/>
      <c r="G1606"/>
      <c r="H1606"/>
      <c r="I1606" s="740"/>
      <c r="V1606"/>
      <c r="W1606"/>
      <c r="Y1606"/>
      <c r="Z1606"/>
      <c r="AA1606"/>
      <c r="AD1606"/>
      <c r="AE1606"/>
      <c r="AF1606"/>
      <c r="AH1606"/>
      <c r="AI1606"/>
      <c r="AJ1606"/>
      <c r="AM1606"/>
    </row>
    <row r="1607" spans="3:39">
      <c r="C1607"/>
      <c r="D1607"/>
      <c r="E1607"/>
      <c r="F1607"/>
      <c r="G1607"/>
      <c r="H1607"/>
      <c r="I1607" s="740"/>
      <c r="V1607"/>
      <c r="W1607"/>
      <c r="Y1607"/>
      <c r="Z1607"/>
      <c r="AA1607"/>
      <c r="AD1607"/>
      <c r="AE1607"/>
      <c r="AF1607"/>
      <c r="AH1607"/>
      <c r="AI1607"/>
      <c r="AJ1607"/>
      <c r="AM1607"/>
    </row>
    <row r="1608" spans="3:39">
      <c r="C1608"/>
      <c r="D1608"/>
      <c r="E1608"/>
      <c r="F1608"/>
      <c r="G1608"/>
      <c r="H1608"/>
      <c r="I1608" s="740"/>
      <c r="V1608"/>
      <c r="W1608"/>
      <c r="Y1608"/>
      <c r="Z1608"/>
      <c r="AA1608"/>
      <c r="AD1608"/>
      <c r="AE1608"/>
      <c r="AF1608"/>
      <c r="AH1608"/>
      <c r="AI1608"/>
      <c r="AJ1608"/>
      <c r="AM1608"/>
    </row>
    <row r="1609" spans="3:39">
      <c r="C1609"/>
      <c r="D1609"/>
      <c r="E1609"/>
      <c r="F1609"/>
      <c r="G1609"/>
      <c r="H1609"/>
      <c r="I1609" s="740"/>
      <c r="V1609"/>
      <c r="W1609"/>
      <c r="Y1609"/>
      <c r="Z1609"/>
      <c r="AA1609"/>
      <c r="AD1609"/>
      <c r="AE1609"/>
      <c r="AF1609"/>
      <c r="AH1609"/>
      <c r="AI1609"/>
      <c r="AJ1609"/>
      <c r="AM1609"/>
    </row>
    <row r="1610" spans="3:39">
      <c r="C1610"/>
      <c r="D1610"/>
      <c r="E1610"/>
      <c r="F1610"/>
      <c r="G1610"/>
      <c r="H1610"/>
      <c r="I1610" s="740"/>
      <c r="V1610"/>
      <c r="W1610"/>
      <c r="Y1610"/>
      <c r="Z1610"/>
      <c r="AA1610"/>
      <c r="AD1610"/>
      <c r="AE1610"/>
      <c r="AF1610"/>
      <c r="AH1610"/>
      <c r="AI1610"/>
      <c r="AJ1610"/>
      <c r="AM1610"/>
    </row>
    <row r="1611" spans="3:39">
      <c r="C1611"/>
      <c r="D1611"/>
      <c r="E1611"/>
      <c r="F1611"/>
      <c r="G1611"/>
      <c r="H1611"/>
      <c r="I1611" s="740"/>
      <c r="V1611"/>
      <c r="W1611"/>
      <c r="Y1611"/>
      <c r="Z1611"/>
      <c r="AA1611"/>
      <c r="AD1611"/>
      <c r="AE1611"/>
      <c r="AF1611"/>
      <c r="AH1611"/>
      <c r="AI1611"/>
      <c r="AJ1611"/>
      <c r="AM1611"/>
    </row>
    <row r="1612" spans="3:39">
      <c r="C1612"/>
      <c r="D1612"/>
      <c r="E1612"/>
      <c r="F1612"/>
      <c r="G1612"/>
      <c r="H1612"/>
      <c r="I1612" s="740"/>
      <c r="V1612"/>
      <c r="W1612"/>
      <c r="Y1612"/>
      <c r="Z1612"/>
      <c r="AA1612"/>
      <c r="AD1612"/>
      <c r="AE1612"/>
      <c r="AF1612"/>
      <c r="AH1612"/>
      <c r="AI1612"/>
      <c r="AJ1612"/>
      <c r="AM1612"/>
    </row>
    <row r="1613" spans="3:39">
      <c r="C1613"/>
      <c r="D1613"/>
      <c r="E1613"/>
      <c r="F1613"/>
      <c r="G1613"/>
      <c r="H1613"/>
      <c r="I1613" s="740"/>
      <c r="V1613"/>
      <c r="W1613"/>
      <c r="Y1613"/>
      <c r="Z1613"/>
      <c r="AA1613"/>
      <c r="AD1613"/>
      <c r="AE1613"/>
      <c r="AF1613"/>
      <c r="AH1613"/>
      <c r="AI1613"/>
      <c r="AJ1613"/>
      <c r="AM1613"/>
    </row>
    <row r="1614" spans="3:39">
      <c r="C1614"/>
      <c r="D1614"/>
      <c r="E1614"/>
      <c r="F1614"/>
      <c r="G1614"/>
      <c r="H1614"/>
      <c r="I1614" s="740"/>
      <c r="V1614"/>
      <c r="W1614"/>
      <c r="Y1614"/>
      <c r="Z1614"/>
      <c r="AA1614"/>
      <c r="AD1614"/>
      <c r="AE1614"/>
      <c r="AF1614"/>
      <c r="AH1614"/>
      <c r="AI1614"/>
      <c r="AJ1614"/>
      <c r="AM1614"/>
    </row>
    <row r="1615" spans="3:39">
      <c r="C1615"/>
      <c r="D1615"/>
      <c r="E1615"/>
      <c r="F1615"/>
      <c r="G1615"/>
      <c r="H1615"/>
      <c r="I1615" s="740"/>
      <c r="V1615"/>
      <c r="W1615"/>
      <c r="Y1615"/>
      <c r="Z1615"/>
      <c r="AA1615"/>
      <c r="AD1615"/>
      <c r="AE1615"/>
      <c r="AF1615"/>
      <c r="AH1615"/>
      <c r="AI1615"/>
      <c r="AJ1615"/>
      <c r="AM1615"/>
    </row>
    <row r="1616" spans="3:39">
      <c r="C1616"/>
      <c r="D1616"/>
      <c r="E1616"/>
      <c r="F1616"/>
      <c r="G1616"/>
      <c r="H1616"/>
      <c r="I1616" s="740"/>
      <c r="V1616"/>
      <c r="W1616"/>
      <c r="Y1616"/>
      <c r="Z1616"/>
      <c r="AA1616"/>
      <c r="AD1616"/>
      <c r="AE1616"/>
      <c r="AF1616"/>
      <c r="AH1616"/>
      <c r="AI1616"/>
      <c r="AJ1616"/>
      <c r="AM1616"/>
    </row>
    <row r="1617" spans="3:39">
      <c r="C1617"/>
      <c r="D1617"/>
      <c r="E1617"/>
      <c r="F1617"/>
      <c r="G1617"/>
      <c r="H1617"/>
      <c r="I1617" s="740"/>
      <c r="V1617"/>
      <c r="W1617"/>
      <c r="Y1617"/>
      <c r="Z1617"/>
      <c r="AA1617"/>
      <c r="AD1617"/>
      <c r="AE1617"/>
      <c r="AF1617"/>
      <c r="AH1617"/>
      <c r="AI1617"/>
      <c r="AJ1617"/>
      <c r="AM1617"/>
    </row>
    <row r="1618" spans="3:39">
      <c r="C1618"/>
      <c r="D1618"/>
      <c r="E1618"/>
      <c r="F1618"/>
      <c r="G1618"/>
      <c r="H1618"/>
      <c r="I1618" s="740"/>
      <c r="V1618"/>
      <c r="W1618"/>
      <c r="Y1618"/>
      <c r="Z1618"/>
      <c r="AA1618"/>
      <c r="AD1618"/>
      <c r="AE1618"/>
      <c r="AF1618"/>
      <c r="AH1618"/>
      <c r="AI1618"/>
      <c r="AJ1618"/>
      <c r="AM1618"/>
    </row>
    <row r="1619" spans="3:39">
      <c r="C1619"/>
      <c r="D1619"/>
      <c r="E1619"/>
      <c r="F1619"/>
      <c r="G1619"/>
      <c r="H1619"/>
      <c r="I1619" s="740"/>
      <c r="V1619"/>
      <c r="W1619"/>
      <c r="Y1619"/>
      <c r="Z1619"/>
      <c r="AA1619"/>
      <c r="AD1619"/>
      <c r="AE1619"/>
      <c r="AF1619"/>
      <c r="AH1619"/>
      <c r="AI1619"/>
      <c r="AJ1619"/>
      <c r="AM1619"/>
    </row>
    <row r="1620" spans="3:39">
      <c r="C1620"/>
      <c r="D1620"/>
      <c r="E1620"/>
      <c r="F1620"/>
      <c r="G1620"/>
      <c r="H1620"/>
      <c r="I1620" s="740"/>
      <c r="V1620"/>
      <c r="W1620"/>
      <c r="Y1620"/>
      <c r="Z1620"/>
      <c r="AA1620"/>
      <c r="AD1620"/>
      <c r="AE1620"/>
      <c r="AF1620"/>
      <c r="AH1620"/>
      <c r="AI1620"/>
      <c r="AJ1620"/>
      <c r="AM1620"/>
    </row>
    <row r="1621" spans="3:39">
      <c r="C1621"/>
      <c r="D1621"/>
      <c r="E1621"/>
      <c r="F1621"/>
      <c r="G1621"/>
      <c r="H1621"/>
      <c r="I1621" s="740"/>
      <c r="V1621"/>
      <c r="W1621"/>
      <c r="Y1621"/>
      <c r="Z1621"/>
      <c r="AA1621"/>
      <c r="AD1621"/>
      <c r="AE1621"/>
      <c r="AF1621"/>
      <c r="AH1621"/>
      <c r="AI1621"/>
      <c r="AJ1621"/>
      <c r="AM1621"/>
    </row>
    <row r="1622" spans="3:39">
      <c r="C1622"/>
      <c r="D1622"/>
      <c r="E1622"/>
      <c r="F1622"/>
      <c r="G1622"/>
      <c r="H1622"/>
      <c r="I1622" s="740"/>
      <c r="V1622"/>
      <c r="W1622"/>
      <c r="Y1622"/>
      <c r="Z1622"/>
      <c r="AA1622"/>
      <c r="AD1622"/>
      <c r="AE1622"/>
      <c r="AF1622"/>
      <c r="AH1622"/>
      <c r="AI1622"/>
      <c r="AJ1622"/>
      <c r="AM1622"/>
    </row>
    <row r="1623" spans="3:39">
      <c r="C1623"/>
      <c r="D1623"/>
      <c r="E1623"/>
      <c r="F1623"/>
      <c r="G1623"/>
      <c r="H1623"/>
      <c r="I1623" s="740"/>
      <c r="V1623"/>
      <c r="W1623"/>
      <c r="Y1623"/>
      <c r="Z1623"/>
      <c r="AA1623"/>
      <c r="AD1623"/>
      <c r="AE1623"/>
      <c r="AF1623"/>
      <c r="AH1623"/>
      <c r="AI1623"/>
      <c r="AJ1623"/>
      <c r="AM1623"/>
    </row>
    <row r="1624" spans="3:39">
      <c r="C1624"/>
      <c r="D1624"/>
      <c r="E1624"/>
      <c r="F1624"/>
      <c r="G1624"/>
      <c r="H1624"/>
      <c r="I1624" s="740"/>
      <c r="V1624"/>
      <c r="W1624"/>
      <c r="Y1624"/>
      <c r="Z1624"/>
      <c r="AA1624"/>
      <c r="AD1624"/>
      <c r="AE1624"/>
      <c r="AF1624"/>
      <c r="AH1624"/>
      <c r="AI1624"/>
      <c r="AJ1624"/>
      <c r="AM1624"/>
    </row>
    <row r="1625" spans="3:39">
      <c r="C1625"/>
      <c r="D1625"/>
      <c r="E1625"/>
      <c r="F1625"/>
      <c r="G1625"/>
      <c r="H1625"/>
      <c r="I1625" s="740"/>
      <c r="V1625"/>
      <c r="W1625"/>
      <c r="Y1625"/>
      <c r="Z1625"/>
      <c r="AA1625"/>
      <c r="AD1625"/>
      <c r="AE1625"/>
      <c r="AF1625"/>
      <c r="AH1625"/>
      <c r="AI1625"/>
      <c r="AJ1625"/>
      <c r="AM1625"/>
    </row>
    <row r="1626" spans="3:39">
      <c r="C1626"/>
      <c r="D1626"/>
      <c r="E1626"/>
      <c r="F1626"/>
      <c r="G1626"/>
      <c r="H1626"/>
      <c r="I1626" s="740"/>
      <c r="V1626"/>
      <c r="W1626"/>
      <c r="Y1626"/>
      <c r="Z1626"/>
      <c r="AA1626"/>
      <c r="AD1626"/>
      <c r="AE1626"/>
      <c r="AF1626"/>
      <c r="AH1626"/>
      <c r="AI1626"/>
      <c r="AJ1626"/>
      <c r="AM1626"/>
    </row>
    <row r="1627" spans="3:39">
      <c r="C1627"/>
      <c r="D1627"/>
      <c r="E1627"/>
      <c r="F1627"/>
      <c r="G1627"/>
      <c r="H1627"/>
      <c r="I1627" s="740"/>
      <c r="V1627"/>
      <c r="W1627"/>
      <c r="Y1627"/>
      <c r="Z1627"/>
      <c r="AA1627"/>
      <c r="AD1627"/>
      <c r="AE1627"/>
      <c r="AF1627"/>
      <c r="AH1627"/>
      <c r="AI1627"/>
      <c r="AJ1627"/>
      <c r="AM1627"/>
    </row>
    <row r="1628" spans="3:39">
      <c r="C1628"/>
      <c r="D1628"/>
      <c r="E1628"/>
      <c r="F1628"/>
      <c r="G1628"/>
      <c r="H1628"/>
      <c r="I1628" s="740"/>
      <c r="V1628"/>
      <c r="W1628"/>
      <c r="Y1628"/>
      <c r="Z1628"/>
      <c r="AA1628"/>
      <c r="AD1628"/>
      <c r="AE1628"/>
      <c r="AF1628"/>
      <c r="AH1628"/>
      <c r="AI1628"/>
      <c r="AJ1628"/>
      <c r="AM1628"/>
    </row>
    <row r="1629" spans="3:39">
      <c r="C1629"/>
      <c r="D1629"/>
      <c r="E1629"/>
      <c r="F1629"/>
      <c r="G1629"/>
      <c r="H1629"/>
      <c r="I1629" s="740"/>
      <c r="V1629"/>
      <c r="W1629"/>
      <c r="Y1629"/>
      <c r="Z1629"/>
      <c r="AA1629"/>
      <c r="AD1629"/>
      <c r="AE1629"/>
      <c r="AF1629"/>
      <c r="AH1629"/>
      <c r="AI1629"/>
      <c r="AJ1629"/>
      <c r="AM1629"/>
    </row>
    <row r="1630" spans="3:39">
      <c r="C1630"/>
      <c r="D1630"/>
      <c r="E1630"/>
      <c r="F1630"/>
      <c r="G1630"/>
      <c r="H1630"/>
      <c r="I1630" s="740"/>
      <c r="V1630"/>
      <c r="W1630"/>
      <c r="Y1630"/>
      <c r="Z1630"/>
      <c r="AA1630"/>
      <c r="AD1630"/>
      <c r="AE1630"/>
      <c r="AF1630"/>
      <c r="AH1630"/>
      <c r="AI1630"/>
      <c r="AJ1630"/>
      <c r="AM1630"/>
    </row>
    <row r="1631" spans="3:39">
      <c r="C1631"/>
      <c r="D1631"/>
      <c r="E1631"/>
      <c r="F1631"/>
      <c r="G1631"/>
      <c r="H1631"/>
      <c r="I1631" s="740"/>
      <c r="V1631"/>
      <c r="W1631"/>
      <c r="Y1631"/>
      <c r="Z1631"/>
      <c r="AA1631"/>
      <c r="AD1631"/>
      <c r="AE1631"/>
      <c r="AF1631"/>
      <c r="AH1631"/>
      <c r="AI1631"/>
      <c r="AJ1631"/>
      <c r="AM1631"/>
    </row>
    <row r="1632" spans="3:39">
      <c r="C1632"/>
      <c r="D1632"/>
      <c r="E1632"/>
      <c r="F1632"/>
      <c r="G1632"/>
      <c r="H1632"/>
      <c r="I1632" s="740"/>
      <c r="V1632"/>
      <c r="W1632"/>
      <c r="Y1632"/>
      <c r="Z1632"/>
      <c r="AA1632"/>
      <c r="AD1632"/>
      <c r="AE1632"/>
      <c r="AF1632"/>
      <c r="AH1632"/>
      <c r="AI1632"/>
      <c r="AJ1632"/>
      <c r="AM1632"/>
    </row>
    <row r="1633" spans="3:39">
      <c r="C1633"/>
      <c r="D1633"/>
      <c r="E1633"/>
      <c r="F1633"/>
      <c r="G1633"/>
      <c r="H1633"/>
      <c r="I1633" s="740"/>
      <c r="V1633"/>
      <c r="W1633"/>
      <c r="Y1633"/>
      <c r="Z1633"/>
      <c r="AA1633"/>
      <c r="AD1633"/>
      <c r="AE1633"/>
      <c r="AF1633"/>
      <c r="AH1633"/>
      <c r="AI1633"/>
      <c r="AJ1633"/>
      <c r="AM1633"/>
    </row>
    <row r="1634" spans="3:39">
      <c r="C1634"/>
      <c r="D1634"/>
      <c r="E1634"/>
      <c r="F1634"/>
      <c r="G1634"/>
      <c r="H1634"/>
      <c r="I1634" s="740"/>
      <c r="V1634"/>
      <c r="W1634"/>
      <c r="Y1634"/>
      <c r="Z1634"/>
      <c r="AA1634"/>
      <c r="AD1634"/>
      <c r="AE1634"/>
      <c r="AF1634"/>
      <c r="AH1634"/>
      <c r="AI1634"/>
      <c r="AJ1634"/>
      <c r="AM1634"/>
    </row>
    <row r="1635" spans="3:39">
      <c r="C1635"/>
      <c r="D1635"/>
      <c r="E1635"/>
      <c r="F1635"/>
      <c r="G1635"/>
      <c r="H1635"/>
      <c r="I1635" s="740"/>
      <c r="V1635"/>
      <c r="W1635"/>
      <c r="Y1635"/>
      <c r="Z1635"/>
      <c r="AA1635"/>
      <c r="AD1635"/>
      <c r="AE1635"/>
      <c r="AF1635"/>
      <c r="AH1635"/>
      <c r="AI1635"/>
      <c r="AJ1635"/>
      <c r="AM1635"/>
    </row>
    <row r="1636" spans="3:39">
      <c r="C1636"/>
      <c r="D1636"/>
      <c r="E1636"/>
      <c r="F1636"/>
      <c r="G1636"/>
      <c r="H1636"/>
      <c r="I1636" s="740"/>
      <c r="V1636"/>
      <c r="W1636"/>
      <c r="Y1636"/>
      <c r="Z1636"/>
      <c r="AA1636"/>
      <c r="AD1636"/>
      <c r="AE1636"/>
      <c r="AF1636"/>
      <c r="AH1636"/>
      <c r="AI1636"/>
      <c r="AJ1636"/>
      <c r="AM1636"/>
    </row>
    <row r="1637" spans="3:39">
      <c r="C1637"/>
      <c r="D1637"/>
      <c r="E1637"/>
      <c r="F1637"/>
      <c r="G1637"/>
      <c r="H1637"/>
      <c r="I1637" s="740"/>
      <c r="V1637"/>
      <c r="W1637"/>
      <c r="Y1637"/>
      <c r="Z1637"/>
      <c r="AA1637"/>
      <c r="AD1637"/>
      <c r="AE1637"/>
      <c r="AF1637"/>
      <c r="AH1637"/>
      <c r="AI1637"/>
      <c r="AJ1637"/>
      <c r="AM1637"/>
    </row>
    <row r="1638" spans="3:39">
      <c r="C1638"/>
      <c r="D1638"/>
      <c r="E1638"/>
      <c r="F1638"/>
      <c r="G1638"/>
      <c r="H1638"/>
      <c r="I1638" s="740"/>
      <c r="V1638"/>
      <c r="W1638"/>
      <c r="Y1638"/>
      <c r="Z1638"/>
      <c r="AA1638"/>
      <c r="AD1638"/>
      <c r="AE1638"/>
      <c r="AF1638"/>
      <c r="AH1638"/>
      <c r="AI1638"/>
      <c r="AJ1638"/>
      <c r="AM1638"/>
    </row>
    <row r="1639" spans="3:39">
      <c r="C1639"/>
      <c r="D1639"/>
      <c r="E1639"/>
      <c r="F1639"/>
      <c r="G1639"/>
      <c r="H1639"/>
      <c r="I1639" s="740"/>
      <c r="V1639"/>
      <c r="W1639"/>
      <c r="Y1639"/>
      <c r="Z1639"/>
      <c r="AA1639"/>
      <c r="AD1639"/>
      <c r="AE1639"/>
      <c r="AF1639"/>
      <c r="AH1639"/>
      <c r="AI1639"/>
      <c r="AJ1639"/>
      <c r="AM1639"/>
    </row>
    <row r="1640" spans="3:39">
      <c r="C1640"/>
      <c r="D1640"/>
      <c r="E1640"/>
      <c r="F1640"/>
      <c r="G1640"/>
      <c r="H1640"/>
      <c r="I1640" s="740"/>
      <c r="V1640"/>
      <c r="W1640"/>
      <c r="Y1640"/>
      <c r="Z1640"/>
      <c r="AA1640"/>
      <c r="AD1640"/>
      <c r="AE1640"/>
      <c r="AF1640"/>
      <c r="AH1640"/>
      <c r="AI1640"/>
      <c r="AJ1640"/>
      <c r="AM1640"/>
    </row>
    <row r="1641" spans="3:39">
      <c r="C1641"/>
      <c r="D1641"/>
      <c r="E1641"/>
      <c r="F1641"/>
      <c r="G1641"/>
      <c r="H1641"/>
      <c r="I1641" s="740"/>
      <c r="V1641"/>
      <c r="W1641"/>
      <c r="Y1641"/>
      <c r="Z1641"/>
      <c r="AA1641"/>
      <c r="AD1641"/>
      <c r="AE1641"/>
      <c r="AF1641"/>
      <c r="AH1641"/>
      <c r="AI1641"/>
      <c r="AJ1641"/>
      <c r="AM1641"/>
    </row>
    <row r="1642" spans="3:39">
      <c r="C1642"/>
      <c r="D1642"/>
      <c r="E1642"/>
      <c r="F1642"/>
      <c r="G1642"/>
      <c r="H1642"/>
      <c r="I1642" s="740"/>
      <c r="V1642"/>
      <c r="W1642"/>
      <c r="Y1642"/>
      <c r="Z1642"/>
      <c r="AA1642"/>
      <c r="AD1642"/>
      <c r="AE1642"/>
      <c r="AF1642"/>
      <c r="AH1642"/>
      <c r="AI1642"/>
      <c r="AJ1642"/>
      <c r="AM1642"/>
    </row>
    <row r="1643" spans="3:39">
      <c r="C1643"/>
      <c r="D1643"/>
      <c r="E1643"/>
      <c r="F1643"/>
      <c r="G1643"/>
      <c r="H1643"/>
      <c r="I1643" s="740"/>
      <c r="V1643"/>
      <c r="W1643"/>
      <c r="Y1643"/>
      <c r="Z1643"/>
      <c r="AA1643"/>
      <c r="AD1643"/>
      <c r="AE1643"/>
      <c r="AF1643"/>
      <c r="AH1643"/>
      <c r="AI1643"/>
      <c r="AJ1643"/>
      <c r="AM1643"/>
    </row>
    <row r="1644" spans="3:39">
      <c r="C1644"/>
      <c r="D1644"/>
      <c r="E1644"/>
      <c r="F1644"/>
      <c r="G1644"/>
      <c r="H1644"/>
      <c r="I1644" s="740"/>
      <c r="V1644"/>
      <c r="W1644"/>
      <c r="Y1644"/>
      <c r="Z1644"/>
      <c r="AA1644"/>
      <c r="AD1644"/>
      <c r="AE1644"/>
      <c r="AF1644"/>
      <c r="AH1644"/>
      <c r="AI1644"/>
      <c r="AJ1644"/>
      <c r="AM1644"/>
    </row>
    <row r="1645" spans="3:39">
      <c r="C1645"/>
      <c r="D1645"/>
      <c r="E1645"/>
      <c r="F1645"/>
      <c r="G1645"/>
      <c r="H1645"/>
      <c r="I1645" s="740"/>
      <c r="V1645"/>
      <c r="W1645"/>
      <c r="Y1645"/>
      <c r="Z1645"/>
      <c r="AA1645"/>
      <c r="AD1645"/>
      <c r="AE1645"/>
      <c r="AF1645"/>
      <c r="AH1645"/>
      <c r="AI1645"/>
      <c r="AJ1645"/>
      <c r="AM1645"/>
    </row>
    <row r="1646" spans="3:39">
      <c r="C1646"/>
      <c r="D1646"/>
      <c r="E1646"/>
      <c r="F1646"/>
      <c r="G1646"/>
      <c r="H1646"/>
      <c r="I1646" s="740"/>
      <c r="V1646"/>
      <c r="W1646"/>
      <c r="Y1646"/>
      <c r="Z1646"/>
      <c r="AA1646"/>
      <c r="AD1646"/>
      <c r="AE1646"/>
      <c r="AF1646"/>
      <c r="AH1646"/>
      <c r="AI1646"/>
      <c r="AJ1646"/>
      <c r="AM1646"/>
    </row>
    <row r="1647" spans="3:39">
      <c r="C1647"/>
      <c r="D1647"/>
      <c r="E1647"/>
      <c r="F1647"/>
      <c r="G1647"/>
      <c r="H1647"/>
      <c r="I1647" s="740"/>
      <c r="V1647"/>
      <c r="W1647"/>
      <c r="Y1647"/>
      <c r="Z1647"/>
      <c r="AA1647"/>
      <c r="AD1647"/>
      <c r="AE1647"/>
      <c r="AF1647"/>
      <c r="AH1647"/>
      <c r="AI1647"/>
      <c r="AJ1647"/>
      <c r="AM1647"/>
    </row>
    <row r="1648" spans="3:39">
      <c r="C1648"/>
      <c r="D1648"/>
      <c r="E1648"/>
      <c r="F1648"/>
      <c r="G1648"/>
      <c r="H1648"/>
      <c r="I1648" s="740"/>
      <c r="V1648"/>
      <c r="W1648"/>
      <c r="Y1648"/>
      <c r="Z1648"/>
      <c r="AA1648"/>
      <c r="AD1648"/>
      <c r="AE1648"/>
      <c r="AF1648"/>
      <c r="AH1648"/>
      <c r="AI1648"/>
      <c r="AJ1648"/>
      <c r="AM1648"/>
    </row>
    <row r="1649" spans="3:39">
      <c r="C1649"/>
      <c r="D1649"/>
      <c r="E1649"/>
      <c r="F1649"/>
      <c r="G1649"/>
      <c r="H1649"/>
      <c r="I1649" s="740"/>
      <c r="V1649"/>
      <c r="W1649"/>
      <c r="Y1649"/>
      <c r="Z1649"/>
      <c r="AA1649"/>
      <c r="AD1649"/>
      <c r="AE1649"/>
      <c r="AF1649"/>
      <c r="AH1649"/>
      <c r="AI1649"/>
      <c r="AJ1649"/>
      <c r="AM1649"/>
    </row>
    <row r="1650" spans="3:39">
      <c r="C1650"/>
      <c r="D1650"/>
      <c r="E1650"/>
      <c r="F1650"/>
      <c r="G1650"/>
      <c r="H1650"/>
      <c r="I1650" s="740"/>
      <c r="V1650"/>
      <c r="W1650"/>
      <c r="Y1650"/>
      <c r="Z1650"/>
      <c r="AA1650"/>
      <c r="AD1650"/>
      <c r="AE1650"/>
      <c r="AF1650"/>
      <c r="AH1650"/>
      <c r="AI1650"/>
      <c r="AJ1650"/>
      <c r="AM1650"/>
    </row>
    <row r="1651" spans="3:39">
      <c r="C1651"/>
      <c r="D1651"/>
      <c r="E1651"/>
      <c r="F1651"/>
      <c r="G1651"/>
      <c r="H1651"/>
      <c r="I1651" s="740"/>
      <c r="V1651"/>
      <c r="W1651"/>
      <c r="Y1651"/>
      <c r="Z1651"/>
      <c r="AA1651"/>
      <c r="AD1651"/>
      <c r="AE1651"/>
      <c r="AF1651"/>
      <c r="AH1651"/>
      <c r="AI1651"/>
      <c r="AJ1651"/>
      <c r="AM1651"/>
    </row>
    <row r="1652" spans="3:39">
      <c r="C1652"/>
      <c r="D1652"/>
      <c r="E1652"/>
      <c r="F1652"/>
      <c r="G1652"/>
      <c r="H1652"/>
      <c r="I1652" s="740"/>
      <c r="V1652"/>
      <c r="W1652"/>
      <c r="Y1652"/>
      <c r="Z1652"/>
      <c r="AA1652"/>
      <c r="AD1652"/>
      <c r="AE1652"/>
      <c r="AF1652"/>
      <c r="AH1652"/>
      <c r="AI1652"/>
      <c r="AJ1652"/>
      <c r="AM1652"/>
    </row>
    <row r="1653" spans="3:39">
      <c r="C1653"/>
      <c r="D1653"/>
      <c r="E1653"/>
      <c r="F1653"/>
      <c r="G1653"/>
      <c r="H1653"/>
      <c r="I1653" s="740"/>
      <c r="V1653"/>
      <c r="W1653"/>
      <c r="Y1653"/>
      <c r="Z1653"/>
      <c r="AA1653"/>
      <c r="AD1653"/>
      <c r="AE1653"/>
      <c r="AF1653"/>
      <c r="AH1653"/>
      <c r="AI1653"/>
      <c r="AJ1653"/>
      <c r="AM1653"/>
    </row>
    <row r="1654" spans="3:39">
      <c r="C1654"/>
      <c r="D1654"/>
      <c r="E1654"/>
      <c r="F1654"/>
      <c r="G1654"/>
      <c r="H1654"/>
      <c r="I1654" s="740"/>
      <c r="V1654"/>
      <c r="W1654"/>
      <c r="Y1654"/>
      <c r="Z1654"/>
      <c r="AA1654"/>
      <c r="AD1654"/>
      <c r="AE1654"/>
      <c r="AF1654"/>
      <c r="AH1654"/>
      <c r="AI1654"/>
      <c r="AJ1654"/>
      <c r="AM1654"/>
    </row>
    <row r="1655" spans="3:39">
      <c r="C1655"/>
      <c r="D1655"/>
      <c r="E1655"/>
      <c r="F1655"/>
      <c r="G1655"/>
      <c r="H1655"/>
      <c r="I1655" s="740"/>
      <c r="V1655"/>
      <c r="W1655"/>
      <c r="Y1655"/>
      <c r="Z1655"/>
      <c r="AA1655"/>
      <c r="AD1655"/>
      <c r="AE1655"/>
      <c r="AF1655"/>
      <c r="AH1655"/>
      <c r="AI1655"/>
      <c r="AJ1655"/>
      <c r="AM1655"/>
    </row>
    <row r="1656" spans="3:39">
      <c r="C1656"/>
      <c r="D1656"/>
      <c r="E1656"/>
      <c r="F1656"/>
      <c r="G1656"/>
      <c r="H1656"/>
      <c r="I1656" s="740"/>
      <c r="V1656"/>
      <c r="W1656"/>
      <c r="Y1656"/>
      <c r="Z1656"/>
      <c r="AA1656"/>
      <c r="AD1656"/>
      <c r="AE1656"/>
      <c r="AF1656"/>
      <c r="AH1656"/>
      <c r="AI1656"/>
      <c r="AJ1656"/>
      <c r="AM1656"/>
    </row>
    <row r="1657" spans="3:39">
      <c r="C1657"/>
      <c r="D1657"/>
      <c r="E1657"/>
      <c r="F1657"/>
      <c r="G1657"/>
      <c r="H1657"/>
      <c r="I1657" s="740"/>
      <c r="V1657"/>
      <c r="W1657"/>
      <c r="Y1657"/>
      <c r="Z1657"/>
      <c r="AA1657"/>
      <c r="AD1657"/>
      <c r="AE1657"/>
      <c r="AF1657"/>
      <c r="AH1657"/>
      <c r="AI1657"/>
      <c r="AJ1657"/>
      <c r="AM1657"/>
    </row>
    <row r="1658" spans="3:39">
      <c r="C1658"/>
      <c r="D1658"/>
      <c r="E1658"/>
      <c r="F1658"/>
      <c r="G1658"/>
      <c r="H1658"/>
      <c r="I1658" s="740"/>
      <c r="V1658"/>
      <c r="W1658"/>
      <c r="Y1658"/>
      <c r="Z1658"/>
      <c r="AA1658"/>
      <c r="AD1658"/>
      <c r="AE1658"/>
      <c r="AF1658"/>
      <c r="AH1658"/>
      <c r="AI1658"/>
      <c r="AJ1658"/>
      <c r="AM1658"/>
    </row>
    <row r="1659" spans="3:39">
      <c r="C1659"/>
      <c r="D1659"/>
      <c r="E1659"/>
      <c r="F1659"/>
      <c r="G1659"/>
      <c r="H1659"/>
      <c r="I1659" s="740"/>
      <c r="V1659"/>
      <c r="W1659"/>
      <c r="Y1659"/>
      <c r="Z1659"/>
      <c r="AA1659"/>
      <c r="AD1659"/>
      <c r="AE1659"/>
      <c r="AF1659"/>
      <c r="AH1659"/>
      <c r="AI1659"/>
      <c r="AJ1659"/>
      <c r="AM1659"/>
    </row>
    <row r="1660" spans="3:39">
      <c r="C1660"/>
      <c r="D1660"/>
      <c r="E1660"/>
      <c r="F1660"/>
      <c r="G1660"/>
      <c r="H1660"/>
      <c r="I1660" s="740"/>
      <c r="V1660"/>
      <c r="W1660"/>
      <c r="Y1660"/>
      <c r="Z1660"/>
      <c r="AA1660"/>
      <c r="AD1660"/>
      <c r="AE1660"/>
      <c r="AF1660"/>
      <c r="AH1660"/>
      <c r="AI1660"/>
      <c r="AJ1660"/>
      <c r="AM1660"/>
    </row>
    <row r="1661" spans="3:39">
      <c r="C1661"/>
      <c r="D1661"/>
      <c r="E1661"/>
      <c r="F1661"/>
      <c r="G1661"/>
      <c r="H1661"/>
      <c r="I1661" s="740"/>
      <c r="V1661"/>
      <c r="W1661"/>
      <c r="Y1661"/>
      <c r="Z1661"/>
      <c r="AA1661"/>
      <c r="AD1661"/>
      <c r="AE1661"/>
      <c r="AF1661"/>
      <c r="AH1661"/>
      <c r="AI1661"/>
      <c r="AJ1661"/>
      <c r="AM1661"/>
    </row>
    <row r="1662" spans="3:39">
      <c r="C1662"/>
      <c r="D1662"/>
      <c r="E1662"/>
      <c r="F1662"/>
      <c r="G1662"/>
      <c r="H1662"/>
      <c r="I1662" s="740"/>
      <c r="V1662"/>
      <c r="W1662"/>
      <c r="Y1662"/>
      <c r="Z1662"/>
      <c r="AA1662"/>
      <c r="AD1662"/>
      <c r="AE1662"/>
      <c r="AF1662"/>
      <c r="AH1662"/>
      <c r="AI1662"/>
      <c r="AJ1662"/>
      <c r="AM1662"/>
    </row>
    <row r="1663" spans="3:39">
      <c r="C1663"/>
      <c r="D1663"/>
      <c r="E1663"/>
      <c r="F1663"/>
      <c r="G1663"/>
      <c r="H1663"/>
      <c r="I1663" s="740"/>
      <c r="V1663"/>
      <c r="W1663"/>
      <c r="Y1663"/>
      <c r="Z1663"/>
      <c r="AA1663"/>
      <c r="AD1663"/>
      <c r="AE1663"/>
      <c r="AF1663"/>
      <c r="AH1663"/>
      <c r="AI1663"/>
      <c r="AJ1663"/>
      <c r="AM1663"/>
    </row>
    <row r="1664" spans="3:39">
      <c r="C1664"/>
      <c r="D1664"/>
      <c r="E1664"/>
      <c r="F1664"/>
      <c r="G1664"/>
      <c r="H1664"/>
      <c r="I1664" s="740"/>
      <c r="V1664"/>
      <c r="W1664"/>
      <c r="Y1664"/>
      <c r="Z1664"/>
      <c r="AA1664"/>
      <c r="AD1664"/>
      <c r="AE1664"/>
      <c r="AF1664"/>
      <c r="AH1664"/>
      <c r="AI1664"/>
      <c r="AJ1664"/>
      <c r="AM1664"/>
    </row>
    <row r="1665" spans="3:39">
      <c r="C1665"/>
      <c r="D1665"/>
      <c r="E1665"/>
      <c r="F1665"/>
      <c r="G1665"/>
      <c r="H1665"/>
      <c r="I1665" s="740"/>
      <c r="V1665"/>
      <c r="W1665"/>
      <c r="Y1665"/>
      <c r="Z1665"/>
      <c r="AA1665"/>
      <c r="AD1665"/>
      <c r="AE1665"/>
      <c r="AF1665"/>
      <c r="AH1665"/>
      <c r="AI1665"/>
      <c r="AJ1665"/>
      <c r="AM1665"/>
    </row>
    <row r="1666" spans="3:39">
      <c r="C1666"/>
      <c r="D1666"/>
      <c r="E1666"/>
      <c r="F1666"/>
      <c r="G1666"/>
      <c r="H1666"/>
      <c r="I1666" s="740"/>
      <c r="V1666"/>
      <c r="W1666"/>
      <c r="Y1666"/>
      <c r="Z1666"/>
      <c r="AA1666"/>
      <c r="AD1666"/>
      <c r="AE1666"/>
      <c r="AF1666"/>
      <c r="AH1666"/>
      <c r="AI1666"/>
      <c r="AJ1666"/>
      <c r="AM1666"/>
    </row>
    <row r="1667" spans="3:39">
      <c r="C1667"/>
      <c r="D1667"/>
      <c r="E1667"/>
      <c r="F1667"/>
      <c r="G1667"/>
      <c r="H1667"/>
      <c r="I1667" s="740"/>
      <c r="V1667"/>
      <c r="W1667"/>
      <c r="Y1667"/>
      <c r="Z1667"/>
      <c r="AA1667"/>
      <c r="AD1667"/>
      <c r="AE1667"/>
      <c r="AF1667"/>
      <c r="AH1667"/>
      <c r="AI1667"/>
      <c r="AJ1667"/>
      <c r="AM1667"/>
    </row>
    <row r="1668" spans="3:39">
      <c r="C1668"/>
      <c r="D1668"/>
      <c r="E1668"/>
      <c r="F1668"/>
      <c r="G1668"/>
      <c r="H1668"/>
      <c r="I1668" s="740"/>
      <c r="V1668"/>
      <c r="W1668"/>
      <c r="Y1668"/>
      <c r="Z1668"/>
      <c r="AA1668"/>
      <c r="AD1668"/>
      <c r="AE1668"/>
      <c r="AF1668"/>
      <c r="AH1668"/>
      <c r="AI1668"/>
      <c r="AJ1668"/>
      <c r="AM1668"/>
    </row>
    <row r="1669" spans="3:39">
      <c r="C1669"/>
      <c r="D1669"/>
      <c r="E1669"/>
      <c r="F1669"/>
      <c r="G1669"/>
      <c r="H1669"/>
      <c r="I1669" s="740"/>
      <c r="V1669"/>
      <c r="W1669"/>
      <c r="Y1669"/>
      <c r="Z1669"/>
      <c r="AA1669"/>
      <c r="AD1669"/>
      <c r="AE1669"/>
      <c r="AF1669"/>
      <c r="AH1669"/>
      <c r="AI1669"/>
      <c r="AJ1669"/>
      <c r="AM1669"/>
    </row>
    <row r="1670" spans="3:39">
      <c r="C1670"/>
      <c r="D1670"/>
      <c r="E1670"/>
      <c r="F1670"/>
      <c r="G1670"/>
      <c r="H1670"/>
      <c r="I1670" s="740"/>
      <c r="V1670"/>
      <c r="W1670"/>
      <c r="Y1670"/>
      <c r="Z1670"/>
      <c r="AA1670"/>
      <c r="AD1670"/>
      <c r="AE1670"/>
      <c r="AF1670"/>
      <c r="AH1670"/>
      <c r="AI1670"/>
      <c r="AJ1670"/>
      <c r="AM1670"/>
    </row>
    <row r="1671" spans="3:39">
      <c r="C1671"/>
      <c r="D1671"/>
      <c r="E1671"/>
      <c r="F1671"/>
      <c r="G1671"/>
      <c r="H1671"/>
      <c r="I1671" s="740"/>
      <c r="V1671"/>
      <c r="W1671"/>
      <c r="Y1671"/>
      <c r="Z1671"/>
      <c r="AA1671"/>
      <c r="AD1671"/>
      <c r="AE1671"/>
      <c r="AF1671"/>
      <c r="AH1671"/>
      <c r="AI1671"/>
      <c r="AJ1671"/>
      <c r="AM1671"/>
    </row>
    <row r="1672" spans="3:39">
      <c r="C1672"/>
      <c r="D1672"/>
      <c r="E1672"/>
      <c r="F1672"/>
      <c r="G1672"/>
      <c r="H1672"/>
      <c r="I1672" s="740"/>
      <c r="V1672"/>
      <c r="W1672"/>
      <c r="Y1672"/>
      <c r="Z1672"/>
      <c r="AA1672"/>
      <c r="AD1672"/>
      <c r="AE1672"/>
      <c r="AF1672"/>
      <c r="AH1672"/>
      <c r="AI1672"/>
      <c r="AJ1672"/>
      <c r="AM1672"/>
    </row>
    <row r="1673" spans="3:39">
      <c r="C1673"/>
      <c r="D1673"/>
      <c r="E1673"/>
      <c r="F1673"/>
      <c r="G1673"/>
      <c r="H1673"/>
      <c r="I1673" s="740"/>
      <c r="V1673"/>
      <c r="W1673"/>
      <c r="Y1673"/>
      <c r="Z1673"/>
      <c r="AA1673"/>
      <c r="AD1673"/>
      <c r="AE1673"/>
      <c r="AF1673"/>
      <c r="AH1673"/>
      <c r="AI1673"/>
      <c r="AJ1673"/>
      <c r="AM1673"/>
    </row>
    <row r="1674" spans="3:39">
      <c r="C1674"/>
      <c r="D1674"/>
      <c r="E1674"/>
      <c r="F1674"/>
      <c r="G1674"/>
      <c r="H1674"/>
      <c r="I1674" s="740"/>
      <c r="V1674"/>
      <c r="W1674"/>
      <c r="Y1674"/>
      <c r="Z1674"/>
      <c r="AA1674"/>
      <c r="AD1674"/>
      <c r="AE1674"/>
      <c r="AF1674"/>
      <c r="AH1674"/>
      <c r="AI1674"/>
      <c r="AJ1674"/>
      <c r="AM1674"/>
    </row>
    <row r="1675" spans="3:39">
      <c r="C1675"/>
      <c r="D1675"/>
      <c r="E1675"/>
      <c r="F1675"/>
      <c r="G1675"/>
      <c r="H1675"/>
      <c r="I1675" s="740"/>
      <c r="V1675"/>
      <c r="W1675"/>
      <c r="Y1675"/>
      <c r="Z1675"/>
      <c r="AA1675"/>
      <c r="AD1675"/>
      <c r="AE1675"/>
      <c r="AF1675"/>
      <c r="AH1675"/>
      <c r="AI1675"/>
      <c r="AJ1675"/>
      <c r="AM1675"/>
    </row>
    <row r="1676" spans="3:39">
      <c r="C1676"/>
      <c r="D1676"/>
      <c r="E1676"/>
      <c r="F1676"/>
      <c r="G1676"/>
      <c r="H1676"/>
      <c r="I1676" s="740"/>
      <c r="V1676"/>
      <c r="W1676"/>
      <c r="Y1676"/>
      <c r="Z1676"/>
      <c r="AA1676"/>
      <c r="AD1676"/>
      <c r="AE1676"/>
      <c r="AF1676"/>
      <c r="AH1676"/>
      <c r="AI1676"/>
      <c r="AJ1676"/>
      <c r="AM1676"/>
    </row>
    <row r="1677" spans="3:39">
      <c r="C1677"/>
      <c r="D1677"/>
      <c r="E1677"/>
      <c r="F1677"/>
      <c r="G1677"/>
      <c r="H1677"/>
      <c r="I1677" s="740"/>
      <c r="V1677"/>
      <c r="W1677"/>
      <c r="Y1677"/>
      <c r="Z1677"/>
      <c r="AA1677"/>
      <c r="AD1677"/>
      <c r="AE1677"/>
      <c r="AF1677"/>
      <c r="AH1677"/>
      <c r="AI1677"/>
      <c r="AJ1677"/>
      <c r="AM1677"/>
    </row>
    <row r="1678" spans="3:39">
      <c r="C1678"/>
      <c r="D1678"/>
      <c r="E1678"/>
      <c r="F1678"/>
      <c r="G1678"/>
      <c r="H1678"/>
      <c r="I1678" s="740"/>
      <c r="V1678"/>
      <c r="W1678"/>
      <c r="Y1678"/>
      <c r="Z1678"/>
      <c r="AA1678"/>
      <c r="AD1678"/>
      <c r="AE1678"/>
      <c r="AF1678"/>
      <c r="AH1678"/>
      <c r="AI1678"/>
      <c r="AJ1678"/>
      <c r="AM1678"/>
    </row>
    <row r="1679" spans="3:39">
      <c r="C1679"/>
      <c r="D1679"/>
      <c r="E1679"/>
      <c r="F1679"/>
      <c r="G1679"/>
      <c r="H1679"/>
      <c r="I1679" s="740"/>
      <c r="V1679"/>
      <c r="W1679"/>
      <c r="Y1679"/>
      <c r="Z1679"/>
      <c r="AA1679"/>
      <c r="AD1679"/>
      <c r="AE1679"/>
      <c r="AF1679"/>
      <c r="AH1679"/>
      <c r="AI1679"/>
      <c r="AJ1679"/>
      <c r="AM1679"/>
    </row>
    <row r="1680" spans="3:39">
      <c r="C1680"/>
      <c r="D1680"/>
      <c r="E1680"/>
      <c r="F1680"/>
      <c r="G1680"/>
      <c r="H1680"/>
      <c r="I1680" s="740"/>
      <c r="V1680"/>
      <c r="W1680"/>
      <c r="Y1680"/>
      <c r="Z1680"/>
      <c r="AA1680"/>
      <c r="AD1680"/>
      <c r="AE1680"/>
      <c r="AF1680"/>
      <c r="AH1680"/>
      <c r="AI1680"/>
      <c r="AJ1680"/>
      <c r="AM1680"/>
    </row>
    <row r="1681" spans="3:39">
      <c r="C1681"/>
      <c r="D1681"/>
      <c r="E1681"/>
      <c r="F1681"/>
      <c r="G1681"/>
      <c r="H1681"/>
      <c r="I1681" s="740"/>
      <c r="V1681"/>
      <c r="W1681"/>
      <c r="Y1681"/>
      <c r="Z1681"/>
      <c r="AA1681"/>
      <c r="AD1681"/>
      <c r="AE1681"/>
      <c r="AF1681"/>
      <c r="AH1681"/>
      <c r="AI1681"/>
      <c r="AJ1681"/>
      <c r="AM1681"/>
    </row>
    <row r="1682" spans="3:39">
      <c r="C1682"/>
      <c r="D1682"/>
      <c r="E1682"/>
      <c r="F1682"/>
      <c r="G1682"/>
      <c r="H1682"/>
      <c r="I1682" s="740"/>
      <c r="V1682"/>
      <c r="W1682"/>
      <c r="Y1682"/>
      <c r="Z1682"/>
      <c r="AA1682"/>
      <c r="AD1682"/>
      <c r="AE1682"/>
      <c r="AF1682"/>
      <c r="AH1682"/>
      <c r="AI1682"/>
      <c r="AJ1682"/>
      <c r="AM1682"/>
    </row>
    <row r="1683" spans="3:39">
      <c r="C1683"/>
      <c r="D1683"/>
      <c r="E1683"/>
      <c r="F1683"/>
      <c r="G1683"/>
      <c r="H1683"/>
      <c r="I1683" s="740"/>
      <c r="V1683"/>
      <c r="W1683"/>
      <c r="Y1683"/>
      <c r="Z1683"/>
      <c r="AA1683"/>
      <c r="AD1683"/>
      <c r="AE1683"/>
      <c r="AF1683"/>
      <c r="AH1683"/>
      <c r="AI1683"/>
      <c r="AJ1683"/>
      <c r="AM1683"/>
    </row>
    <row r="1684" spans="3:39">
      <c r="C1684"/>
      <c r="D1684"/>
      <c r="E1684"/>
      <c r="F1684"/>
      <c r="G1684"/>
      <c r="H1684"/>
      <c r="I1684" s="740"/>
      <c r="V1684"/>
      <c r="W1684"/>
      <c r="Y1684"/>
      <c r="Z1684"/>
      <c r="AA1684"/>
      <c r="AD1684"/>
      <c r="AE1684"/>
      <c r="AF1684"/>
      <c r="AH1684"/>
      <c r="AI1684"/>
      <c r="AJ1684"/>
      <c r="AM1684"/>
    </row>
    <row r="1685" spans="3:39">
      <c r="C1685"/>
      <c r="D1685"/>
      <c r="E1685"/>
      <c r="F1685"/>
      <c r="G1685"/>
      <c r="H1685"/>
      <c r="I1685" s="740"/>
      <c r="V1685"/>
      <c r="W1685"/>
      <c r="Y1685"/>
      <c r="Z1685"/>
      <c r="AA1685"/>
      <c r="AD1685"/>
      <c r="AE1685"/>
      <c r="AF1685"/>
      <c r="AH1685"/>
      <c r="AI1685"/>
      <c r="AJ1685"/>
      <c r="AM1685"/>
    </row>
    <row r="1686" spans="3:39">
      <c r="C1686"/>
      <c r="D1686"/>
      <c r="E1686"/>
      <c r="F1686"/>
      <c r="G1686"/>
      <c r="H1686"/>
      <c r="I1686" s="740"/>
      <c r="V1686"/>
      <c r="W1686"/>
      <c r="Y1686"/>
      <c r="Z1686"/>
      <c r="AA1686"/>
      <c r="AD1686"/>
      <c r="AE1686"/>
      <c r="AF1686"/>
      <c r="AH1686"/>
      <c r="AI1686"/>
      <c r="AJ1686"/>
      <c r="AM1686"/>
    </row>
    <row r="1687" spans="3:39">
      <c r="C1687"/>
      <c r="D1687"/>
      <c r="E1687"/>
      <c r="F1687"/>
      <c r="G1687"/>
      <c r="H1687"/>
      <c r="I1687" s="740"/>
      <c r="V1687"/>
      <c r="W1687"/>
      <c r="Y1687"/>
      <c r="Z1687"/>
      <c r="AA1687"/>
      <c r="AD1687"/>
      <c r="AE1687"/>
      <c r="AF1687"/>
      <c r="AH1687"/>
      <c r="AI1687"/>
      <c r="AJ1687"/>
      <c r="AM1687"/>
    </row>
    <row r="1688" spans="3:39">
      <c r="C1688"/>
      <c r="D1688"/>
      <c r="E1688"/>
      <c r="F1688"/>
      <c r="G1688"/>
      <c r="H1688"/>
      <c r="I1688" s="740"/>
      <c r="V1688"/>
      <c r="W1688"/>
      <c r="Y1688"/>
      <c r="Z1688"/>
      <c r="AA1688"/>
      <c r="AD1688"/>
      <c r="AE1688"/>
      <c r="AF1688"/>
      <c r="AH1688"/>
      <c r="AI1688"/>
      <c r="AJ1688"/>
      <c r="AM1688"/>
    </row>
    <row r="1689" spans="3:39">
      <c r="C1689"/>
      <c r="D1689"/>
      <c r="E1689"/>
      <c r="F1689"/>
      <c r="G1689"/>
      <c r="H1689"/>
      <c r="I1689" s="740"/>
      <c r="V1689"/>
      <c r="W1689"/>
      <c r="Y1689"/>
      <c r="Z1689"/>
      <c r="AA1689"/>
      <c r="AD1689"/>
      <c r="AE1689"/>
      <c r="AF1689"/>
      <c r="AH1689"/>
      <c r="AI1689"/>
      <c r="AJ1689"/>
      <c r="AM1689"/>
    </row>
    <row r="1690" spans="3:39">
      <c r="C1690"/>
      <c r="D1690"/>
      <c r="E1690"/>
      <c r="F1690"/>
      <c r="G1690"/>
      <c r="H1690"/>
      <c r="I1690" s="740"/>
      <c r="V1690"/>
      <c r="W1690"/>
      <c r="Y1690"/>
      <c r="Z1690"/>
      <c r="AA1690"/>
      <c r="AD1690"/>
      <c r="AE1690"/>
      <c r="AF1690"/>
      <c r="AH1690"/>
      <c r="AI1690"/>
      <c r="AJ1690"/>
      <c r="AM1690"/>
    </row>
    <row r="1691" spans="3:39">
      <c r="C1691"/>
      <c r="D1691"/>
      <c r="E1691"/>
      <c r="F1691"/>
      <c r="G1691"/>
      <c r="H1691"/>
      <c r="I1691" s="740"/>
      <c r="V1691"/>
      <c r="W1691"/>
      <c r="Y1691"/>
      <c r="Z1691"/>
      <c r="AA1691"/>
      <c r="AD1691"/>
      <c r="AE1691"/>
      <c r="AF1691"/>
      <c r="AH1691"/>
      <c r="AI1691"/>
      <c r="AJ1691"/>
      <c r="AM1691"/>
    </row>
    <row r="1692" spans="3:39">
      <c r="C1692"/>
      <c r="D1692"/>
      <c r="E1692"/>
      <c r="F1692"/>
      <c r="G1692"/>
      <c r="H1692"/>
      <c r="I1692" s="740"/>
      <c r="V1692"/>
      <c r="W1692"/>
      <c r="Y1692"/>
      <c r="Z1692"/>
      <c r="AA1692"/>
      <c r="AD1692"/>
      <c r="AE1692"/>
      <c r="AF1692"/>
      <c r="AH1692"/>
      <c r="AI1692"/>
      <c r="AJ1692"/>
      <c r="AM1692"/>
    </row>
    <row r="1693" spans="3:39">
      <c r="C1693"/>
      <c r="D1693"/>
      <c r="E1693"/>
      <c r="F1693"/>
      <c r="G1693"/>
      <c r="H1693"/>
      <c r="I1693" s="740"/>
      <c r="V1693"/>
      <c r="W1693"/>
      <c r="Y1693"/>
      <c r="Z1693"/>
      <c r="AA1693"/>
      <c r="AD1693"/>
      <c r="AE1693"/>
      <c r="AF1693"/>
      <c r="AH1693"/>
      <c r="AI1693"/>
      <c r="AJ1693"/>
      <c r="AM1693"/>
    </row>
    <row r="1694" spans="3:39">
      <c r="C1694"/>
      <c r="D1694"/>
      <c r="E1694"/>
      <c r="F1694"/>
      <c r="G1694"/>
      <c r="H1694"/>
      <c r="I1694" s="740"/>
      <c r="V1694"/>
      <c r="W1694"/>
      <c r="Y1694"/>
      <c r="Z1694"/>
      <c r="AA1694"/>
      <c r="AD1694"/>
      <c r="AE1694"/>
      <c r="AF1694"/>
      <c r="AH1694"/>
      <c r="AI1694"/>
      <c r="AJ1694"/>
      <c r="AM1694"/>
    </row>
    <row r="1695" spans="3:39">
      <c r="C1695"/>
      <c r="D1695"/>
      <c r="E1695"/>
      <c r="F1695"/>
      <c r="G1695"/>
      <c r="H1695"/>
      <c r="I1695" s="740"/>
      <c r="V1695"/>
      <c r="W1695"/>
      <c r="Y1695"/>
      <c r="Z1695"/>
      <c r="AA1695"/>
      <c r="AD1695"/>
      <c r="AE1695"/>
      <c r="AF1695"/>
      <c r="AH1695"/>
      <c r="AI1695"/>
      <c r="AJ1695"/>
      <c r="AM1695"/>
    </row>
    <row r="1696" spans="3:39">
      <c r="C1696"/>
      <c r="D1696"/>
      <c r="E1696"/>
      <c r="F1696"/>
      <c r="G1696"/>
      <c r="H1696"/>
      <c r="I1696" s="740"/>
      <c r="V1696"/>
      <c r="W1696"/>
      <c r="Y1696"/>
      <c r="Z1696"/>
      <c r="AA1696"/>
      <c r="AD1696"/>
      <c r="AE1696"/>
      <c r="AF1696"/>
      <c r="AH1696"/>
      <c r="AI1696"/>
      <c r="AJ1696"/>
      <c r="AM1696"/>
    </row>
    <row r="1697" spans="3:39">
      <c r="C1697"/>
      <c r="D1697"/>
      <c r="E1697"/>
      <c r="F1697"/>
      <c r="G1697"/>
      <c r="H1697"/>
      <c r="I1697" s="740"/>
      <c r="V1697"/>
      <c r="W1697"/>
      <c r="Y1697"/>
      <c r="Z1697"/>
      <c r="AA1697"/>
      <c r="AD1697"/>
      <c r="AE1697"/>
      <c r="AF1697"/>
      <c r="AH1697"/>
      <c r="AI1697"/>
      <c r="AJ1697"/>
      <c r="AM1697"/>
    </row>
    <row r="1698" spans="3:39">
      <c r="C1698"/>
      <c r="D1698"/>
      <c r="E1698"/>
      <c r="F1698"/>
      <c r="G1698"/>
      <c r="H1698"/>
      <c r="I1698" s="740"/>
      <c r="V1698"/>
      <c r="W1698"/>
      <c r="Y1698"/>
      <c r="Z1698"/>
      <c r="AA1698"/>
      <c r="AD1698"/>
      <c r="AE1698"/>
      <c r="AF1698"/>
      <c r="AH1698"/>
      <c r="AI1698"/>
      <c r="AJ1698"/>
      <c r="AM1698"/>
    </row>
    <row r="1699" spans="3:39">
      <c r="C1699"/>
      <c r="D1699"/>
      <c r="E1699"/>
      <c r="F1699"/>
      <c r="G1699"/>
      <c r="H1699"/>
      <c r="I1699" s="740"/>
      <c r="V1699"/>
      <c r="W1699"/>
      <c r="Y1699"/>
      <c r="Z1699"/>
      <c r="AA1699"/>
      <c r="AD1699"/>
      <c r="AE1699"/>
      <c r="AF1699"/>
      <c r="AH1699"/>
      <c r="AI1699"/>
      <c r="AJ1699"/>
      <c r="AM1699"/>
    </row>
    <row r="1700" spans="3:39">
      <c r="C1700"/>
      <c r="D1700"/>
      <c r="E1700"/>
      <c r="F1700"/>
      <c r="G1700"/>
      <c r="H1700"/>
      <c r="I1700" s="740"/>
      <c r="V1700"/>
      <c r="W1700"/>
      <c r="Y1700"/>
      <c r="Z1700"/>
      <c r="AA1700"/>
      <c r="AD1700"/>
      <c r="AE1700"/>
      <c r="AF1700"/>
      <c r="AH1700"/>
      <c r="AI1700"/>
      <c r="AJ1700"/>
      <c r="AM1700"/>
    </row>
    <row r="1701" spans="3:39">
      <c r="C1701"/>
      <c r="D1701"/>
      <c r="E1701"/>
      <c r="F1701"/>
      <c r="G1701"/>
      <c r="H1701"/>
      <c r="I1701" s="740"/>
      <c r="V1701"/>
      <c r="W1701"/>
      <c r="Y1701"/>
      <c r="Z1701"/>
      <c r="AA1701"/>
      <c r="AD1701"/>
      <c r="AE1701"/>
      <c r="AF1701"/>
      <c r="AH1701"/>
      <c r="AI1701"/>
      <c r="AJ1701"/>
      <c r="AM1701"/>
    </row>
    <row r="1702" spans="3:39">
      <c r="C1702"/>
      <c r="D1702"/>
      <c r="E1702"/>
      <c r="F1702"/>
      <c r="G1702"/>
      <c r="H1702"/>
      <c r="I1702" s="740"/>
      <c r="V1702"/>
      <c r="W1702"/>
      <c r="Y1702"/>
      <c r="Z1702"/>
      <c r="AA1702"/>
      <c r="AD1702"/>
      <c r="AE1702"/>
      <c r="AF1702"/>
      <c r="AH1702"/>
      <c r="AI1702"/>
      <c r="AJ1702"/>
      <c r="AM1702"/>
    </row>
    <row r="1703" spans="3:39">
      <c r="C1703"/>
      <c r="D1703"/>
      <c r="E1703"/>
      <c r="F1703"/>
      <c r="G1703"/>
      <c r="H1703"/>
      <c r="I1703" s="740"/>
      <c r="V1703"/>
      <c r="W1703"/>
      <c r="Y1703"/>
      <c r="Z1703"/>
      <c r="AA1703"/>
      <c r="AD1703"/>
      <c r="AE1703"/>
      <c r="AF1703"/>
      <c r="AH1703"/>
      <c r="AI1703"/>
      <c r="AJ1703"/>
      <c r="AM1703"/>
    </row>
    <row r="1704" spans="3:39">
      <c r="C1704"/>
      <c r="D1704"/>
      <c r="E1704"/>
      <c r="F1704"/>
      <c r="G1704"/>
      <c r="H1704"/>
      <c r="I1704" s="740"/>
      <c r="V1704"/>
      <c r="W1704"/>
      <c r="Y1704"/>
      <c r="Z1704"/>
      <c r="AA1704"/>
      <c r="AD1704"/>
      <c r="AE1704"/>
      <c r="AF1704"/>
      <c r="AH1704"/>
      <c r="AI1704"/>
      <c r="AJ1704"/>
      <c r="AM1704"/>
    </row>
    <row r="1705" spans="3:39">
      <c r="C1705"/>
      <c r="D1705"/>
      <c r="E1705"/>
      <c r="F1705"/>
      <c r="G1705"/>
      <c r="H1705"/>
      <c r="I1705" s="740"/>
      <c r="V1705"/>
      <c r="W1705"/>
      <c r="Y1705"/>
      <c r="Z1705"/>
      <c r="AA1705"/>
      <c r="AD1705"/>
      <c r="AE1705"/>
      <c r="AF1705"/>
      <c r="AH1705"/>
      <c r="AI1705"/>
      <c r="AJ1705"/>
      <c r="AM1705"/>
    </row>
    <row r="1706" spans="3:39">
      <c r="C1706"/>
      <c r="D1706"/>
      <c r="E1706"/>
      <c r="F1706"/>
      <c r="G1706"/>
      <c r="H1706"/>
      <c r="I1706" s="740"/>
      <c r="V1706"/>
      <c r="W1706"/>
      <c r="Y1706"/>
      <c r="Z1706"/>
      <c r="AA1706"/>
      <c r="AD1706"/>
      <c r="AE1706"/>
      <c r="AF1706"/>
      <c r="AH1706"/>
      <c r="AI1706"/>
      <c r="AJ1706"/>
      <c r="AM1706"/>
    </row>
    <row r="1707" spans="3:39">
      <c r="C1707"/>
      <c r="D1707"/>
      <c r="E1707"/>
      <c r="F1707"/>
      <c r="G1707"/>
      <c r="H1707"/>
      <c r="I1707" s="740"/>
      <c r="V1707"/>
      <c r="W1707"/>
      <c r="Y1707"/>
      <c r="Z1707"/>
      <c r="AA1707"/>
      <c r="AD1707"/>
      <c r="AE1707"/>
      <c r="AF1707"/>
      <c r="AH1707"/>
      <c r="AI1707"/>
      <c r="AJ1707"/>
      <c r="AM1707"/>
    </row>
    <row r="1708" spans="3:39">
      <c r="C1708"/>
      <c r="D1708"/>
      <c r="E1708"/>
      <c r="F1708"/>
      <c r="G1708"/>
      <c r="H1708"/>
      <c r="I1708" s="740"/>
      <c r="V1708"/>
      <c r="W1708"/>
      <c r="Y1708"/>
      <c r="Z1708"/>
      <c r="AA1708"/>
      <c r="AD1708"/>
      <c r="AE1708"/>
      <c r="AF1708"/>
      <c r="AH1708"/>
      <c r="AI1708"/>
      <c r="AJ1708"/>
      <c r="AM1708"/>
    </row>
    <row r="1709" spans="3:39">
      <c r="C1709"/>
      <c r="D1709"/>
      <c r="E1709"/>
      <c r="F1709"/>
      <c r="G1709"/>
      <c r="H1709"/>
      <c r="I1709" s="740"/>
      <c r="V1709"/>
      <c r="W1709"/>
      <c r="Y1709"/>
      <c r="Z1709"/>
      <c r="AA1709"/>
      <c r="AD1709"/>
      <c r="AE1709"/>
      <c r="AF1709"/>
      <c r="AH1709"/>
      <c r="AI1709"/>
      <c r="AJ1709"/>
      <c r="AM1709"/>
    </row>
    <row r="1710" spans="3:39">
      <c r="C1710"/>
      <c r="D1710"/>
      <c r="E1710"/>
      <c r="F1710"/>
      <c r="G1710"/>
      <c r="H1710"/>
      <c r="I1710" s="740"/>
      <c r="V1710"/>
      <c r="W1710"/>
      <c r="Y1710"/>
      <c r="Z1710"/>
      <c r="AA1710"/>
      <c r="AD1710"/>
      <c r="AE1710"/>
      <c r="AF1710"/>
      <c r="AH1710"/>
      <c r="AI1710"/>
      <c r="AJ1710"/>
      <c r="AM1710"/>
    </row>
    <row r="1711" spans="3:39">
      <c r="C1711"/>
      <c r="D1711"/>
      <c r="E1711"/>
      <c r="F1711"/>
      <c r="G1711"/>
      <c r="H1711"/>
      <c r="I1711" s="740"/>
      <c r="V1711"/>
      <c r="W1711"/>
      <c r="Y1711"/>
      <c r="Z1711"/>
      <c r="AA1711"/>
      <c r="AD1711"/>
      <c r="AE1711"/>
      <c r="AF1711"/>
      <c r="AH1711"/>
      <c r="AI1711"/>
      <c r="AJ1711"/>
      <c r="AM1711"/>
    </row>
    <row r="1712" spans="3:39">
      <c r="C1712"/>
      <c r="D1712"/>
      <c r="E1712"/>
      <c r="F1712"/>
      <c r="G1712"/>
      <c r="H1712"/>
      <c r="I1712" s="740"/>
      <c r="V1712"/>
      <c r="W1712"/>
      <c r="Y1712"/>
      <c r="Z1712"/>
      <c r="AA1712"/>
      <c r="AD1712"/>
      <c r="AE1712"/>
      <c r="AF1712"/>
      <c r="AH1712"/>
      <c r="AI1712"/>
      <c r="AJ1712"/>
      <c r="AM1712"/>
    </row>
    <row r="1713" spans="3:39">
      <c r="C1713"/>
      <c r="D1713"/>
      <c r="E1713"/>
      <c r="F1713"/>
      <c r="G1713"/>
      <c r="H1713"/>
      <c r="I1713" s="740"/>
      <c r="V1713"/>
      <c r="W1713"/>
      <c r="Y1713"/>
      <c r="Z1713"/>
      <c r="AA1713"/>
      <c r="AD1713"/>
      <c r="AE1713"/>
      <c r="AF1713"/>
      <c r="AH1713"/>
      <c r="AI1713"/>
      <c r="AJ1713"/>
      <c r="AM1713"/>
    </row>
    <row r="1714" spans="3:39">
      <c r="C1714"/>
      <c r="D1714"/>
      <c r="E1714"/>
      <c r="F1714"/>
      <c r="G1714"/>
      <c r="H1714"/>
      <c r="I1714" s="740"/>
      <c r="V1714"/>
      <c r="W1714"/>
      <c r="Y1714"/>
      <c r="Z1714"/>
      <c r="AA1714"/>
      <c r="AD1714"/>
      <c r="AE1714"/>
      <c r="AF1714"/>
      <c r="AH1714"/>
      <c r="AI1714"/>
      <c r="AJ1714"/>
      <c r="AM1714"/>
    </row>
    <row r="1715" spans="3:39">
      <c r="C1715"/>
      <c r="D1715"/>
      <c r="E1715"/>
      <c r="F1715"/>
      <c r="G1715"/>
      <c r="H1715"/>
      <c r="I1715" s="740"/>
      <c r="V1715"/>
      <c r="W1715"/>
      <c r="Y1715"/>
      <c r="Z1715"/>
      <c r="AA1715"/>
      <c r="AD1715"/>
      <c r="AE1715"/>
      <c r="AF1715"/>
      <c r="AH1715"/>
      <c r="AI1715"/>
      <c r="AJ1715"/>
      <c r="AM1715"/>
    </row>
    <row r="1716" spans="3:39">
      <c r="C1716"/>
      <c r="D1716"/>
      <c r="E1716"/>
      <c r="F1716"/>
      <c r="G1716"/>
      <c r="H1716"/>
      <c r="I1716" s="740"/>
      <c r="V1716"/>
      <c r="W1716"/>
      <c r="Y1716"/>
      <c r="Z1716"/>
      <c r="AA1716"/>
      <c r="AD1716"/>
      <c r="AE1716"/>
      <c r="AF1716"/>
      <c r="AH1716"/>
      <c r="AI1716"/>
      <c r="AJ1716"/>
      <c r="AM1716"/>
    </row>
    <row r="1717" spans="3:39">
      <c r="C1717"/>
      <c r="D1717"/>
      <c r="E1717"/>
      <c r="F1717"/>
      <c r="G1717"/>
      <c r="H1717"/>
      <c r="I1717" s="740"/>
      <c r="V1717"/>
      <c r="W1717"/>
      <c r="Y1717"/>
      <c r="Z1717"/>
      <c r="AA1717"/>
      <c r="AD1717"/>
      <c r="AE1717"/>
      <c r="AF1717"/>
      <c r="AH1717"/>
      <c r="AI1717"/>
      <c r="AJ1717"/>
      <c r="AM1717"/>
    </row>
    <row r="1718" spans="3:39">
      <c r="C1718"/>
      <c r="D1718"/>
      <c r="E1718"/>
      <c r="F1718"/>
      <c r="G1718"/>
      <c r="H1718"/>
      <c r="I1718" s="740"/>
      <c r="V1718"/>
      <c r="W1718"/>
      <c r="Y1718"/>
      <c r="Z1718"/>
      <c r="AA1718"/>
      <c r="AD1718"/>
      <c r="AE1718"/>
      <c r="AF1718"/>
      <c r="AH1718"/>
      <c r="AI1718"/>
      <c r="AJ1718"/>
      <c r="AM1718"/>
    </row>
    <row r="1719" spans="3:39">
      <c r="C1719"/>
      <c r="D1719"/>
      <c r="E1719"/>
      <c r="F1719"/>
      <c r="G1719"/>
      <c r="H1719"/>
      <c r="I1719" s="740"/>
      <c r="V1719"/>
      <c r="W1719"/>
      <c r="Y1719"/>
      <c r="Z1719"/>
      <c r="AA1719"/>
      <c r="AD1719"/>
      <c r="AE1719"/>
      <c r="AF1719"/>
      <c r="AH1719"/>
      <c r="AI1719"/>
      <c r="AJ1719"/>
      <c r="AM1719"/>
    </row>
    <row r="1720" spans="3:39">
      <c r="C1720"/>
      <c r="D1720"/>
      <c r="E1720"/>
      <c r="F1720"/>
      <c r="G1720"/>
      <c r="H1720"/>
      <c r="I1720" s="740"/>
      <c r="V1720"/>
      <c r="W1720"/>
      <c r="Y1720"/>
      <c r="Z1720"/>
      <c r="AA1720"/>
      <c r="AD1720"/>
      <c r="AE1720"/>
      <c r="AF1720"/>
      <c r="AH1720"/>
      <c r="AI1720"/>
      <c r="AJ1720"/>
      <c r="AM1720"/>
    </row>
    <row r="1721" spans="3:39">
      <c r="C1721"/>
      <c r="D1721"/>
      <c r="E1721"/>
      <c r="F1721"/>
      <c r="G1721"/>
      <c r="H1721"/>
      <c r="I1721" s="740"/>
      <c r="V1721"/>
      <c r="W1721"/>
      <c r="Y1721"/>
      <c r="Z1721"/>
      <c r="AA1721"/>
      <c r="AD1721"/>
      <c r="AE1721"/>
      <c r="AF1721"/>
      <c r="AH1721"/>
      <c r="AI1721"/>
      <c r="AJ1721"/>
      <c r="AM1721"/>
    </row>
    <row r="1722" spans="3:39">
      <c r="C1722"/>
      <c r="D1722"/>
      <c r="E1722"/>
      <c r="F1722"/>
      <c r="G1722"/>
      <c r="H1722"/>
      <c r="I1722" s="740"/>
      <c r="V1722"/>
      <c r="W1722"/>
      <c r="Y1722"/>
      <c r="Z1722"/>
      <c r="AA1722"/>
      <c r="AD1722"/>
      <c r="AE1722"/>
      <c r="AF1722"/>
      <c r="AH1722"/>
      <c r="AI1722"/>
      <c r="AJ1722"/>
      <c r="AM1722"/>
    </row>
    <row r="1723" spans="3:39">
      <c r="C1723"/>
      <c r="D1723"/>
      <c r="E1723"/>
      <c r="F1723"/>
      <c r="G1723"/>
      <c r="H1723"/>
      <c r="I1723" s="740"/>
      <c r="V1723"/>
      <c r="W1723"/>
      <c r="Y1723"/>
      <c r="Z1723"/>
      <c r="AA1723"/>
      <c r="AD1723"/>
      <c r="AE1723"/>
      <c r="AF1723"/>
      <c r="AH1723"/>
      <c r="AI1723"/>
      <c r="AJ1723"/>
      <c r="AM1723"/>
    </row>
    <row r="1724" spans="3:39">
      <c r="C1724"/>
      <c r="D1724"/>
      <c r="E1724"/>
      <c r="F1724"/>
      <c r="G1724"/>
      <c r="H1724"/>
      <c r="I1724" s="740"/>
      <c r="V1724"/>
      <c r="W1724"/>
      <c r="Y1724"/>
      <c r="Z1724"/>
      <c r="AA1724"/>
      <c r="AD1724"/>
      <c r="AE1724"/>
      <c r="AF1724"/>
      <c r="AH1724"/>
      <c r="AI1724"/>
      <c r="AJ1724"/>
      <c r="AM1724"/>
    </row>
    <row r="1725" spans="3:39">
      <c r="C1725"/>
      <c r="D1725"/>
      <c r="E1725"/>
      <c r="F1725"/>
      <c r="G1725"/>
      <c r="H1725"/>
      <c r="I1725" s="740"/>
      <c r="V1725"/>
      <c r="W1725"/>
      <c r="Y1725"/>
      <c r="Z1725"/>
      <c r="AA1725"/>
      <c r="AD1725"/>
      <c r="AE1725"/>
      <c r="AF1725"/>
      <c r="AH1725"/>
      <c r="AI1725"/>
      <c r="AJ1725"/>
      <c r="AM1725"/>
    </row>
    <row r="1726" spans="3:39">
      <c r="C1726"/>
      <c r="D1726"/>
      <c r="E1726"/>
      <c r="F1726"/>
      <c r="G1726"/>
      <c r="H1726"/>
      <c r="I1726" s="740"/>
      <c r="V1726"/>
      <c r="W1726"/>
      <c r="Y1726"/>
      <c r="Z1726"/>
      <c r="AA1726"/>
      <c r="AD1726"/>
      <c r="AE1726"/>
      <c r="AF1726"/>
      <c r="AH1726"/>
      <c r="AI1726"/>
      <c r="AJ1726"/>
      <c r="AM1726"/>
    </row>
    <row r="1727" spans="3:39">
      <c r="C1727"/>
      <c r="D1727"/>
      <c r="E1727"/>
      <c r="F1727"/>
      <c r="G1727"/>
      <c r="H1727"/>
      <c r="I1727" s="740"/>
      <c r="V1727"/>
      <c r="W1727"/>
      <c r="Y1727"/>
      <c r="Z1727"/>
      <c r="AA1727"/>
      <c r="AD1727"/>
      <c r="AE1727"/>
      <c r="AF1727"/>
      <c r="AH1727"/>
      <c r="AI1727"/>
      <c r="AJ1727"/>
      <c r="AM1727"/>
    </row>
    <row r="1728" spans="3:39">
      <c r="C1728"/>
      <c r="D1728"/>
      <c r="E1728"/>
      <c r="F1728"/>
      <c r="G1728"/>
      <c r="H1728"/>
      <c r="I1728" s="740"/>
      <c r="V1728"/>
      <c r="W1728"/>
      <c r="Y1728"/>
      <c r="Z1728"/>
      <c r="AA1728"/>
      <c r="AD1728"/>
      <c r="AE1728"/>
      <c r="AF1728"/>
      <c r="AH1728"/>
      <c r="AI1728"/>
      <c r="AJ1728"/>
      <c r="AM1728"/>
    </row>
    <row r="1729" spans="3:39">
      <c r="C1729"/>
      <c r="D1729"/>
      <c r="E1729"/>
      <c r="F1729"/>
      <c r="G1729"/>
      <c r="H1729"/>
      <c r="I1729" s="740"/>
      <c r="V1729"/>
      <c r="W1729"/>
      <c r="Y1729"/>
      <c r="Z1729"/>
      <c r="AA1729"/>
      <c r="AD1729"/>
      <c r="AE1729"/>
      <c r="AF1729"/>
      <c r="AH1729"/>
      <c r="AI1729"/>
      <c r="AJ1729"/>
      <c r="AM1729"/>
    </row>
    <row r="1730" spans="3:39">
      <c r="C1730"/>
      <c r="D1730"/>
      <c r="E1730"/>
      <c r="F1730"/>
      <c r="G1730"/>
      <c r="H1730"/>
      <c r="I1730" s="740"/>
      <c r="V1730"/>
      <c r="W1730"/>
      <c r="Y1730"/>
      <c r="Z1730"/>
      <c r="AA1730"/>
      <c r="AD1730"/>
      <c r="AE1730"/>
      <c r="AF1730"/>
      <c r="AH1730"/>
      <c r="AI1730"/>
      <c r="AJ1730"/>
      <c r="AM1730"/>
    </row>
    <row r="1731" spans="3:39">
      <c r="C1731"/>
      <c r="D1731"/>
      <c r="E1731"/>
      <c r="F1731"/>
      <c r="G1731"/>
      <c r="H1731"/>
      <c r="I1731" s="740"/>
      <c r="V1731"/>
      <c r="W1731"/>
      <c r="Y1731"/>
      <c r="Z1731"/>
      <c r="AA1731"/>
      <c r="AD1731"/>
      <c r="AE1731"/>
      <c r="AF1731"/>
      <c r="AH1731"/>
      <c r="AI1731"/>
      <c r="AJ1731"/>
      <c r="AM1731"/>
    </row>
    <row r="1732" spans="3:39">
      <c r="C1732"/>
      <c r="D1732"/>
      <c r="E1732"/>
      <c r="F1732"/>
      <c r="G1732"/>
      <c r="H1732"/>
      <c r="I1732" s="740"/>
      <c r="V1732"/>
      <c r="W1732"/>
      <c r="Y1732"/>
      <c r="Z1732"/>
      <c r="AA1732"/>
      <c r="AD1732"/>
      <c r="AE1732"/>
      <c r="AF1732"/>
      <c r="AH1732"/>
      <c r="AI1732"/>
      <c r="AJ1732"/>
      <c r="AM1732"/>
    </row>
    <row r="1733" spans="3:39">
      <c r="C1733"/>
      <c r="D1733"/>
      <c r="E1733"/>
      <c r="F1733"/>
      <c r="G1733"/>
      <c r="H1733"/>
      <c r="I1733" s="740"/>
      <c r="V1733"/>
      <c r="W1733"/>
      <c r="Y1733"/>
      <c r="Z1733"/>
      <c r="AA1733"/>
      <c r="AD1733"/>
      <c r="AE1733"/>
      <c r="AF1733"/>
      <c r="AH1733"/>
      <c r="AI1733"/>
      <c r="AJ1733"/>
      <c r="AM1733"/>
    </row>
    <row r="1734" spans="3:39">
      <c r="C1734"/>
      <c r="D1734"/>
      <c r="E1734"/>
      <c r="F1734"/>
      <c r="G1734"/>
      <c r="H1734"/>
      <c r="I1734" s="740"/>
      <c r="V1734"/>
      <c r="W1734"/>
      <c r="Y1734"/>
      <c r="Z1734"/>
      <c r="AA1734"/>
      <c r="AD1734"/>
      <c r="AE1734"/>
      <c r="AF1734"/>
      <c r="AH1734"/>
      <c r="AI1734"/>
      <c r="AJ1734"/>
      <c r="AM1734"/>
    </row>
    <row r="1735" spans="3:39">
      <c r="C1735"/>
      <c r="D1735"/>
      <c r="E1735"/>
      <c r="F1735"/>
      <c r="G1735"/>
      <c r="H1735"/>
      <c r="I1735" s="740"/>
      <c r="V1735"/>
      <c r="W1735"/>
      <c r="Y1735"/>
      <c r="Z1735"/>
      <c r="AA1735"/>
      <c r="AD1735"/>
      <c r="AE1735"/>
      <c r="AF1735"/>
      <c r="AH1735"/>
      <c r="AI1735"/>
      <c r="AJ1735"/>
      <c r="AM1735"/>
    </row>
    <row r="1736" spans="3:39">
      <c r="C1736"/>
      <c r="D1736"/>
      <c r="E1736"/>
      <c r="F1736"/>
      <c r="G1736"/>
      <c r="H1736"/>
      <c r="I1736" s="740"/>
      <c r="V1736"/>
      <c r="W1736"/>
      <c r="Y1736"/>
      <c r="Z1736"/>
      <c r="AA1736"/>
      <c r="AD1736"/>
      <c r="AE1736"/>
      <c r="AF1736"/>
      <c r="AH1736"/>
      <c r="AI1736"/>
      <c r="AJ1736"/>
      <c r="AM1736"/>
    </row>
    <row r="1737" spans="3:39">
      <c r="C1737"/>
      <c r="D1737"/>
      <c r="E1737"/>
      <c r="F1737"/>
      <c r="G1737"/>
      <c r="H1737"/>
      <c r="I1737" s="740"/>
      <c r="V1737"/>
      <c r="W1737"/>
      <c r="Y1737"/>
      <c r="Z1737"/>
      <c r="AA1737"/>
      <c r="AD1737"/>
      <c r="AE1737"/>
      <c r="AF1737"/>
      <c r="AH1737"/>
      <c r="AI1737"/>
      <c r="AJ1737"/>
      <c r="AM1737"/>
    </row>
    <row r="1738" spans="3:39">
      <c r="C1738"/>
      <c r="D1738"/>
      <c r="E1738"/>
      <c r="F1738"/>
      <c r="G1738"/>
      <c r="H1738"/>
      <c r="I1738" s="740"/>
      <c r="V1738"/>
      <c r="W1738"/>
      <c r="Y1738"/>
      <c r="Z1738"/>
      <c r="AA1738"/>
      <c r="AD1738"/>
      <c r="AE1738"/>
      <c r="AF1738"/>
      <c r="AH1738"/>
      <c r="AI1738"/>
      <c r="AJ1738"/>
      <c r="AM1738"/>
    </row>
    <row r="1739" spans="3:39">
      <c r="C1739"/>
      <c r="D1739"/>
      <c r="E1739"/>
      <c r="F1739"/>
      <c r="G1739"/>
      <c r="H1739"/>
      <c r="I1739" s="740"/>
      <c r="V1739"/>
      <c r="W1739"/>
      <c r="Y1739"/>
      <c r="Z1739"/>
      <c r="AA1739"/>
      <c r="AD1739"/>
      <c r="AE1739"/>
      <c r="AF1739"/>
      <c r="AH1739"/>
      <c r="AI1739"/>
      <c r="AJ1739"/>
      <c r="AM1739"/>
    </row>
    <row r="1740" spans="3:39">
      <c r="C1740"/>
      <c r="D1740"/>
      <c r="E1740"/>
      <c r="F1740"/>
      <c r="G1740"/>
      <c r="H1740"/>
      <c r="I1740" s="740"/>
      <c r="V1740"/>
      <c r="W1740"/>
      <c r="Y1740"/>
      <c r="Z1740"/>
      <c r="AA1740"/>
      <c r="AD1740"/>
      <c r="AE1740"/>
      <c r="AF1740"/>
      <c r="AH1740"/>
      <c r="AI1740"/>
      <c r="AJ1740"/>
      <c r="AM1740"/>
    </row>
    <row r="1741" spans="3:39">
      <c r="C1741"/>
      <c r="D1741"/>
      <c r="E1741"/>
      <c r="F1741"/>
      <c r="G1741"/>
      <c r="H1741"/>
      <c r="I1741" s="740"/>
      <c r="V1741"/>
      <c r="W1741"/>
      <c r="Y1741"/>
      <c r="Z1741"/>
      <c r="AA1741"/>
      <c r="AD1741"/>
      <c r="AE1741"/>
      <c r="AF1741"/>
      <c r="AH1741"/>
      <c r="AI1741"/>
      <c r="AJ1741"/>
      <c r="AM1741"/>
    </row>
    <row r="1742" spans="3:39">
      <c r="C1742"/>
      <c r="D1742"/>
      <c r="E1742"/>
      <c r="F1742"/>
      <c r="G1742"/>
      <c r="H1742"/>
      <c r="I1742" s="740"/>
      <c r="V1742"/>
      <c r="W1742"/>
      <c r="Y1742"/>
      <c r="Z1742"/>
      <c r="AA1742"/>
      <c r="AD1742"/>
      <c r="AE1742"/>
      <c r="AF1742"/>
      <c r="AH1742"/>
      <c r="AI1742"/>
      <c r="AJ1742"/>
      <c r="AM1742"/>
    </row>
    <row r="1743" spans="3:39">
      <c r="C1743"/>
      <c r="D1743"/>
      <c r="E1743"/>
      <c r="F1743"/>
      <c r="G1743"/>
      <c r="H1743"/>
      <c r="I1743" s="740"/>
      <c r="V1743"/>
      <c r="W1743"/>
      <c r="Y1743"/>
      <c r="Z1743"/>
      <c r="AA1743"/>
      <c r="AD1743"/>
      <c r="AE1743"/>
      <c r="AF1743"/>
      <c r="AH1743"/>
      <c r="AI1743"/>
      <c r="AJ1743"/>
      <c r="AM1743"/>
    </row>
    <row r="1744" spans="3:39">
      <c r="C1744"/>
      <c r="D1744"/>
      <c r="E1744"/>
      <c r="F1744"/>
      <c r="G1744"/>
      <c r="H1744"/>
      <c r="I1744" s="740"/>
      <c r="V1744"/>
      <c r="W1744"/>
      <c r="Y1744"/>
      <c r="Z1744"/>
      <c r="AA1744"/>
      <c r="AD1744"/>
      <c r="AE1744"/>
      <c r="AF1744"/>
      <c r="AH1744"/>
      <c r="AI1744"/>
      <c r="AJ1744"/>
      <c r="AM1744"/>
    </row>
    <row r="1745" spans="3:39">
      <c r="C1745"/>
      <c r="D1745"/>
      <c r="E1745"/>
      <c r="F1745"/>
      <c r="G1745"/>
      <c r="H1745"/>
      <c r="I1745" s="740"/>
      <c r="V1745"/>
      <c r="W1745"/>
      <c r="Y1745"/>
      <c r="Z1745"/>
      <c r="AA1745"/>
      <c r="AD1745"/>
      <c r="AE1745"/>
      <c r="AF1745"/>
      <c r="AH1745"/>
      <c r="AI1745"/>
      <c r="AJ1745"/>
      <c r="AM1745"/>
    </row>
    <row r="1746" spans="3:39">
      <c r="C1746"/>
      <c r="D1746"/>
      <c r="E1746"/>
      <c r="F1746"/>
      <c r="G1746"/>
      <c r="H1746"/>
      <c r="I1746" s="740"/>
      <c r="V1746"/>
      <c r="W1746"/>
      <c r="Y1746"/>
      <c r="Z1746"/>
      <c r="AA1746"/>
      <c r="AD1746"/>
      <c r="AE1746"/>
      <c r="AF1746"/>
      <c r="AH1746"/>
      <c r="AI1746"/>
      <c r="AJ1746"/>
      <c r="AM1746"/>
    </row>
    <row r="1747" spans="3:39">
      <c r="C1747"/>
      <c r="D1747"/>
      <c r="E1747"/>
      <c r="F1747"/>
      <c r="G1747"/>
      <c r="H1747"/>
      <c r="I1747" s="740"/>
      <c r="V1747"/>
      <c r="W1747"/>
      <c r="Y1747"/>
      <c r="Z1747"/>
      <c r="AA1747"/>
      <c r="AD1747"/>
      <c r="AE1747"/>
      <c r="AF1747"/>
      <c r="AH1747"/>
      <c r="AI1747"/>
      <c r="AJ1747"/>
      <c r="AM1747"/>
    </row>
    <row r="1748" spans="3:39">
      <c r="C1748"/>
      <c r="D1748"/>
      <c r="E1748"/>
      <c r="F1748"/>
      <c r="G1748"/>
      <c r="H1748"/>
      <c r="I1748" s="740"/>
      <c r="V1748"/>
      <c r="W1748"/>
      <c r="Y1748"/>
      <c r="Z1748"/>
      <c r="AA1748"/>
      <c r="AD1748"/>
      <c r="AE1748"/>
      <c r="AF1748"/>
      <c r="AH1748"/>
      <c r="AI1748"/>
      <c r="AJ1748"/>
      <c r="AM1748"/>
    </row>
    <row r="1749" spans="3:39">
      <c r="C1749"/>
      <c r="D1749"/>
      <c r="E1749"/>
      <c r="F1749"/>
      <c r="G1749"/>
      <c r="H1749"/>
      <c r="I1749" s="740"/>
      <c r="V1749"/>
      <c r="W1749"/>
      <c r="Y1749"/>
      <c r="Z1749"/>
      <c r="AA1749"/>
      <c r="AD1749"/>
      <c r="AE1749"/>
      <c r="AF1749"/>
      <c r="AH1749"/>
      <c r="AI1749"/>
      <c r="AJ1749"/>
      <c r="AM1749"/>
    </row>
    <row r="1750" spans="3:39">
      <c r="C1750"/>
      <c r="D1750"/>
      <c r="E1750"/>
      <c r="F1750"/>
      <c r="G1750"/>
      <c r="H1750"/>
      <c r="I1750" s="740"/>
      <c r="V1750"/>
      <c r="W1750"/>
      <c r="Y1750"/>
      <c r="Z1750"/>
      <c r="AA1750"/>
      <c r="AD1750"/>
      <c r="AE1750"/>
      <c r="AF1750"/>
      <c r="AH1750"/>
      <c r="AI1750"/>
      <c r="AJ1750"/>
      <c r="AM1750"/>
    </row>
    <row r="1751" spans="3:39">
      <c r="C1751"/>
      <c r="D1751"/>
      <c r="E1751"/>
      <c r="F1751"/>
      <c r="G1751"/>
      <c r="H1751"/>
      <c r="I1751" s="740"/>
      <c r="V1751"/>
      <c r="W1751"/>
      <c r="Y1751"/>
      <c r="Z1751"/>
      <c r="AA1751"/>
      <c r="AD1751"/>
      <c r="AE1751"/>
      <c r="AF1751"/>
      <c r="AH1751"/>
      <c r="AI1751"/>
      <c r="AJ1751"/>
      <c r="AM1751"/>
    </row>
    <row r="1752" spans="3:39">
      <c r="C1752"/>
      <c r="D1752"/>
      <c r="E1752"/>
      <c r="F1752"/>
      <c r="G1752"/>
      <c r="H1752"/>
      <c r="I1752" s="740"/>
      <c r="V1752"/>
      <c r="W1752"/>
      <c r="Y1752"/>
      <c r="Z1752"/>
      <c r="AA1752"/>
      <c r="AD1752"/>
      <c r="AE1752"/>
      <c r="AF1752"/>
      <c r="AH1752"/>
      <c r="AI1752"/>
      <c r="AJ1752"/>
      <c r="AM1752"/>
    </row>
    <row r="1753" spans="3:39">
      <c r="C1753"/>
      <c r="D1753"/>
      <c r="E1753"/>
      <c r="F1753"/>
      <c r="G1753"/>
      <c r="H1753"/>
      <c r="I1753" s="740"/>
      <c r="V1753"/>
      <c r="W1753"/>
      <c r="Y1753"/>
      <c r="Z1753"/>
      <c r="AA1753"/>
      <c r="AD1753"/>
      <c r="AE1753"/>
      <c r="AF1753"/>
      <c r="AH1753"/>
      <c r="AI1753"/>
      <c r="AJ1753"/>
      <c r="AM1753"/>
    </row>
    <row r="1754" spans="3:39">
      <c r="C1754"/>
      <c r="D1754"/>
      <c r="E1754"/>
      <c r="F1754"/>
      <c r="G1754"/>
      <c r="H1754"/>
      <c r="I1754" s="740"/>
      <c r="V1754"/>
      <c r="W1754"/>
      <c r="Y1754"/>
      <c r="Z1754"/>
      <c r="AA1754"/>
      <c r="AD1754"/>
      <c r="AE1754"/>
      <c r="AF1754"/>
      <c r="AH1754"/>
      <c r="AI1754"/>
      <c r="AJ1754"/>
      <c r="AM1754"/>
    </row>
    <row r="1755" spans="3:39">
      <c r="C1755"/>
      <c r="D1755"/>
      <c r="E1755"/>
      <c r="F1755"/>
      <c r="G1755"/>
      <c r="H1755"/>
      <c r="I1755" s="740"/>
      <c r="V1755"/>
      <c r="W1755"/>
      <c r="Y1755"/>
      <c r="Z1755"/>
      <c r="AA1755"/>
      <c r="AD1755"/>
      <c r="AE1755"/>
      <c r="AF1755"/>
      <c r="AH1755"/>
      <c r="AI1755"/>
      <c r="AJ1755"/>
      <c r="AM1755"/>
    </row>
    <row r="1756" spans="3:39">
      <c r="C1756"/>
      <c r="D1756"/>
      <c r="E1756"/>
      <c r="F1756"/>
      <c r="G1756"/>
      <c r="H1756"/>
      <c r="I1756" s="740"/>
      <c r="V1756"/>
      <c r="W1756"/>
      <c r="Y1756"/>
      <c r="Z1756"/>
      <c r="AA1756"/>
      <c r="AD1756"/>
      <c r="AE1756"/>
      <c r="AF1756"/>
      <c r="AH1756"/>
      <c r="AI1756"/>
      <c r="AJ1756"/>
      <c r="AM1756"/>
    </row>
    <row r="1757" spans="3:39">
      <c r="C1757"/>
      <c r="D1757"/>
      <c r="E1757"/>
      <c r="F1757"/>
      <c r="G1757"/>
      <c r="H1757"/>
      <c r="I1757" s="740"/>
      <c r="V1757"/>
      <c r="W1757"/>
      <c r="Y1757"/>
      <c r="Z1757"/>
      <c r="AA1757"/>
      <c r="AD1757"/>
      <c r="AE1757"/>
      <c r="AF1757"/>
      <c r="AH1757"/>
      <c r="AI1757"/>
      <c r="AJ1757"/>
      <c r="AM1757"/>
    </row>
    <row r="1758" spans="3:39">
      <c r="C1758"/>
      <c r="D1758"/>
      <c r="E1758"/>
      <c r="F1758"/>
      <c r="G1758"/>
      <c r="H1758"/>
      <c r="I1758" s="740"/>
      <c r="V1758"/>
      <c r="W1758"/>
      <c r="Y1758"/>
      <c r="Z1758"/>
      <c r="AA1758"/>
      <c r="AD1758"/>
      <c r="AE1758"/>
      <c r="AF1758"/>
      <c r="AH1758"/>
      <c r="AI1758"/>
      <c r="AJ1758"/>
      <c r="AM1758"/>
    </row>
    <row r="1759" spans="3:39">
      <c r="C1759"/>
      <c r="D1759"/>
      <c r="E1759"/>
      <c r="F1759"/>
      <c r="G1759"/>
      <c r="H1759"/>
      <c r="I1759" s="740"/>
      <c r="V1759"/>
      <c r="W1759"/>
      <c r="Y1759"/>
      <c r="Z1759"/>
      <c r="AA1759"/>
      <c r="AD1759"/>
      <c r="AE1759"/>
      <c r="AF1759"/>
      <c r="AH1759"/>
      <c r="AI1759"/>
      <c r="AJ1759"/>
      <c r="AM1759"/>
    </row>
    <row r="1760" spans="3:39">
      <c r="C1760"/>
      <c r="D1760"/>
      <c r="E1760"/>
      <c r="F1760"/>
      <c r="G1760"/>
      <c r="H1760"/>
      <c r="I1760" s="740"/>
      <c r="V1760"/>
      <c r="W1760"/>
      <c r="Y1760"/>
      <c r="Z1760"/>
      <c r="AA1760"/>
      <c r="AD1760"/>
      <c r="AE1760"/>
      <c r="AF1760"/>
      <c r="AH1760"/>
      <c r="AI1760"/>
      <c r="AJ1760"/>
      <c r="AM1760"/>
    </row>
    <row r="1761" spans="3:39">
      <c r="C1761"/>
      <c r="D1761"/>
      <c r="E1761"/>
      <c r="F1761"/>
      <c r="G1761"/>
      <c r="H1761"/>
      <c r="I1761" s="740"/>
      <c r="V1761"/>
      <c r="W1761"/>
      <c r="Y1761"/>
      <c r="Z1761"/>
      <c r="AA1761"/>
      <c r="AD1761"/>
      <c r="AE1761"/>
      <c r="AF1761"/>
      <c r="AH1761"/>
      <c r="AI1761"/>
      <c r="AJ1761"/>
      <c r="AM1761"/>
    </row>
    <row r="1762" spans="3:39">
      <c r="C1762"/>
      <c r="D1762"/>
      <c r="E1762"/>
      <c r="F1762"/>
      <c r="G1762"/>
      <c r="H1762"/>
      <c r="I1762" s="740"/>
      <c r="V1762"/>
      <c r="W1762"/>
      <c r="Y1762"/>
      <c r="Z1762"/>
      <c r="AA1762"/>
      <c r="AD1762"/>
      <c r="AE1762"/>
      <c r="AF1762"/>
      <c r="AH1762"/>
      <c r="AI1762"/>
      <c r="AJ1762"/>
      <c r="AM1762"/>
    </row>
    <row r="1763" spans="3:39">
      <c r="C1763"/>
      <c r="D1763"/>
      <c r="E1763"/>
      <c r="F1763"/>
      <c r="G1763"/>
      <c r="H1763"/>
      <c r="I1763" s="740"/>
      <c r="V1763"/>
      <c r="W1763"/>
      <c r="Y1763"/>
      <c r="Z1763"/>
      <c r="AA1763"/>
      <c r="AD1763"/>
      <c r="AE1763"/>
      <c r="AF1763"/>
      <c r="AH1763"/>
      <c r="AI1763"/>
      <c r="AJ1763"/>
      <c r="AM1763"/>
    </row>
    <row r="1764" spans="3:39">
      <c r="C1764"/>
      <c r="D1764"/>
      <c r="E1764"/>
      <c r="F1764"/>
      <c r="G1764"/>
      <c r="H1764"/>
      <c r="I1764" s="740"/>
      <c r="V1764"/>
      <c r="W1764"/>
      <c r="Y1764"/>
      <c r="Z1764"/>
      <c r="AA1764"/>
      <c r="AD1764"/>
      <c r="AE1764"/>
      <c r="AF1764"/>
      <c r="AH1764"/>
      <c r="AI1764"/>
      <c r="AJ1764"/>
      <c r="AM1764"/>
    </row>
    <row r="1765" spans="3:39">
      <c r="C1765"/>
      <c r="D1765"/>
      <c r="E1765"/>
      <c r="F1765"/>
      <c r="G1765"/>
      <c r="H1765"/>
      <c r="I1765" s="740"/>
      <c r="V1765"/>
      <c r="W1765"/>
      <c r="Y1765"/>
      <c r="Z1765"/>
      <c r="AA1765"/>
      <c r="AD1765"/>
      <c r="AE1765"/>
      <c r="AF1765"/>
      <c r="AH1765"/>
      <c r="AI1765"/>
      <c r="AJ1765"/>
      <c r="AM1765"/>
    </row>
    <row r="1766" spans="3:39">
      <c r="C1766"/>
      <c r="D1766"/>
      <c r="E1766"/>
      <c r="F1766"/>
      <c r="G1766"/>
      <c r="H1766"/>
      <c r="I1766" s="740"/>
      <c r="V1766"/>
      <c r="W1766"/>
      <c r="Y1766"/>
      <c r="Z1766"/>
      <c r="AA1766"/>
      <c r="AD1766"/>
      <c r="AE1766"/>
      <c r="AF1766"/>
      <c r="AH1766"/>
      <c r="AI1766"/>
      <c r="AJ1766"/>
      <c r="AM1766"/>
    </row>
    <row r="1767" spans="3:39">
      <c r="C1767"/>
      <c r="D1767"/>
      <c r="E1767"/>
      <c r="F1767"/>
      <c r="G1767"/>
      <c r="H1767"/>
      <c r="I1767" s="740"/>
      <c r="V1767"/>
      <c r="W1767"/>
      <c r="Y1767"/>
      <c r="Z1767"/>
      <c r="AA1767"/>
      <c r="AD1767"/>
      <c r="AE1767"/>
      <c r="AF1767"/>
      <c r="AH1767"/>
      <c r="AI1767"/>
      <c r="AJ1767"/>
      <c r="AM1767"/>
    </row>
    <row r="1768" spans="3:39">
      <c r="C1768"/>
      <c r="D1768"/>
      <c r="E1768"/>
      <c r="F1768"/>
      <c r="G1768"/>
      <c r="H1768"/>
      <c r="I1768" s="740"/>
      <c r="V1768"/>
      <c r="W1768"/>
      <c r="Y1768"/>
      <c r="Z1768"/>
      <c r="AA1768"/>
      <c r="AD1768"/>
      <c r="AE1768"/>
      <c r="AF1768"/>
      <c r="AH1768"/>
      <c r="AI1768"/>
      <c r="AJ1768"/>
      <c r="AM1768"/>
    </row>
    <row r="1769" spans="3:39">
      <c r="C1769"/>
      <c r="D1769"/>
      <c r="E1769"/>
      <c r="F1769"/>
      <c r="G1769"/>
      <c r="H1769"/>
      <c r="I1769" s="740"/>
      <c r="V1769"/>
      <c r="W1769"/>
      <c r="Y1769"/>
      <c r="Z1769"/>
      <c r="AA1769"/>
      <c r="AD1769"/>
      <c r="AE1769"/>
      <c r="AF1769"/>
      <c r="AH1769"/>
      <c r="AI1769"/>
      <c r="AJ1769"/>
      <c r="AM1769"/>
    </row>
    <row r="1770" spans="3:39">
      <c r="C1770"/>
      <c r="D1770"/>
      <c r="E1770"/>
      <c r="F1770"/>
      <c r="G1770"/>
      <c r="H1770"/>
      <c r="I1770" s="740"/>
      <c r="V1770"/>
      <c r="W1770"/>
      <c r="Y1770"/>
      <c r="Z1770"/>
      <c r="AA1770"/>
      <c r="AD1770"/>
      <c r="AE1770"/>
      <c r="AF1770"/>
      <c r="AH1770"/>
      <c r="AI1770"/>
      <c r="AJ1770"/>
      <c r="AM1770"/>
    </row>
    <row r="1771" spans="3:39">
      <c r="C1771"/>
      <c r="D1771"/>
      <c r="E1771"/>
      <c r="F1771"/>
      <c r="G1771"/>
      <c r="H1771"/>
      <c r="I1771" s="740"/>
      <c r="V1771"/>
      <c r="W1771"/>
      <c r="Y1771"/>
      <c r="Z1771"/>
      <c r="AA1771"/>
      <c r="AD1771"/>
      <c r="AE1771"/>
      <c r="AF1771"/>
      <c r="AH1771"/>
      <c r="AI1771"/>
      <c r="AJ1771"/>
      <c r="AM1771"/>
    </row>
    <row r="1772" spans="3:39">
      <c r="C1772"/>
      <c r="D1772"/>
      <c r="E1772"/>
      <c r="F1772"/>
      <c r="G1772"/>
      <c r="H1772"/>
      <c r="I1772" s="740"/>
      <c r="V1772"/>
      <c r="W1772"/>
      <c r="Y1772"/>
      <c r="Z1772"/>
      <c r="AA1772"/>
      <c r="AD1772"/>
      <c r="AE1772"/>
      <c r="AF1772"/>
      <c r="AH1772"/>
      <c r="AI1772"/>
      <c r="AJ1772"/>
      <c r="AM1772"/>
    </row>
    <row r="1773" spans="3:39">
      <c r="C1773"/>
      <c r="D1773"/>
      <c r="E1773"/>
      <c r="F1773"/>
      <c r="G1773"/>
      <c r="H1773"/>
      <c r="I1773" s="740"/>
      <c r="V1773"/>
      <c r="W1773"/>
      <c r="Y1773"/>
      <c r="Z1773"/>
      <c r="AA1773"/>
      <c r="AD1773"/>
      <c r="AE1773"/>
      <c r="AF1773"/>
      <c r="AH1773"/>
      <c r="AI1773"/>
      <c r="AJ1773"/>
      <c r="AM1773"/>
    </row>
    <row r="1774" spans="3:39">
      <c r="C1774"/>
      <c r="D1774"/>
      <c r="E1774"/>
      <c r="F1774"/>
      <c r="G1774"/>
      <c r="H1774"/>
      <c r="I1774" s="740"/>
      <c r="V1774"/>
      <c r="W1774"/>
      <c r="Y1774"/>
      <c r="Z1774"/>
      <c r="AA1774"/>
      <c r="AD1774"/>
      <c r="AE1774"/>
      <c r="AF1774"/>
      <c r="AH1774"/>
      <c r="AI1774"/>
      <c r="AJ1774"/>
      <c r="AM1774"/>
    </row>
    <row r="1775" spans="3:39">
      <c r="C1775"/>
      <c r="D1775"/>
      <c r="E1775"/>
      <c r="F1775"/>
      <c r="G1775"/>
      <c r="H1775"/>
      <c r="I1775" s="740"/>
      <c r="V1775"/>
      <c r="W1775"/>
      <c r="Y1775"/>
      <c r="Z1775"/>
      <c r="AA1775"/>
      <c r="AD1775"/>
      <c r="AE1775"/>
      <c r="AF1775"/>
      <c r="AH1775"/>
      <c r="AI1775"/>
      <c r="AJ1775"/>
      <c r="AM1775"/>
    </row>
    <row r="1776" spans="3:39">
      <c r="C1776"/>
      <c r="D1776"/>
      <c r="E1776"/>
      <c r="F1776"/>
      <c r="G1776"/>
      <c r="H1776"/>
      <c r="I1776" s="740"/>
      <c r="V1776"/>
      <c r="W1776"/>
      <c r="Y1776"/>
      <c r="Z1776"/>
      <c r="AA1776"/>
      <c r="AD1776"/>
      <c r="AE1776"/>
      <c r="AF1776"/>
      <c r="AH1776"/>
      <c r="AI1776"/>
      <c r="AJ1776"/>
      <c r="AM1776"/>
    </row>
    <row r="1777" spans="3:39">
      <c r="C1777"/>
      <c r="D1777"/>
      <c r="E1777"/>
      <c r="F1777"/>
      <c r="G1777"/>
      <c r="H1777"/>
      <c r="I1777" s="740"/>
      <c r="V1777"/>
      <c r="W1777"/>
      <c r="Y1777"/>
      <c r="Z1777"/>
      <c r="AA1777"/>
      <c r="AD1777"/>
      <c r="AE1777"/>
      <c r="AF1777"/>
      <c r="AH1777"/>
      <c r="AI1777"/>
      <c r="AJ1777"/>
      <c r="AM1777"/>
    </row>
    <row r="1778" spans="3:39">
      <c r="C1778"/>
      <c r="D1778"/>
      <c r="E1778"/>
      <c r="F1778"/>
      <c r="G1778"/>
      <c r="H1778"/>
      <c r="I1778" s="740"/>
      <c r="V1778"/>
      <c r="W1778"/>
      <c r="Y1778"/>
      <c r="Z1778"/>
      <c r="AA1778"/>
      <c r="AD1778"/>
      <c r="AE1778"/>
      <c r="AF1778"/>
      <c r="AH1778"/>
      <c r="AI1778"/>
      <c r="AJ1778"/>
      <c r="AM1778"/>
    </row>
    <row r="1779" spans="3:39">
      <c r="C1779"/>
      <c r="D1779"/>
      <c r="E1779"/>
      <c r="F1779"/>
      <c r="G1779"/>
      <c r="H1779"/>
      <c r="I1779" s="740"/>
      <c r="V1779"/>
      <c r="W1779"/>
      <c r="Y1779"/>
      <c r="Z1779"/>
      <c r="AA1779"/>
      <c r="AD1779"/>
      <c r="AE1779"/>
      <c r="AF1779"/>
      <c r="AH1779"/>
      <c r="AI1779"/>
      <c r="AJ1779"/>
      <c r="AM1779"/>
    </row>
    <row r="1780" spans="3:39">
      <c r="C1780"/>
      <c r="D1780"/>
      <c r="E1780"/>
      <c r="F1780"/>
      <c r="G1780"/>
      <c r="H1780"/>
      <c r="I1780" s="740"/>
      <c r="V1780"/>
      <c r="W1780"/>
      <c r="Y1780"/>
      <c r="Z1780"/>
      <c r="AA1780"/>
      <c r="AD1780"/>
      <c r="AE1780"/>
      <c r="AF1780"/>
      <c r="AH1780"/>
      <c r="AI1780"/>
      <c r="AJ1780"/>
      <c r="AM1780"/>
    </row>
    <row r="1781" spans="3:39">
      <c r="C1781"/>
      <c r="D1781"/>
      <c r="E1781"/>
      <c r="F1781"/>
      <c r="G1781"/>
      <c r="H1781"/>
      <c r="I1781" s="740"/>
      <c r="V1781"/>
      <c r="W1781"/>
      <c r="Y1781"/>
      <c r="Z1781"/>
      <c r="AA1781"/>
      <c r="AD1781"/>
      <c r="AE1781"/>
      <c r="AF1781"/>
      <c r="AH1781"/>
      <c r="AI1781"/>
      <c r="AJ1781"/>
      <c r="AM1781"/>
    </row>
    <row r="1782" spans="3:39">
      <c r="C1782"/>
      <c r="D1782"/>
      <c r="E1782"/>
      <c r="F1782"/>
      <c r="G1782"/>
      <c r="H1782"/>
      <c r="I1782" s="740"/>
      <c r="V1782"/>
      <c r="W1782"/>
      <c r="Y1782"/>
      <c r="Z1782"/>
      <c r="AA1782"/>
      <c r="AD1782"/>
      <c r="AE1782"/>
      <c r="AF1782"/>
      <c r="AH1782"/>
      <c r="AI1782"/>
      <c r="AJ1782"/>
      <c r="AM1782"/>
    </row>
    <row r="1783" spans="3:39">
      <c r="C1783"/>
      <c r="D1783"/>
      <c r="E1783"/>
      <c r="F1783"/>
      <c r="G1783"/>
      <c r="H1783"/>
      <c r="I1783" s="740"/>
      <c r="V1783"/>
      <c r="W1783"/>
      <c r="Y1783"/>
      <c r="Z1783"/>
      <c r="AA1783"/>
      <c r="AD1783"/>
      <c r="AE1783"/>
      <c r="AF1783"/>
      <c r="AH1783"/>
      <c r="AI1783"/>
      <c r="AJ1783"/>
      <c r="AM1783"/>
    </row>
    <row r="1784" spans="3:39">
      <c r="C1784"/>
      <c r="D1784"/>
      <c r="E1784"/>
      <c r="F1784"/>
      <c r="G1784"/>
      <c r="H1784"/>
      <c r="I1784" s="740"/>
      <c r="V1784"/>
      <c r="W1784"/>
      <c r="Y1784"/>
      <c r="Z1784"/>
      <c r="AA1784"/>
      <c r="AD1784"/>
      <c r="AE1784"/>
      <c r="AF1784"/>
      <c r="AH1784"/>
      <c r="AI1784"/>
      <c r="AJ1784"/>
      <c r="AM1784"/>
    </row>
    <row r="1785" spans="3:39">
      <c r="C1785"/>
      <c r="D1785"/>
      <c r="E1785"/>
      <c r="F1785"/>
      <c r="G1785"/>
      <c r="H1785"/>
      <c r="I1785" s="740"/>
      <c r="V1785"/>
      <c r="W1785"/>
      <c r="Y1785"/>
      <c r="Z1785"/>
      <c r="AA1785"/>
      <c r="AD1785"/>
      <c r="AE1785"/>
      <c r="AF1785"/>
      <c r="AH1785"/>
      <c r="AI1785"/>
      <c r="AJ1785"/>
      <c r="AM1785"/>
    </row>
    <row r="1786" spans="3:39">
      <c r="C1786"/>
      <c r="D1786"/>
      <c r="E1786"/>
      <c r="F1786"/>
      <c r="G1786"/>
      <c r="H1786"/>
      <c r="I1786" s="740"/>
      <c r="V1786"/>
      <c r="W1786"/>
      <c r="Y1786"/>
      <c r="Z1786"/>
      <c r="AA1786"/>
      <c r="AD1786"/>
      <c r="AE1786"/>
      <c r="AF1786"/>
      <c r="AH1786"/>
      <c r="AI1786"/>
      <c r="AJ1786"/>
      <c r="AM1786"/>
    </row>
    <row r="1787" spans="3:39">
      <c r="C1787"/>
      <c r="D1787"/>
      <c r="E1787"/>
      <c r="F1787"/>
      <c r="G1787"/>
      <c r="H1787"/>
      <c r="I1787" s="740"/>
      <c r="V1787"/>
      <c r="W1787"/>
      <c r="Y1787"/>
      <c r="Z1787"/>
      <c r="AA1787"/>
      <c r="AD1787"/>
      <c r="AE1787"/>
      <c r="AF1787"/>
      <c r="AH1787"/>
      <c r="AI1787"/>
      <c r="AJ1787"/>
      <c r="AM1787"/>
    </row>
    <row r="1788" spans="3:39">
      <c r="C1788"/>
      <c r="D1788"/>
      <c r="E1788"/>
      <c r="F1788"/>
      <c r="G1788"/>
      <c r="H1788"/>
      <c r="I1788" s="740"/>
      <c r="V1788"/>
      <c r="W1788"/>
      <c r="Y1788"/>
      <c r="Z1788"/>
      <c r="AA1788"/>
      <c r="AD1788"/>
      <c r="AE1788"/>
      <c r="AF1788"/>
      <c r="AH1788"/>
      <c r="AI1788"/>
      <c r="AJ1788"/>
      <c r="AM1788"/>
    </row>
    <row r="1789" spans="3:39">
      <c r="C1789"/>
      <c r="D1789"/>
      <c r="E1789"/>
      <c r="F1789"/>
      <c r="G1789"/>
      <c r="H1789"/>
      <c r="I1789" s="740"/>
      <c r="V1789"/>
      <c r="W1789"/>
      <c r="Y1789"/>
      <c r="Z1789"/>
      <c r="AA1789"/>
      <c r="AD1789"/>
      <c r="AE1789"/>
      <c r="AF1789"/>
      <c r="AH1789"/>
      <c r="AI1789"/>
      <c r="AJ1789"/>
      <c r="AM1789"/>
    </row>
    <row r="1790" spans="3:39">
      <c r="C1790"/>
      <c r="D1790"/>
      <c r="E1790"/>
      <c r="F1790"/>
      <c r="G1790"/>
      <c r="H1790"/>
      <c r="I1790" s="740"/>
      <c r="V1790"/>
      <c r="W1790"/>
      <c r="Y1790"/>
      <c r="Z1790"/>
      <c r="AA1790"/>
      <c r="AD1790"/>
      <c r="AE1790"/>
      <c r="AF1790"/>
      <c r="AH1790"/>
      <c r="AI1790"/>
      <c r="AJ1790"/>
      <c r="AM1790"/>
    </row>
    <row r="1791" spans="3:39">
      <c r="C1791"/>
      <c r="D1791"/>
      <c r="E1791"/>
      <c r="F1791"/>
      <c r="G1791"/>
      <c r="H1791"/>
      <c r="I1791" s="740"/>
      <c r="V1791"/>
      <c r="W1791"/>
      <c r="Y1791"/>
      <c r="Z1791"/>
      <c r="AA1791"/>
      <c r="AD1791"/>
      <c r="AE1791"/>
      <c r="AF1791"/>
      <c r="AH1791"/>
      <c r="AI1791"/>
      <c r="AJ1791"/>
      <c r="AM1791"/>
    </row>
    <row r="1792" spans="3:39">
      <c r="C1792"/>
      <c r="D1792"/>
      <c r="E1792"/>
      <c r="F1792"/>
      <c r="G1792"/>
      <c r="H1792"/>
      <c r="I1792" s="740"/>
      <c r="V1792"/>
      <c r="W1792"/>
      <c r="Y1792"/>
      <c r="Z1792"/>
      <c r="AA1792"/>
      <c r="AD1792"/>
      <c r="AE1792"/>
      <c r="AF1792"/>
      <c r="AH1792"/>
      <c r="AI1792"/>
      <c r="AJ1792"/>
      <c r="AM1792"/>
    </row>
    <row r="1793" spans="3:39">
      <c r="C1793"/>
      <c r="D1793"/>
      <c r="E1793"/>
      <c r="F1793"/>
      <c r="G1793"/>
      <c r="H1793"/>
      <c r="I1793" s="740"/>
      <c r="V1793"/>
      <c r="W1793"/>
      <c r="Y1793"/>
      <c r="Z1793"/>
      <c r="AA1793"/>
      <c r="AD1793"/>
      <c r="AE1793"/>
      <c r="AF1793"/>
      <c r="AH1793"/>
      <c r="AI1793"/>
      <c r="AJ1793"/>
      <c r="AM1793"/>
    </row>
    <row r="1794" spans="3:39">
      <c r="C1794"/>
      <c r="D1794"/>
      <c r="E1794"/>
      <c r="F1794"/>
      <c r="G1794"/>
      <c r="H1794"/>
      <c r="I1794" s="740"/>
      <c r="V1794"/>
      <c r="W1794"/>
      <c r="Y1794"/>
      <c r="Z1794"/>
      <c r="AA1794"/>
      <c r="AD1794"/>
      <c r="AE1794"/>
      <c r="AF1794"/>
      <c r="AH1794"/>
      <c r="AI1794"/>
      <c r="AJ1794"/>
      <c r="AM1794"/>
    </row>
    <row r="1795" spans="3:39">
      <c r="C1795"/>
      <c r="D1795"/>
      <c r="E1795"/>
      <c r="F1795"/>
      <c r="G1795"/>
      <c r="H1795"/>
      <c r="I1795" s="740"/>
      <c r="V1795"/>
      <c r="W1795"/>
      <c r="Y1795"/>
      <c r="Z1795"/>
      <c r="AA1795"/>
      <c r="AD1795"/>
      <c r="AE1795"/>
      <c r="AF1795"/>
      <c r="AH1795"/>
      <c r="AI1795"/>
      <c r="AJ1795"/>
      <c r="AM1795"/>
    </row>
    <row r="1796" spans="3:39">
      <c r="C1796"/>
      <c r="D1796"/>
      <c r="E1796"/>
      <c r="F1796"/>
      <c r="G1796"/>
      <c r="H1796"/>
      <c r="I1796" s="740"/>
      <c r="V1796"/>
      <c r="W1796"/>
      <c r="Y1796"/>
      <c r="Z1796"/>
      <c r="AA1796"/>
      <c r="AD1796"/>
      <c r="AE1796"/>
      <c r="AF1796"/>
      <c r="AH1796"/>
      <c r="AI1796"/>
      <c r="AJ1796"/>
      <c r="AM1796"/>
    </row>
    <row r="1797" spans="3:39">
      <c r="C1797"/>
      <c r="D1797"/>
      <c r="E1797"/>
      <c r="F1797"/>
      <c r="G1797"/>
      <c r="H1797"/>
      <c r="I1797" s="740"/>
      <c r="V1797"/>
      <c r="W1797"/>
      <c r="Y1797"/>
      <c r="Z1797"/>
      <c r="AA1797"/>
      <c r="AD1797"/>
      <c r="AE1797"/>
      <c r="AF1797"/>
      <c r="AH1797"/>
      <c r="AI1797"/>
      <c r="AJ1797"/>
      <c r="AM1797"/>
    </row>
    <row r="1798" spans="3:39">
      <c r="C1798"/>
      <c r="D1798"/>
      <c r="E1798"/>
      <c r="F1798"/>
      <c r="G1798"/>
      <c r="H1798"/>
      <c r="I1798" s="740"/>
      <c r="V1798"/>
      <c r="W1798"/>
      <c r="Y1798"/>
      <c r="Z1798"/>
      <c r="AA1798"/>
      <c r="AD1798"/>
      <c r="AE1798"/>
      <c r="AF1798"/>
      <c r="AH1798"/>
      <c r="AI1798"/>
      <c r="AJ1798"/>
      <c r="AM1798"/>
    </row>
    <row r="1799" spans="3:39">
      <c r="C1799"/>
      <c r="D1799"/>
      <c r="E1799"/>
      <c r="F1799"/>
      <c r="G1799"/>
      <c r="H1799"/>
      <c r="I1799" s="740"/>
      <c r="V1799"/>
      <c r="W1799"/>
      <c r="Y1799"/>
      <c r="Z1799"/>
      <c r="AA1799"/>
      <c r="AD1799"/>
      <c r="AE1799"/>
      <c r="AF1799"/>
      <c r="AH1799"/>
      <c r="AI1799"/>
      <c r="AJ1799"/>
      <c r="AM1799"/>
    </row>
    <row r="1800" spans="3:39">
      <c r="C1800"/>
      <c r="D1800"/>
      <c r="E1800"/>
      <c r="F1800"/>
      <c r="G1800"/>
      <c r="H1800"/>
      <c r="I1800" s="740"/>
      <c r="V1800"/>
      <c r="W1800"/>
      <c r="Y1800"/>
      <c r="Z1800"/>
      <c r="AA1800"/>
      <c r="AD1800"/>
      <c r="AE1800"/>
      <c r="AF1800"/>
      <c r="AH1800"/>
      <c r="AI1800"/>
      <c r="AJ1800"/>
      <c r="AM1800"/>
    </row>
    <row r="1801" spans="3:39">
      <c r="C1801"/>
      <c r="D1801"/>
      <c r="E1801"/>
      <c r="F1801"/>
      <c r="G1801"/>
      <c r="H1801"/>
      <c r="I1801" s="740"/>
      <c r="V1801"/>
      <c r="W1801"/>
      <c r="Y1801"/>
      <c r="Z1801"/>
      <c r="AA1801"/>
      <c r="AD1801"/>
      <c r="AE1801"/>
      <c r="AF1801"/>
      <c r="AH1801"/>
      <c r="AI1801"/>
      <c r="AJ1801"/>
      <c r="AM1801"/>
    </row>
    <row r="1802" spans="3:39">
      <c r="C1802"/>
      <c r="D1802"/>
      <c r="E1802"/>
      <c r="F1802"/>
      <c r="G1802"/>
      <c r="H1802"/>
      <c r="I1802" s="740"/>
      <c r="V1802"/>
      <c r="W1802"/>
      <c r="Y1802"/>
      <c r="Z1802"/>
      <c r="AA1802"/>
      <c r="AD1802"/>
      <c r="AE1802"/>
      <c r="AF1802"/>
      <c r="AH1802"/>
      <c r="AI1802"/>
      <c r="AJ1802"/>
      <c r="AM1802"/>
    </row>
    <row r="1803" spans="3:39">
      <c r="C1803"/>
      <c r="D1803"/>
      <c r="E1803"/>
      <c r="F1803"/>
      <c r="G1803"/>
      <c r="H1803"/>
      <c r="I1803" s="740"/>
      <c r="V1803"/>
      <c r="W1803"/>
      <c r="Y1803"/>
      <c r="Z1803"/>
      <c r="AA1803"/>
      <c r="AD1803"/>
      <c r="AE1803"/>
      <c r="AF1803"/>
      <c r="AH1803"/>
      <c r="AI1803"/>
      <c r="AJ1803"/>
      <c r="AM1803"/>
    </row>
    <row r="1804" spans="3:39">
      <c r="C1804"/>
      <c r="D1804"/>
      <c r="E1804"/>
      <c r="F1804"/>
      <c r="G1804"/>
      <c r="H1804"/>
      <c r="I1804" s="740"/>
      <c r="V1804"/>
      <c r="W1804"/>
      <c r="Y1804"/>
      <c r="Z1804"/>
      <c r="AA1804"/>
      <c r="AD1804"/>
      <c r="AE1804"/>
      <c r="AF1804"/>
      <c r="AH1804"/>
      <c r="AI1804"/>
      <c r="AJ1804"/>
      <c r="AM1804"/>
    </row>
    <row r="1805" spans="3:39">
      <c r="C1805"/>
      <c r="D1805"/>
      <c r="E1805"/>
      <c r="F1805"/>
      <c r="G1805"/>
      <c r="H1805"/>
      <c r="I1805" s="740"/>
      <c r="V1805"/>
      <c r="W1805"/>
      <c r="Y1805"/>
      <c r="Z1805"/>
      <c r="AA1805"/>
      <c r="AD1805"/>
      <c r="AE1805"/>
      <c r="AF1805"/>
      <c r="AH1805"/>
      <c r="AI1805"/>
      <c r="AJ1805"/>
      <c r="AM1805"/>
    </row>
    <row r="1806" spans="3:39">
      <c r="C1806"/>
      <c r="D1806"/>
      <c r="E1806"/>
      <c r="F1806"/>
      <c r="G1806"/>
      <c r="H1806"/>
      <c r="I1806" s="740"/>
      <c r="V1806"/>
      <c r="W1806"/>
      <c r="Y1806"/>
      <c r="Z1806"/>
      <c r="AA1806"/>
      <c r="AD1806"/>
      <c r="AE1806"/>
      <c r="AF1806"/>
      <c r="AH1806"/>
      <c r="AI1806"/>
      <c r="AJ1806"/>
      <c r="AM1806"/>
    </row>
    <row r="1807" spans="3:39">
      <c r="C1807"/>
      <c r="D1807"/>
      <c r="E1807"/>
      <c r="F1807"/>
      <c r="G1807"/>
      <c r="H1807"/>
      <c r="I1807" s="740"/>
      <c r="V1807"/>
      <c r="W1807"/>
      <c r="Y1807"/>
      <c r="Z1807"/>
      <c r="AA1807"/>
      <c r="AD1807"/>
      <c r="AE1807"/>
      <c r="AF1807"/>
      <c r="AH1807"/>
      <c r="AI1807"/>
      <c r="AJ1807"/>
      <c r="AM1807"/>
    </row>
    <row r="1808" spans="3:39">
      <c r="C1808"/>
      <c r="D1808"/>
      <c r="E1808"/>
      <c r="F1808"/>
      <c r="G1808"/>
      <c r="H1808"/>
      <c r="I1808" s="740"/>
      <c r="V1808"/>
      <c r="W1808"/>
      <c r="Y1808"/>
      <c r="Z1808"/>
      <c r="AA1808"/>
      <c r="AD1808"/>
      <c r="AE1808"/>
      <c r="AF1808"/>
      <c r="AH1808"/>
      <c r="AI1808"/>
      <c r="AJ1808"/>
      <c r="AM1808"/>
    </row>
    <row r="1809" spans="3:39">
      <c r="C1809"/>
      <c r="D1809"/>
      <c r="E1809"/>
      <c r="F1809"/>
      <c r="G1809"/>
      <c r="H1809"/>
      <c r="I1809" s="740"/>
      <c r="V1809"/>
      <c r="W1809"/>
      <c r="Y1809"/>
      <c r="Z1809"/>
      <c r="AA1809"/>
      <c r="AD1809"/>
      <c r="AE1809"/>
      <c r="AF1809"/>
      <c r="AH1809"/>
      <c r="AI1809"/>
      <c r="AJ1809"/>
      <c r="AM1809"/>
    </row>
    <row r="1810" spans="3:39">
      <c r="C1810"/>
      <c r="D1810"/>
      <c r="E1810"/>
      <c r="F1810"/>
      <c r="G1810"/>
      <c r="H1810"/>
      <c r="I1810" s="740"/>
      <c r="V1810"/>
      <c r="W1810"/>
      <c r="Y1810"/>
      <c r="Z1810"/>
      <c r="AA1810"/>
      <c r="AD1810"/>
      <c r="AE1810"/>
      <c r="AF1810"/>
      <c r="AH1810"/>
      <c r="AI1810"/>
      <c r="AJ1810"/>
      <c r="AM1810"/>
    </row>
    <row r="1811" spans="3:39">
      <c r="C1811"/>
      <c r="D1811"/>
      <c r="E1811"/>
      <c r="F1811"/>
      <c r="G1811"/>
      <c r="H1811"/>
      <c r="I1811" s="740"/>
      <c r="V1811"/>
      <c r="W1811"/>
      <c r="Y1811"/>
      <c r="Z1811"/>
      <c r="AA1811"/>
      <c r="AD1811"/>
      <c r="AE1811"/>
      <c r="AF1811"/>
      <c r="AH1811"/>
      <c r="AI1811"/>
      <c r="AJ1811"/>
      <c r="AM1811"/>
    </row>
    <row r="1812" spans="3:39">
      <c r="C1812"/>
      <c r="D1812"/>
      <c r="E1812"/>
      <c r="F1812"/>
      <c r="G1812"/>
      <c r="H1812"/>
      <c r="I1812" s="740"/>
      <c r="V1812"/>
      <c r="W1812"/>
      <c r="Y1812"/>
      <c r="Z1812"/>
      <c r="AA1812"/>
      <c r="AD1812"/>
      <c r="AE1812"/>
      <c r="AF1812"/>
      <c r="AH1812"/>
      <c r="AI1812"/>
      <c r="AJ1812"/>
      <c r="AM1812"/>
    </row>
    <row r="1813" spans="3:39">
      <c r="C1813"/>
      <c r="D1813"/>
      <c r="E1813"/>
      <c r="F1813"/>
      <c r="G1813"/>
      <c r="H1813"/>
      <c r="I1813" s="740"/>
      <c r="V1813"/>
      <c r="W1813"/>
      <c r="Y1813"/>
      <c r="Z1813"/>
      <c r="AA1813"/>
      <c r="AD1813"/>
      <c r="AE1813"/>
      <c r="AF1813"/>
      <c r="AH1813"/>
      <c r="AI1813"/>
      <c r="AJ1813"/>
      <c r="AM1813"/>
    </row>
    <row r="1814" spans="3:39">
      <c r="C1814"/>
      <c r="D1814"/>
      <c r="E1814"/>
      <c r="F1814"/>
      <c r="G1814"/>
      <c r="H1814"/>
      <c r="I1814" s="740"/>
      <c r="V1814"/>
      <c r="W1814"/>
      <c r="Y1814"/>
      <c r="Z1814"/>
      <c r="AA1814"/>
      <c r="AD1814"/>
      <c r="AE1814"/>
      <c r="AF1814"/>
      <c r="AH1814"/>
      <c r="AI1814"/>
      <c r="AJ1814"/>
      <c r="AM1814"/>
    </row>
    <row r="1815" spans="3:39">
      <c r="C1815"/>
      <c r="D1815"/>
      <c r="E1815"/>
      <c r="F1815"/>
      <c r="G1815"/>
      <c r="H1815"/>
      <c r="I1815" s="740"/>
      <c r="V1815"/>
      <c r="W1815"/>
      <c r="Y1815"/>
      <c r="Z1815"/>
      <c r="AA1815"/>
      <c r="AD1815"/>
      <c r="AE1815"/>
      <c r="AF1815"/>
      <c r="AH1815"/>
      <c r="AI1815"/>
      <c r="AJ1815"/>
      <c r="AM1815"/>
    </row>
    <row r="1816" spans="3:39">
      <c r="C1816"/>
      <c r="D1816"/>
      <c r="E1816"/>
      <c r="F1816"/>
      <c r="G1816"/>
      <c r="H1816"/>
      <c r="I1816" s="740"/>
      <c r="V1816"/>
      <c r="W1816"/>
      <c r="Y1816"/>
      <c r="Z1816"/>
      <c r="AA1816"/>
      <c r="AD1816"/>
      <c r="AE1816"/>
      <c r="AF1816"/>
      <c r="AH1816"/>
      <c r="AI1816"/>
      <c r="AJ1816"/>
      <c r="AM1816"/>
    </row>
    <row r="1817" spans="3:39">
      <c r="C1817"/>
      <c r="D1817"/>
      <c r="E1817"/>
      <c r="F1817"/>
      <c r="G1817"/>
      <c r="H1817"/>
      <c r="I1817" s="740"/>
      <c r="V1817"/>
      <c r="W1817"/>
      <c r="Y1817"/>
      <c r="Z1817"/>
      <c r="AA1817"/>
      <c r="AD1817"/>
      <c r="AE1817"/>
      <c r="AF1817"/>
      <c r="AH1817"/>
      <c r="AI1817"/>
      <c r="AJ1817"/>
      <c r="AM1817"/>
    </row>
    <row r="1818" spans="3:39">
      <c r="C1818"/>
      <c r="D1818"/>
      <c r="E1818"/>
      <c r="F1818"/>
      <c r="G1818"/>
      <c r="H1818"/>
      <c r="I1818" s="740"/>
      <c r="V1818"/>
      <c r="W1818"/>
      <c r="Y1818"/>
      <c r="Z1818"/>
      <c r="AA1818"/>
      <c r="AD1818"/>
      <c r="AE1818"/>
      <c r="AF1818"/>
      <c r="AH1818"/>
      <c r="AI1818"/>
      <c r="AJ1818"/>
      <c r="AM1818"/>
    </row>
    <row r="1819" spans="3:39">
      <c r="C1819"/>
      <c r="D1819"/>
      <c r="E1819"/>
      <c r="F1819"/>
      <c r="G1819"/>
      <c r="H1819"/>
      <c r="I1819" s="740"/>
      <c r="V1819"/>
      <c r="W1819"/>
      <c r="Y1819"/>
      <c r="Z1819"/>
      <c r="AA1819"/>
      <c r="AD1819"/>
      <c r="AE1819"/>
      <c r="AF1819"/>
      <c r="AH1819"/>
      <c r="AI1819"/>
      <c r="AJ1819"/>
      <c r="AM1819"/>
    </row>
    <row r="1820" spans="3:39">
      <c r="C1820"/>
      <c r="D1820"/>
      <c r="E1820"/>
      <c r="F1820"/>
      <c r="G1820"/>
      <c r="H1820"/>
      <c r="I1820" s="740"/>
      <c r="V1820"/>
      <c r="W1820"/>
      <c r="Y1820"/>
      <c r="Z1820"/>
      <c r="AA1820"/>
      <c r="AD1820"/>
      <c r="AE1820"/>
      <c r="AF1820"/>
      <c r="AH1820"/>
      <c r="AI1820"/>
      <c r="AJ1820"/>
      <c r="AM1820"/>
    </row>
    <row r="1821" spans="3:39">
      <c r="C1821"/>
      <c r="D1821"/>
      <c r="E1821"/>
      <c r="F1821"/>
      <c r="G1821"/>
      <c r="H1821"/>
      <c r="I1821" s="740"/>
      <c r="V1821"/>
      <c r="W1821"/>
      <c r="Y1821"/>
      <c r="Z1821"/>
      <c r="AA1821"/>
      <c r="AD1821"/>
      <c r="AE1821"/>
      <c r="AF1821"/>
      <c r="AH1821"/>
      <c r="AI1821"/>
      <c r="AJ1821"/>
      <c r="AM1821"/>
    </row>
    <row r="1822" spans="3:39">
      <c r="C1822"/>
      <c r="D1822"/>
      <c r="E1822"/>
      <c r="F1822"/>
      <c r="G1822"/>
      <c r="H1822"/>
      <c r="I1822" s="740"/>
      <c r="V1822"/>
      <c r="W1822"/>
      <c r="Y1822"/>
      <c r="Z1822"/>
      <c r="AA1822"/>
      <c r="AD1822"/>
      <c r="AE1822"/>
      <c r="AF1822"/>
      <c r="AH1822"/>
      <c r="AI1822"/>
      <c r="AJ1822"/>
      <c r="AM1822"/>
    </row>
    <row r="1823" spans="3:39">
      <c r="C1823"/>
      <c r="D1823"/>
      <c r="E1823"/>
      <c r="F1823"/>
      <c r="G1823"/>
      <c r="H1823"/>
      <c r="I1823" s="740"/>
      <c r="V1823"/>
      <c r="W1823"/>
      <c r="Y1823"/>
      <c r="Z1823"/>
      <c r="AA1823"/>
      <c r="AD1823"/>
      <c r="AE1823"/>
      <c r="AF1823"/>
      <c r="AH1823"/>
      <c r="AI1823"/>
      <c r="AJ1823"/>
      <c r="AM1823"/>
    </row>
    <row r="1824" spans="3:39">
      <c r="C1824"/>
      <c r="D1824"/>
      <c r="E1824"/>
      <c r="F1824"/>
      <c r="G1824"/>
      <c r="H1824"/>
      <c r="I1824" s="740"/>
      <c r="V1824"/>
      <c r="W1824"/>
      <c r="Y1824"/>
      <c r="Z1824"/>
      <c r="AA1824"/>
      <c r="AD1824"/>
      <c r="AE1824"/>
      <c r="AF1824"/>
      <c r="AH1824"/>
      <c r="AI1824"/>
      <c r="AJ1824"/>
      <c r="AM1824"/>
    </row>
    <row r="1825" spans="3:39">
      <c r="C1825"/>
      <c r="D1825"/>
      <c r="E1825"/>
      <c r="F1825"/>
      <c r="G1825"/>
      <c r="H1825"/>
      <c r="I1825" s="740"/>
      <c r="V1825"/>
      <c r="W1825"/>
      <c r="Y1825"/>
      <c r="Z1825"/>
      <c r="AA1825"/>
      <c r="AD1825"/>
      <c r="AE1825"/>
      <c r="AF1825"/>
      <c r="AH1825"/>
      <c r="AI1825"/>
      <c r="AJ1825"/>
      <c r="AM1825"/>
    </row>
    <row r="1826" spans="3:39">
      <c r="C1826"/>
      <c r="D1826"/>
      <c r="E1826"/>
      <c r="F1826"/>
      <c r="G1826"/>
      <c r="H1826"/>
      <c r="I1826" s="740"/>
      <c r="V1826"/>
      <c r="W1826"/>
      <c r="Y1826"/>
      <c r="Z1826"/>
      <c r="AA1826"/>
      <c r="AD1826"/>
      <c r="AE1826"/>
      <c r="AF1826"/>
      <c r="AH1826"/>
      <c r="AI1826"/>
      <c r="AJ1826"/>
      <c r="AM1826"/>
    </row>
    <row r="1827" spans="3:39">
      <c r="C1827"/>
      <c r="D1827"/>
      <c r="E1827"/>
      <c r="F1827"/>
      <c r="G1827"/>
      <c r="H1827"/>
      <c r="I1827" s="740"/>
      <c r="V1827"/>
      <c r="W1827"/>
      <c r="Y1827"/>
      <c r="Z1827"/>
      <c r="AA1827"/>
      <c r="AD1827"/>
      <c r="AE1827"/>
      <c r="AF1827"/>
      <c r="AH1827"/>
      <c r="AI1827"/>
      <c r="AJ1827"/>
      <c r="AM1827"/>
    </row>
    <row r="1828" spans="3:39">
      <c r="C1828"/>
      <c r="D1828"/>
      <c r="E1828"/>
      <c r="F1828"/>
      <c r="G1828"/>
      <c r="H1828"/>
      <c r="I1828" s="740"/>
      <c r="V1828"/>
      <c r="W1828"/>
      <c r="Y1828"/>
      <c r="Z1828"/>
      <c r="AA1828"/>
      <c r="AD1828"/>
      <c r="AE1828"/>
      <c r="AF1828"/>
      <c r="AH1828"/>
      <c r="AI1828"/>
      <c r="AJ1828"/>
      <c r="AM1828"/>
    </row>
    <row r="1829" spans="3:39">
      <c r="C1829"/>
      <c r="D1829"/>
      <c r="E1829"/>
      <c r="F1829"/>
      <c r="G1829"/>
      <c r="H1829"/>
      <c r="I1829" s="740"/>
      <c r="V1829"/>
      <c r="W1829"/>
      <c r="Y1829"/>
      <c r="Z1829"/>
      <c r="AA1829"/>
      <c r="AD1829"/>
      <c r="AE1829"/>
      <c r="AF1829"/>
      <c r="AH1829"/>
      <c r="AI1829"/>
      <c r="AJ1829"/>
      <c r="AM1829"/>
    </row>
    <row r="1830" spans="3:39">
      <c r="C1830"/>
      <c r="D1830"/>
      <c r="E1830"/>
      <c r="F1830"/>
      <c r="G1830"/>
      <c r="H1830"/>
      <c r="I1830" s="740"/>
      <c r="V1830"/>
      <c r="W1830"/>
      <c r="Y1830"/>
      <c r="Z1830"/>
      <c r="AA1830"/>
      <c r="AD1830"/>
      <c r="AE1830"/>
      <c r="AF1830"/>
      <c r="AH1830"/>
      <c r="AI1830"/>
      <c r="AJ1830"/>
      <c r="AM1830"/>
    </row>
    <row r="1831" spans="3:39">
      <c r="C1831"/>
      <c r="D1831"/>
      <c r="E1831"/>
      <c r="F1831"/>
      <c r="G1831"/>
      <c r="H1831"/>
      <c r="I1831" s="740"/>
      <c r="V1831"/>
      <c r="W1831"/>
      <c r="Y1831"/>
      <c r="Z1831"/>
      <c r="AA1831"/>
      <c r="AD1831"/>
      <c r="AE1831"/>
      <c r="AF1831"/>
      <c r="AH1831"/>
      <c r="AI1831"/>
      <c r="AJ1831"/>
      <c r="AM1831"/>
    </row>
    <row r="1832" spans="3:39">
      <c r="C1832"/>
      <c r="D1832"/>
      <c r="E1832"/>
      <c r="F1832"/>
      <c r="G1832"/>
      <c r="H1832"/>
      <c r="I1832" s="740"/>
      <c r="V1832"/>
      <c r="W1832"/>
      <c r="Y1832"/>
      <c r="Z1832"/>
      <c r="AA1832"/>
      <c r="AD1832"/>
      <c r="AE1832"/>
      <c r="AF1832"/>
      <c r="AH1832"/>
      <c r="AI1832"/>
      <c r="AJ1832"/>
      <c r="AM1832"/>
    </row>
    <row r="1833" spans="3:39">
      <c r="C1833"/>
      <c r="D1833"/>
      <c r="E1833"/>
      <c r="F1833"/>
      <c r="G1833"/>
      <c r="H1833"/>
      <c r="I1833" s="740"/>
      <c r="V1833"/>
      <c r="W1833"/>
      <c r="Y1833"/>
      <c r="Z1833"/>
      <c r="AA1833"/>
      <c r="AD1833"/>
      <c r="AE1833"/>
      <c r="AF1833"/>
      <c r="AH1833"/>
      <c r="AI1833"/>
      <c r="AJ1833"/>
      <c r="AM1833"/>
    </row>
    <row r="1834" spans="3:39">
      <c r="C1834"/>
      <c r="D1834"/>
      <c r="E1834"/>
      <c r="F1834"/>
      <c r="G1834"/>
      <c r="H1834"/>
      <c r="I1834" s="740"/>
      <c r="V1834"/>
      <c r="W1834"/>
      <c r="Y1834"/>
      <c r="Z1834"/>
      <c r="AA1834"/>
      <c r="AD1834"/>
      <c r="AE1834"/>
      <c r="AF1834"/>
      <c r="AH1834"/>
      <c r="AI1834"/>
      <c r="AJ1834"/>
      <c r="AM1834"/>
    </row>
    <row r="1835" spans="3:39">
      <c r="C1835"/>
      <c r="D1835"/>
      <c r="E1835"/>
      <c r="F1835"/>
      <c r="G1835"/>
      <c r="H1835"/>
      <c r="I1835" s="740"/>
      <c r="V1835"/>
      <c r="W1835"/>
      <c r="Y1835"/>
      <c r="Z1835"/>
      <c r="AA1835"/>
      <c r="AD1835"/>
      <c r="AE1835"/>
      <c r="AF1835"/>
      <c r="AH1835"/>
      <c r="AI1835"/>
      <c r="AJ1835"/>
      <c r="AM1835"/>
    </row>
    <row r="1836" spans="3:39">
      <c r="C1836"/>
      <c r="D1836"/>
      <c r="E1836"/>
      <c r="F1836"/>
      <c r="G1836"/>
      <c r="H1836"/>
      <c r="I1836" s="740"/>
      <c r="V1836"/>
      <c r="W1836"/>
      <c r="Y1836"/>
      <c r="Z1836"/>
      <c r="AA1836"/>
      <c r="AD1836"/>
      <c r="AE1836"/>
      <c r="AF1836"/>
      <c r="AH1836"/>
      <c r="AI1836"/>
      <c r="AJ1836"/>
      <c r="AM1836"/>
    </row>
    <row r="1837" spans="3:39">
      <c r="C1837"/>
      <c r="D1837"/>
      <c r="E1837"/>
      <c r="F1837"/>
      <c r="G1837"/>
      <c r="H1837"/>
      <c r="I1837" s="740"/>
      <c r="V1837"/>
      <c r="W1837"/>
      <c r="Y1837"/>
      <c r="Z1837"/>
      <c r="AA1837"/>
      <c r="AD1837"/>
      <c r="AE1837"/>
      <c r="AF1837"/>
      <c r="AH1837"/>
      <c r="AI1837"/>
      <c r="AJ1837"/>
      <c r="AM1837"/>
    </row>
    <row r="1838" spans="3:39">
      <c r="C1838"/>
      <c r="D1838"/>
      <c r="E1838"/>
      <c r="F1838"/>
      <c r="G1838"/>
      <c r="H1838"/>
      <c r="I1838" s="740"/>
      <c r="V1838"/>
      <c r="W1838"/>
      <c r="Y1838"/>
      <c r="Z1838"/>
      <c r="AA1838"/>
      <c r="AD1838"/>
      <c r="AE1838"/>
      <c r="AF1838"/>
      <c r="AH1838"/>
      <c r="AI1838"/>
      <c r="AJ1838"/>
      <c r="AM1838"/>
    </row>
    <row r="1839" spans="3:39">
      <c r="C1839"/>
      <c r="D1839"/>
      <c r="E1839"/>
      <c r="F1839"/>
      <c r="G1839"/>
      <c r="H1839"/>
      <c r="I1839" s="740"/>
      <c r="V1839"/>
      <c r="W1839"/>
      <c r="Y1839"/>
      <c r="Z1839"/>
      <c r="AA1839"/>
      <c r="AD1839"/>
      <c r="AE1839"/>
      <c r="AF1839"/>
      <c r="AH1839"/>
      <c r="AI1839"/>
      <c r="AJ1839"/>
      <c r="AM1839"/>
    </row>
    <row r="1840" spans="3:39">
      <c r="C1840"/>
      <c r="D1840"/>
      <c r="E1840"/>
      <c r="F1840"/>
      <c r="G1840"/>
      <c r="H1840"/>
      <c r="I1840" s="740"/>
      <c r="V1840"/>
      <c r="W1840"/>
      <c r="Y1840"/>
      <c r="Z1840"/>
      <c r="AA1840"/>
      <c r="AD1840"/>
      <c r="AE1840"/>
      <c r="AF1840"/>
      <c r="AH1840"/>
      <c r="AI1840"/>
      <c r="AJ1840"/>
      <c r="AM1840"/>
    </row>
    <row r="1841" spans="3:39">
      <c r="C1841"/>
      <c r="D1841"/>
      <c r="E1841"/>
      <c r="F1841"/>
      <c r="G1841"/>
      <c r="H1841"/>
      <c r="I1841" s="740"/>
      <c r="V1841"/>
      <c r="W1841"/>
      <c r="Y1841"/>
      <c r="Z1841"/>
      <c r="AA1841"/>
      <c r="AD1841"/>
      <c r="AE1841"/>
      <c r="AF1841"/>
      <c r="AH1841"/>
      <c r="AI1841"/>
      <c r="AJ1841"/>
      <c r="AM1841"/>
    </row>
    <row r="1842" spans="3:39">
      <c r="C1842"/>
      <c r="D1842"/>
      <c r="E1842"/>
      <c r="F1842"/>
      <c r="G1842"/>
      <c r="H1842"/>
      <c r="I1842" s="740"/>
      <c r="V1842"/>
      <c r="W1842"/>
      <c r="Y1842"/>
      <c r="Z1842"/>
      <c r="AA1842"/>
      <c r="AD1842"/>
      <c r="AE1842"/>
      <c r="AF1842"/>
      <c r="AH1842"/>
      <c r="AI1842"/>
      <c r="AJ1842"/>
      <c r="AM1842"/>
    </row>
    <row r="1843" spans="3:39">
      <c r="C1843"/>
      <c r="D1843"/>
      <c r="E1843"/>
      <c r="F1843"/>
      <c r="G1843"/>
      <c r="H1843"/>
      <c r="I1843" s="740"/>
      <c r="V1843"/>
      <c r="W1843"/>
      <c r="Y1843"/>
      <c r="Z1843"/>
      <c r="AA1843"/>
      <c r="AD1843"/>
      <c r="AE1843"/>
      <c r="AF1843"/>
      <c r="AH1843"/>
      <c r="AI1843"/>
      <c r="AJ1843"/>
      <c r="AM1843"/>
    </row>
    <row r="1844" spans="3:39">
      <c r="C1844"/>
      <c r="D1844"/>
      <c r="E1844"/>
      <c r="F1844"/>
      <c r="G1844"/>
      <c r="H1844"/>
      <c r="I1844" s="740"/>
      <c r="V1844"/>
      <c r="W1844"/>
      <c r="Y1844"/>
      <c r="Z1844"/>
      <c r="AA1844"/>
      <c r="AD1844"/>
      <c r="AE1844"/>
      <c r="AF1844"/>
      <c r="AH1844"/>
      <c r="AI1844"/>
      <c r="AJ1844"/>
      <c r="AM1844"/>
    </row>
    <row r="1845" spans="3:39">
      <c r="C1845"/>
      <c r="D1845"/>
      <c r="E1845"/>
      <c r="F1845"/>
      <c r="G1845"/>
      <c r="H1845"/>
      <c r="I1845" s="740"/>
      <c r="V1845"/>
      <c r="W1845"/>
      <c r="Y1845"/>
      <c r="Z1845"/>
      <c r="AA1845"/>
      <c r="AD1845"/>
      <c r="AE1845"/>
      <c r="AF1845"/>
      <c r="AH1845"/>
      <c r="AI1845"/>
      <c r="AJ1845"/>
      <c r="AM1845"/>
    </row>
    <row r="1846" spans="3:39">
      <c r="C1846"/>
      <c r="D1846"/>
      <c r="E1846"/>
      <c r="F1846"/>
      <c r="G1846"/>
      <c r="H1846"/>
      <c r="I1846" s="740"/>
      <c r="V1846"/>
      <c r="W1846"/>
      <c r="Y1846"/>
      <c r="Z1846"/>
      <c r="AA1846"/>
      <c r="AD1846"/>
      <c r="AE1846"/>
      <c r="AF1846"/>
      <c r="AH1846"/>
      <c r="AI1846"/>
      <c r="AJ1846"/>
      <c r="AM1846"/>
    </row>
    <row r="1847" spans="3:39">
      <c r="C1847"/>
      <c r="D1847"/>
      <c r="E1847"/>
      <c r="F1847"/>
      <c r="G1847"/>
      <c r="H1847"/>
      <c r="I1847" s="740"/>
      <c r="V1847"/>
      <c r="W1847"/>
      <c r="Y1847"/>
      <c r="Z1847"/>
      <c r="AA1847"/>
      <c r="AD1847"/>
      <c r="AE1847"/>
      <c r="AF1847"/>
      <c r="AH1847"/>
      <c r="AI1847"/>
      <c r="AJ1847"/>
      <c r="AM1847"/>
    </row>
    <row r="1848" spans="3:39">
      <c r="C1848"/>
      <c r="D1848"/>
      <c r="E1848"/>
      <c r="F1848"/>
      <c r="G1848"/>
      <c r="H1848"/>
      <c r="I1848" s="740"/>
      <c r="V1848"/>
      <c r="W1848"/>
      <c r="Y1848"/>
      <c r="Z1848"/>
      <c r="AA1848"/>
      <c r="AD1848"/>
      <c r="AE1848"/>
      <c r="AF1848"/>
      <c r="AH1848"/>
      <c r="AI1848"/>
      <c r="AJ1848"/>
      <c r="AM1848"/>
    </row>
    <row r="1849" spans="3:39">
      <c r="C1849"/>
      <c r="D1849"/>
      <c r="E1849"/>
      <c r="F1849"/>
      <c r="G1849"/>
      <c r="H1849"/>
      <c r="I1849" s="740"/>
      <c r="V1849"/>
      <c r="W1849"/>
      <c r="Y1849"/>
      <c r="Z1849"/>
      <c r="AA1849"/>
      <c r="AD1849"/>
      <c r="AE1849"/>
      <c r="AF1849"/>
      <c r="AH1849"/>
      <c r="AI1849"/>
      <c r="AJ1849"/>
      <c r="AM1849"/>
    </row>
    <row r="1850" spans="3:39">
      <c r="C1850"/>
      <c r="D1850"/>
      <c r="E1850"/>
      <c r="F1850"/>
      <c r="G1850"/>
      <c r="H1850"/>
      <c r="I1850" s="740"/>
      <c r="V1850"/>
      <c r="W1850"/>
      <c r="Y1850"/>
      <c r="Z1850"/>
      <c r="AA1850"/>
      <c r="AD1850"/>
      <c r="AE1850"/>
      <c r="AF1850"/>
      <c r="AH1850"/>
      <c r="AI1850"/>
      <c r="AJ1850"/>
      <c r="AM1850"/>
    </row>
    <row r="1851" spans="3:39">
      <c r="C1851"/>
      <c r="D1851"/>
      <c r="E1851"/>
      <c r="F1851"/>
      <c r="G1851"/>
      <c r="H1851"/>
      <c r="I1851" s="740"/>
      <c r="V1851"/>
      <c r="W1851"/>
      <c r="Y1851"/>
      <c r="Z1851"/>
      <c r="AA1851"/>
      <c r="AD1851"/>
      <c r="AE1851"/>
      <c r="AF1851"/>
      <c r="AH1851"/>
      <c r="AI1851"/>
      <c r="AJ1851"/>
      <c r="AM1851"/>
    </row>
    <row r="1852" spans="3:39">
      <c r="C1852"/>
      <c r="D1852"/>
      <c r="E1852"/>
      <c r="F1852"/>
      <c r="G1852"/>
      <c r="H1852"/>
      <c r="I1852" s="740"/>
      <c r="V1852"/>
      <c r="W1852"/>
      <c r="Y1852"/>
      <c r="Z1852"/>
      <c r="AA1852"/>
      <c r="AD1852"/>
      <c r="AE1852"/>
      <c r="AF1852"/>
      <c r="AH1852"/>
      <c r="AI1852"/>
      <c r="AJ1852"/>
      <c r="AM1852"/>
    </row>
    <row r="1853" spans="3:39">
      <c r="C1853"/>
      <c r="D1853"/>
      <c r="E1853"/>
      <c r="F1853"/>
      <c r="G1853"/>
      <c r="H1853"/>
      <c r="I1853" s="740"/>
      <c r="V1853"/>
      <c r="W1853"/>
      <c r="Y1853"/>
      <c r="Z1853"/>
      <c r="AA1853"/>
      <c r="AD1853"/>
      <c r="AE1853"/>
      <c r="AF1853"/>
      <c r="AH1853"/>
      <c r="AI1853"/>
      <c r="AJ1853"/>
      <c r="AM1853"/>
    </row>
    <row r="1854" spans="3:39">
      <c r="C1854"/>
      <c r="D1854"/>
      <c r="E1854"/>
      <c r="F1854"/>
      <c r="G1854"/>
      <c r="H1854"/>
      <c r="I1854" s="740"/>
      <c r="V1854"/>
      <c r="W1854"/>
      <c r="Y1854"/>
      <c r="Z1854"/>
      <c r="AA1854"/>
      <c r="AD1854"/>
      <c r="AE1854"/>
      <c r="AF1854"/>
      <c r="AH1854"/>
      <c r="AI1854"/>
      <c r="AJ1854"/>
      <c r="AM1854"/>
    </row>
    <row r="1855" spans="3:39">
      <c r="C1855"/>
      <c r="D1855"/>
      <c r="E1855"/>
      <c r="F1855"/>
      <c r="G1855"/>
      <c r="H1855"/>
      <c r="I1855" s="740"/>
      <c r="V1855"/>
      <c r="W1855"/>
      <c r="Y1855"/>
      <c r="Z1855"/>
      <c r="AA1855"/>
      <c r="AD1855"/>
      <c r="AE1855"/>
      <c r="AF1855"/>
      <c r="AH1855"/>
      <c r="AI1855"/>
      <c r="AJ1855"/>
      <c r="AM1855"/>
    </row>
    <row r="1856" spans="3:39">
      <c r="C1856"/>
      <c r="D1856"/>
      <c r="E1856"/>
      <c r="F1856"/>
      <c r="G1856"/>
      <c r="H1856"/>
      <c r="I1856" s="740"/>
      <c r="V1856"/>
      <c r="W1856"/>
      <c r="Y1856"/>
      <c r="Z1856"/>
      <c r="AA1856"/>
      <c r="AD1856"/>
      <c r="AE1856"/>
      <c r="AF1856"/>
      <c r="AH1856"/>
      <c r="AI1856"/>
      <c r="AJ1856"/>
      <c r="AM1856"/>
    </row>
    <row r="1857" spans="3:39">
      <c r="C1857"/>
      <c r="D1857"/>
      <c r="E1857"/>
      <c r="F1857"/>
      <c r="G1857"/>
      <c r="H1857"/>
      <c r="I1857" s="740"/>
      <c r="V1857"/>
      <c r="W1857"/>
      <c r="Y1857"/>
      <c r="Z1857"/>
      <c r="AA1857"/>
      <c r="AD1857"/>
      <c r="AE1857"/>
      <c r="AF1857"/>
      <c r="AH1857"/>
      <c r="AI1857"/>
      <c r="AJ1857"/>
      <c r="AM1857"/>
    </row>
    <row r="1858" spans="3:39">
      <c r="C1858"/>
      <c r="D1858"/>
      <c r="E1858"/>
      <c r="F1858"/>
      <c r="G1858"/>
      <c r="H1858"/>
      <c r="I1858" s="740"/>
      <c r="V1858"/>
      <c r="W1858"/>
      <c r="Y1858"/>
      <c r="Z1858"/>
      <c r="AA1858"/>
      <c r="AD1858"/>
      <c r="AE1858"/>
      <c r="AF1858"/>
      <c r="AH1858"/>
      <c r="AI1858"/>
      <c r="AJ1858"/>
      <c r="AM1858"/>
    </row>
    <row r="1859" spans="3:39">
      <c r="C1859"/>
      <c r="D1859"/>
      <c r="E1859"/>
      <c r="F1859"/>
      <c r="G1859"/>
      <c r="H1859"/>
      <c r="I1859" s="740"/>
      <c r="V1859"/>
      <c r="W1859"/>
      <c r="Y1859"/>
      <c r="Z1859"/>
      <c r="AA1859"/>
      <c r="AD1859"/>
      <c r="AE1859"/>
      <c r="AF1859"/>
      <c r="AH1859"/>
      <c r="AI1859"/>
      <c r="AJ1859"/>
      <c r="AM1859"/>
    </row>
    <row r="1860" spans="3:39">
      <c r="C1860"/>
      <c r="D1860"/>
      <c r="E1860"/>
      <c r="F1860"/>
      <c r="G1860"/>
      <c r="H1860"/>
      <c r="I1860" s="740"/>
      <c r="V1860"/>
      <c r="W1860"/>
      <c r="Y1860"/>
      <c r="Z1860"/>
      <c r="AA1860"/>
      <c r="AD1860"/>
      <c r="AE1860"/>
      <c r="AF1860"/>
      <c r="AH1860"/>
      <c r="AI1860"/>
      <c r="AJ1860"/>
      <c r="AM1860"/>
    </row>
    <row r="1861" spans="3:39">
      <c r="C1861"/>
      <c r="D1861"/>
      <c r="E1861"/>
      <c r="F1861"/>
      <c r="G1861"/>
      <c r="H1861"/>
      <c r="I1861" s="740"/>
      <c r="V1861"/>
      <c r="W1861"/>
      <c r="Y1861"/>
      <c r="Z1861"/>
      <c r="AA1861"/>
      <c r="AD1861"/>
      <c r="AE1861"/>
      <c r="AF1861"/>
      <c r="AH1861"/>
      <c r="AI1861"/>
      <c r="AJ1861"/>
      <c r="AM1861"/>
    </row>
    <row r="1862" spans="3:39">
      <c r="C1862"/>
      <c r="D1862"/>
      <c r="E1862"/>
      <c r="F1862"/>
      <c r="G1862"/>
      <c r="H1862"/>
      <c r="I1862" s="740"/>
      <c r="V1862"/>
      <c r="W1862"/>
      <c r="Y1862"/>
      <c r="Z1862"/>
      <c r="AA1862"/>
      <c r="AD1862"/>
      <c r="AE1862"/>
      <c r="AF1862"/>
      <c r="AH1862"/>
      <c r="AI1862"/>
      <c r="AJ1862"/>
      <c r="AM1862"/>
    </row>
    <row r="1863" spans="3:39">
      <c r="C1863"/>
      <c r="D1863"/>
      <c r="E1863"/>
      <c r="F1863"/>
      <c r="G1863"/>
      <c r="H1863"/>
      <c r="I1863" s="740"/>
      <c r="V1863"/>
      <c r="W1863"/>
      <c r="Y1863"/>
      <c r="Z1863"/>
      <c r="AA1863"/>
      <c r="AD1863"/>
      <c r="AE1863"/>
      <c r="AF1863"/>
      <c r="AH1863"/>
      <c r="AI1863"/>
      <c r="AJ1863"/>
      <c r="AM1863"/>
    </row>
    <row r="1864" spans="3:39">
      <c r="C1864"/>
      <c r="D1864"/>
      <c r="E1864"/>
      <c r="F1864"/>
      <c r="G1864"/>
      <c r="H1864"/>
      <c r="I1864" s="740"/>
      <c r="V1864"/>
      <c r="W1864"/>
      <c r="Y1864"/>
      <c r="Z1864"/>
      <c r="AA1864"/>
      <c r="AD1864"/>
      <c r="AE1864"/>
      <c r="AF1864"/>
      <c r="AH1864"/>
      <c r="AI1864"/>
      <c r="AJ1864"/>
      <c r="AM1864"/>
    </row>
    <row r="1865" spans="3:39">
      <c r="C1865"/>
      <c r="D1865"/>
      <c r="E1865"/>
      <c r="F1865"/>
      <c r="G1865"/>
      <c r="H1865"/>
      <c r="I1865" s="740"/>
      <c r="V1865"/>
      <c r="W1865"/>
      <c r="Y1865"/>
      <c r="Z1865"/>
      <c r="AA1865"/>
      <c r="AD1865"/>
      <c r="AE1865"/>
      <c r="AF1865"/>
      <c r="AH1865"/>
      <c r="AI1865"/>
      <c r="AJ1865"/>
      <c r="AM1865"/>
    </row>
    <row r="1866" spans="3:39">
      <c r="C1866"/>
      <c r="D1866"/>
      <c r="E1866"/>
      <c r="F1866"/>
      <c r="G1866"/>
      <c r="H1866"/>
      <c r="I1866" s="740"/>
      <c r="V1866"/>
      <c r="W1866"/>
      <c r="Y1866"/>
      <c r="Z1866"/>
      <c r="AA1866"/>
      <c r="AD1866"/>
      <c r="AE1866"/>
      <c r="AF1866"/>
      <c r="AH1866"/>
      <c r="AI1866"/>
      <c r="AJ1866"/>
      <c r="AM1866"/>
    </row>
    <row r="1867" spans="3:39">
      <c r="C1867"/>
      <c r="D1867"/>
      <c r="E1867"/>
      <c r="F1867"/>
      <c r="G1867"/>
      <c r="H1867"/>
      <c r="I1867" s="740"/>
      <c r="V1867"/>
      <c r="W1867"/>
      <c r="Y1867"/>
      <c r="Z1867"/>
      <c r="AA1867"/>
      <c r="AD1867"/>
      <c r="AE1867"/>
      <c r="AF1867"/>
      <c r="AH1867"/>
      <c r="AI1867"/>
      <c r="AJ1867"/>
      <c r="AM1867"/>
    </row>
    <row r="1868" spans="3:39">
      <c r="C1868"/>
      <c r="D1868"/>
      <c r="E1868"/>
      <c r="F1868"/>
      <c r="G1868"/>
      <c r="H1868"/>
      <c r="I1868" s="740"/>
      <c r="V1868"/>
      <c r="W1868"/>
      <c r="Y1868"/>
      <c r="Z1868"/>
      <c r="AA1868"/>
      <c r="AD1868"/>
      <c r="AE1868"/>
      <c r="AF1868"/>
      <c r="AH1868"/>
      <c r="AI1868"/>
      <c r="AJ1868"/>
      <c r="AM1868"/>
    </row>
    <row r="1869" spans="3:39">
      <c r="C1869"/>
      <c r="D1869"/>
      <c r="E1869"/>
      <c r="F1869"/>
      <c r="G1869"/>
      <c r="H1869"/>
      <c r="I1869" s="740"/>
      <c r="V1869"/>
      <c r="W1869"/>
      <c r="Y1869"/>
      <c r="Z1869"/>
      <c r="AA1869"/>
      <c r="AD1869"/>
      <c r="AE1869"/>
      <c r="AF1869"/>
      <c r="AH1869"/>
      <c r="AI1869"/>
      <c r="AJ1869"/>
      <c r="AM1869"/>
    </row>
    <row r="1870" spans="3:39">
      <c r="C1870"/>
      <c r="D1870"/>
      <c r="E1870"/>
      <c r="F1870"/>
      <c r="G1870"/>
      <c r="H1870"/>
      <c r="I1870" s="740"/>
      <c r="V1870"/>
      <c r="W1870"/>
      <c r="Y1870"/>
      <c r="Z1870"/>
      <c r="AA1870"/>
      <c r="AD1870"/>
      <c r="AE1870"/>
      <c r="AF1870"/>
      <c r="AH1870"/>
      <c r="AI1870"/>
      <c r="AJ1870"/>
      <c r="AM1870"/>
    </row>
    <row r="1871" spans="3:39">
      <c r="C1871"/>
      <c r="D1871"/>
      <c r="E1871"/>
      <c r="F1871"/>
      <c r="G1871"/>
      <c r="H1871"/>
      <c r="I1871" s="740"/>
      <c r="V1871"/>
      <c r="W1871"/>
      <c r="Y1871"/>
      <c r="Z1871"/>
      <c r="AA1871"/>
      <c r="AD1871"/>
      <c r="AE1871"/>
      <c r="AF1871"/>
      <c r="AH1871"/>
      <c r="AI1871"/>
      <c r="AJ1871"/>
      <c r="AM1871"/>
    </row>
    <row r="1872" spans="3:39">
      <c r="C1872"/>
      <c r="D1872"/>
      <c r="E1872"/>
      <c r="F1872"/>
      <c r="G1872"/>
      <c r="H1872"/>
      <c r="I1872" s="740"/>
      <c r="V1872"/>
      <c r="W1872"/>
      <c r="Y1872"/>
      <c r="Z1872"/>
      <c r="AA1872"/>
      <c r="AD1872"/>
      <c r="AE1872"/>
      <c r="AF1872"/>
      <c r="AH1872"/>
      <c r="AI1872"/>
      <c r="AJ1872"/>
      <c r="AM1872"/>
    </row>
    <row r="1873" spans="3:39">
      <c r="C1873"/>
      <c r="D1873"/>
      <c r="E1873"/>
      <c r="F1873"/>
      <c r="G1873"/>
      <c r="H1873"/>
      <c r="I1873" s="740"/>
      <c r="V1873"/>
      <c r="W1873"/>
      <c r="Y1873"/>
      <c r="Z1873"/>
      <c r="AA1873"/>
      <c r="AD1873"/>
      <c r="AE1873"/>
      <c r="AF1873"/>
      <c r="AH1873"/>
      <c r="AI1873"/>
      <c r="AJ1873"/>
      <c r="AM1873"/>
    </row>
    <row r="1874" spans="3:39">
      <c r="C1874"/>
      <c r="D1874"/>
      <c r="E1874"/>
      <c r="F1874"/>
      <c r="G1874"/>
      <c r="H1874"/>
      <c r="I1874" s="740"/>
      <c r="V1874"/>
      <c r="W1874"/>
      <c r="Y1874"/>
      <c r="Z1874"/>
      <c r="AA1874"/>
      <c r="AD1874"/>
      <c r="AE1874"/>
      <c r="AF1874"/>
      <c r="AH1874"/>
      <c r="AI1874"/>
      <c r="AJ1874"/>
      <c r="AM1874"/>
    </row>
    <row r="1875" spans="3:39">
      <c r="C1875"/>
      <c r="D1875"/>
      <c r="E1875"/>
      <c r="F1875"/>
      <c r="G1875"/>
      <c r="H1875"/>
      <c r="I1875" s="740"/>
      <c r="V1875"/>
      <c r="W1875"/>
      <c r="Y1875"/>
      <c r="Z1875"/>
      <c r="AA1875"/>
      <c r="AD1875"/>
      <c r="AE1875"/>
      <c r="AF1875"/>
      <c r="AH1875"/>
      <c r="AI1875"/>
      <c r="AJ1875"/>
      <c r="AM1875"/>
    </row>
    <row r="1876" spans="3:39">
      <c r="C1876"/>
      <c r="D1876"/>
      <c r="E1876"/>
      <c r="F1876"/>
      <c r="G1876"/>
      <c r="H1876"/>
      <c r="I1876" s="740"/>
      <c r="V1876"/>
      <c r="W1876"/>
      <c r="Y1876"/>
      <c r="Z1876"/>
      <c r="AA1876"/>
      <c r="AD1876"/>
      <c r="AE1876"/>
      <c r="AF1876"/>
      <c r="AH1876"/>
      <c r="AI1876"/>
      <c r="AJ1876"/>
      <c r="AM1876"/>
    </row>
    <row r="1877" spans="3:39">
      <c r="C1877"/>
      <c r="D1877"/>
      <c r="E1877"/>
      <c r="F1877"/>
      <c r="G1877"/>
      <c r="H1877"/>
      <c r="I1877" s="740"/>
      <c r="V1877"/>
      <c r="W1877"/>
      <c r="Y1877"/>
      <c r="Z1877"/>
      <c r="AA1877"/>
      <c r="AD1877"/>
      <c r="AE1877"/>
      <c r="AF1877"/>
      <c r="AH1877"/>
      <c r="AI1877"/>
      <c r="AJ1877"/>
      <c r="AM1877"/>
    </row>
    <row r="1878" spans="3:39">
      <c r="C1878"/>
      <c r="D1878"/>
      <c r="E1878"/>
      <c r="F1878"/>
      <c r="G1878"/>
      <c r="H1878"/>
      <c r="I1878" s="740"/>
      <c r="V1878"/>
      <c r="W1878"/>
      <c r="Y1878"/>
      <c r="Z1878"/>
      <c r="AA1878"/>
      <c r="AD1878"/>
      <c r="AE1878"/>
      <c r="AF1878"/>
      <c r="AH1878"/>
      <c r="AI1878"/>
      <c r="AJ1878"/>
      <c r="AM1878"/>
    </row>
    <row r="1879" spans="3:39">
      <c r="C1879"/>
      <c r="D1879"/>
      <c r="E1879"/>
      <c r="F1879"/>
      <c r="G1879"/>
      <c r="H1879"/>
      <c r="I1879" s="740"/>
      <c r="V1879"/>
      <c r="W1879"/>
      <c r="Y1879"/>
      <c r="Z1879"/>
      <c r="AA1879"/>
      <c r="AD1879"/>
      <c r="AE1879"/>
      <c r="AF1879"/>
      <c r="AH1879"/>
      <c r="AI1879"/>
      <c r="AJ1879"/>
      <c r="AM1879"/>
    </row>
    <row r="1880" spans="3:39">
      <c r="C1880"/>
      <c r="D1880"/>
      <c r="E1880"/>
      <c r="F1880"/>
      <c r="G1880"/>
      <c r="H1880"/>
      <c r="I1880" s="740"/>
      <c r="V1880"/>
      <c r="W1880"/>
      <c r="Y1880"/>
      <c r="Z1880"/>
      <c r="AA1880"/>
      <c r="AD1880"/>
      <c r="AE1880"/>
      <c r="AF1880"/>
      <c r="AH1880"/>
      <c r="AI1880"/>
      <c r="AJ1880"/>
      <c r="AM1880"/>
    </row>
    <row r="1881" spans="3:39">
      <c r="C1881"/>
      <c r="D1881"/>
      <c r="E1881"/>
      <c r="F1881"/>
      <c r="G1881"/>
      <c r="H1881"/>
      <c r="I1881" s="740"/>
      <c r="V1881"/>
      <c r="W1881"/>
      <c r="Y1881"/>
      <c r="Z1881"/>
      <c r="AA1881"/>
      <c r="AD1881"/>
      <c r="AE1881"/>
      <c r="AF1881"/>
      <c r="AH1881"/>
      <c r="AI1881"/>
      <c r="AJ1881"/>
      <c r="AM1881"/>
    </row>
    <row r="1882" spans="3:39">
      <c r="C1882"/>
      <c r="D1882"/>
      <c r="E1882"/>
      <c r="F1882"/>
      <c r="G1882"/>
      <c r="H1882"/>
      <c r="I1882" s="740"/>
      <c r="V1882"/>
      <c r="W1882"/>
      <c r="Y1882"/>
      <c r="Z1882"/>
      <c r="AA1882"/>
      <c r="AD1882"/>
      <c r="AE1882"/>
      <c r="AF1882"/>
      <c r="AH1882"/>
      <c r="AI1882"/>
      <c r="AJ1882"/>
      <c r="AM1882"/>
    </row>
    <row r="1883" spans="3:39">
      <c r="C1883"/>
      <c r="D1883"/>
      <c r="E1883"/>
      <c r="F1883"/>
      <c r="G1883"/>
      <c r="H1883"/>
      <c r="I1883" s="740"/>
      <c r="V1883"/>
      <c r="W1883"/>
      <c r="Y1883"/>
      <c r="Z1883"/>
      <c r="AA1883"/>
      <c r="AD1883"/>
      <c r="AE1883"/>
      <c r="AF1883"/>
      <c r="AH1883"/>
      <c r="AI1883"/>
      <c r="AJ1883"/>
      <c r="AM1883"/>
    </row>
    <row r="1884" spans="3:39">
      <c r="C1884"/>
      <c r="D1884"/>
      <c r="E1884"/>
      <c r="F1884"/>
      <c r="G1884"/>
      <c r="H1884"/>
      <c r="I1884" s="740"/>
      <c r="V1884"/>
      <c r="W1884"/>
      <c r="Y1884"/>
      <c r="Z1884"/>
      <c r="AA1884"/>
      <c r="AD1884"/>
      <c r="AE1884"/>
      <c r="AF1884"/>
      <c r="AH1884"/>
      <c r="AI1884"/>
      <c r="AJ1884"/>
      <c r="AM1884"/>
    </row>
    <row r="1885" spans="3:39">
      <c r="C1885"/>
      <c r="D1885"/>
      <c r="E1885"/>
      <c r="F1885"/>
      <c r="G1885"/>
      <c r="H1885"/>
      <c r="I1885" s="740"/>
      <c r="V1885"/>
      <c r="W1885"/>
      <c r="Y1885"/>
      <c r="Z1885"/>
      <c r="AA1885"/>
      <c r="AD1885"/>
      <c r="AE1885"/>
      <c r="AF1885"/>
      <c r="AH1885"/>
      <c r="AI1885"/>
      <c r="AJ1885"/>
      <c r="AM1885"/>
    </row>
    <row r="1886" spans="3:39">
      <c r="C1886"/>
      <c r="D1886"/>
      <c r="E1886"/>
      <c r="F1886"/>
      <c r="G1886"/>
      <c r="H1886"/>
      <c r="I1886" s="740"/>
      <c r="V1886"/>
      <c r="W1886"/>
      <c r="Y1886"/>
      <c r="Z1886"/>
      <c r="AA1886"/>
      <c r="AD1886"/>
      <c r="AE1886"/>
      <c r="AF1886"/>
      <c r="AH1886"/>
      <c r="AI1886"/>
      <c r="AJ1886"/>
      <c r="AM1886"/>
    </row>
    <row r="1887" spans="3:39">
      <c r="C1887"/>
      <c r="D1887"/>
      <c r="E1887"/>
      <c r="F1887"/>
      <c r="G1887"/>
      <c r="H1887"/>
      <c r="I1887" s="740"/>
      <c r="V1887"/>
      <c r="W1887"/>
      <c r="Y1887"/>
      <c r="Z1887"/>
      <c r="AA1887"/>
      <c r="AD1887"/>
      <c r="AE1887"/>
      <c r="AF1887"/>
      <c r="AH1887"/>
      <c r="AI1887"/>
      <c r="AJ1887"/>
      <c r="AM1887"/>
    </row>
    <row r="1888" spans="3:39">
      <c r="C1888"/>
      <c r="D1888"/>
      <c r="E1888"/>
      <c r="F1888"/>
      <c r="G1888"/>
      <c r="H1888"/>
      <c r="I1888" s="740"/>
      <c r="V1888"/>
      <c r="W1888"/>
      <c r="Y1888"/>
      <c r="Z1888"/>
      <c r="AA1888"/>
      <c r="AD1888"/>
      <c r="AE1888"/>
      <c r="AF1888"/>
      <c r="AH1888"/>
      <c r="AI1888"/>
      <c r="AJ1888"/>
      <c r="AM1888"/>
    </row>
    <row r="1889" spans="3:39">
      <c r="C1889"/>
      <c r="D1889"/>
      <c r="E1889"/>
      <c r="F1889"/>
      <c r="G1889"/>
      <c r="H1889"/>
      <c r="I1889" s="740"/>
      <c r="V1889"/>
      <c r="W1889"/>
      <c r="Y1889"/>
      <c r="Z1889"/>
      <c r="AA1889"/>
      <c r="AD1889"/>
      <c r="AE1889"/>
      <c r="AF1889"/>
      <c r="AH1889"/>
      <c r="AI1889"/>
      <c r="AJ1889"/>
      <c r="AM1889"/>
    </row>
    <row r="1890" spans="3:39">
      <c r="C1890"/>
      <c r="D1890"/>
      <c r="E1890"/>
      <c r="F1890"/>
      <c r="G1890"/>
      <c r="H1890"/>
      <c r="I1890" s="740"/>
      <c r="V1890"/>
      <c r="W1890"/>
      <c r="Y1890"/>
      <c r="Z1890"/>
      <c r="AA1890"/>
      <c r="AD1890"/>
      <c r="AE1890"/>
      <c r="AF1890"/>
      <c r="AH1890"/>
      <c r="AI1890"/>
      <c r="AJ1890"/>
      <c r="AM1890"/>
    </row>
    <row r="1891" spans="3:39">
      <c r="C1891"/>
      <c r="D1891"/>
      <c r="E1891"/>
      <c r="F1891"/>
      <c r="G1891"/>
      <c r="H1891"/>
      <c r="I1891" s="740"/>
      <c r="V1891"/>
      <c r="W1891"/>
      <c r="Y1891"/>
      <c r="Z1891"/>
      <c r="AA1891"/>
      <c r="AD1891"/>
      <c r="AE1891"/>
      <c r="AF1891"/>
      <c r="AH1891"/>
      <c r="AI1891"/>
      <c r="AJ1891"/>
      <c r="AM1891"/>
    </row>
    <row r="1892" spans="3:39">
      <c r="C1892"/>
      <c r="D1892"/>
      <c r="E1892"/>
      <c r="F1892"/>
      <c r="G1892"/>
      <c r="H1892"/>
      <c r="I1892" s="740"/>
      <c r="V1892"/>
      <c r="W1892"/>
      <c r="Y1892"/>
      <c r="Z1892"/>
      <c r="AA1892"/>
      <c r="AD1892"/>
      <c r="AE1892"/>
      <c r="AF1892"/>
      <c r="AH1892"/>
      <c r="AI1892"/>
      <c r="AJ1892"/>
      <c r="AM1892"/>
    </row>
    <row r="1893" spans="3:39">
      <c r="C1893"/>
      <c r="D1893"/>
      <c r="E1893"/>
      <c r="F1893"/>
      <c r="G1893"/>
      <c r="H1893"/>
      <c r="I1893" s="740"/>
      <c r="V1893"/>
      <c r="W1893"/>
      <c r="Y1893"/>
      <c r="Z1893"/>
      <c r="AA1893"/>
      <c r="AD1893"/>
      <c r="AE1893"/>
      <c r="AF1893"/>
      <c r="AH1893"/>
      <c r="AI1893"/>
      <c r="AJ1893"/>
      <c r="AM1893"/>
    </row>
    <row r="1894" spans="3:39">
      <c r="C1894"/>
      <c r="D1894"/>
      <c r="E1894"/>
      <c r="F1894"/>
      <c r="G1894"/>
      <c r="H1894"/>
      <c r="I1894" s="740"/>
      <c r="V1894"/>
      <c r="W1894"/>
      <c r="Y1894"/>
      <c r="Z1894"/>
      <c r="AA1894"/>
      <c r="AD1894"/>
      <c r="AE1894"/>
      <c r="AF1894"/>
      <c r="AH1894"/>
      <c r="AI1894"/>
      <c r="AJ1894"/>
      <c r="AM1894"/>
    </row>
    <row r="1895" spans="3:39">
      <c r="C1895"/>
      <c r="D1895"/>
      <c r="E1895"/>
      <c r="F1895"/>
      <c r="G1895"/>
      <c r="H1895"/>
      <c r="I1895" s="740"/>
      <c r="V1895"/>
      <c r="W1895"/>
      <c r="Y1895"/>
      <c r="Z1895"/>
      <c r="AA1895"/>
      <c r="AD1895"/>
      <c r="AE1895"/>
      <c r="AF1895"/>
      <c r="AH1895"/>
      <c r="AI1895"/>
      <c r="AJ1895"/>
      <c r="AM1895"/>
    </row>
    <row r="1896" spans="3:39">
      <c r="C1896"/>
      <c r="D1896"/>
      <c r="E1896"/>
      <c r="F1896"/>
      <c r="G1896"/>
      <c r="H1896"/>
      <c r="I1896" s="740"/>
      <c r="V1896"/>
      <c r="W1896"/>
      <c r="Y1896"/>
      <c r="Z1896"/>
      <c r="AA1896"/>
      <c r="AD1896"/>
      <c r="AE1896"/>
      <c r="AF1896"/>
      <c r="AH1896"/>
      <c r="AI1896"/>
      <c r="AJ1896"/>
      <c r="AM1896"/>
    </row>
    <row r="1897" spans="3:39">
      <c r="C1897"/>
      <c r="D1897"/>
      <c r="E1897"/>
      <c r="F1897"/>
      <c r="G1897"/>
      <c r="H1897"/>
      <c r="I1897" s="740"/>
      <c r="V1897"/>
      <c r="W1897"/>
      <c r="Y1897"/>
      <c r="Z1897"/>
      <c r="AA1897"/>
      <c r="AD1897"/>
      <c r="AE1897"/>
      <c r="AF1897"/>
      <c r="AH1897"/>
      <c r="AI1897"/>
      <c r="AJ1897"/>
      <c r="AM1897"/>
    </row>
    <row r="1898" spans="3:39">
      <c r="C1898"/>
      <c r="D1898"/>
      <c r="E1898"/>
      <c r="F1898"/>
      <c r="G1898"/>
      <c r="H1898"/>
      <c r="I1898" s="740"/>
      <c r="V1898"/>
      <c r="W1898"/>
      <c r="Y1898"/>
      <c r="Z1898"/>
      <c r="AA1898"/>
      <c r="AD1898"/>
      <c r="AE1898"/>
      <c r="AF1898"/>
      <c r="AH1898"/>
      <c r="AI1898"/>
      <c r="AJ1898"/>
      <c r="AM1898"/>
    </row>
    <row r="1899" spans="3:39">
      <c r="C1899"/>
      <c r="D1899"/>
      <c r="E1899"/>
      <c r="F1899"/>
      <c r="G1899"/>
      <c r="H1899"/>
      <c r="I1899" s="740"/>
      <c r="V1899"/>
      <c r="W1899"/>
      <c r="Y1899"/>
      <c r="Z1899"/>
      <c r="AA1899"/>
      <c r="AD1899"/>
      <c r="AE1899"/>
      <c r="AF1899"/>
      <c r="AH1899"/>
      <c r="AI1899"/>
      <c r="AJ1899"/>
      <c r="AM1899"/>
    </row>
    <row r="1900" spans="3:39">
      <c r="C1900"/>
      <c r="D1900"/>
      <c r="E1900"/>
      <c r="F1900"/>
      <c r="G1900"/>
      <c r="H1900"/>
      <c r="I1900" s="740"/>
      <c r="V1900"/>
      <c r="W1900"/>
      <c r="Y1900"/>
      <c r="Z1900"/>
      <c r="AA1900"/>
      <c r="AD1900"/>
      <c r="AE1900"/>
      <c r="AF1900"/>
      <c r="AH1900"/>
      <c r="AI1900"/>
      <c r="AJ1900"/>
      <c r="AM1900"/>
    </row>
    <row r="1901" spans="3:39">
      <c r="C1901"/>
      <c r="D1901"/>
      <c r="E1901"/>
      <c r="F1901"/>
      <c r="G1901"/>
      <c r="H1901"/>
      <c r="I1901" s="740"/>
      <c r="V1901"/>
      <c r="W1901"/>
      <c r="Y1901"/>
      <c r="Z1901"/>
      <c r="AA1901"/>
      <c r="AD1901"/>
      <c r="AE1901"/>
      <c r="AF1901"/>
      <c r="AH1901"/>
      <c r="AI1901"/>
      <c r="AJ1901"/>
      <c r="AM1901"/>
    </row>
    <row r="1902" spans="3:39">
      <c r="C1902"/>
      <c r="D1902"/>
      <c r="E1902"/>
      <c r="F1902"/>
      <c r="G1902"/>
      <c r="H1902"/>
      <c r="I1902" s="740"/>
      <c r="V1902"/>
      <c r="W1902"/>
      <c r="Y1902"/>
      <c r="Z1902"/>
      <c r="AA1902"/>
      <c r="AD1902"/>
      <c r="AE1902"/>
      <c r="AF1902"/>
      <c r="AH1902"/>
      <c r="AI1902"/>
      <c r="AJ1902"/>
      <c r="AM1902"/>
    </row>
    <row r="1903" spans="3:39">
      <c r="C1903"/>
      <c r="D1903"/>
      <c r="E1903"/>
      <c r="F1903"/>
      <c r="G1903"/>
      <c r="H1903"/>
      <c r="I1903" s="740"/>
      <c r="V1903"/>
      <c r="W1903"/>
      <c r="Y1903"/>
      <c r="Z1903"/>
      <c r="AA1903"/>
      <c r="AD1903"/>
      <c r="AE1903"/>
      <c r="AF1903"/>
      <c r="AH1903"/>
      <c r="AI1903"/>
      <c r="AJ1903"/>
      <c r="AM1903"/>
    </row>
    <row r="1904" spans="3:39">
      <c r="C1904"/>
      <c r="D1904"/>
      <c r="E1904"/>
      <c r="F1904"/>
      <c r="G1904"/>
      <c r="H1904"/>
      <c r="I1904" s="740"/>
      <c r="V1904"/>
      <c r="W1904"/>
      <c r="Y1904"/>
      <c r="Z1904"/>
      <c r="AA1904"/>
      <c r="AD1904"/>
      <c r="AE1904"/>
      <c r="AF1904"/>
      <c r="AH1904"/>
      <c r="AI1904"/>
      <c r="AJ1904"/>
      <c r="AM1904"/>
    </row>
    <row r="1905" spans="3:39">
      <c r="C1905"/>
      <c r="D1905"/>
      <c r="E1905"/>
      <c r="F1905"/>
      <c r="G1905"/>
      <c r="H1905"/>
      <c r="I1905" s="740"/>
      <c r="V1905"/>
      <c r="W1905"/>
      <c r="Y1905"/>
      <c r="Z1905"/>
      <c r="AA1905"/>
      <c r="AD1905"/>
      <c r="AE1905"/>
      <c r="AF1905"/>
      <c r="AH1905"/>
      <c r="AI1905"/>
      <c r="AJ1905"/>
      <c r="AM1905"/>
    </row>
    <row r="1906" spans="3:39">
      <c r="C1906"/>
      <c r="D1906"/>
      <c r="E1906"/>
      <c r="F1906"/>
      <c r="G1906"/>
      <c r="H1906"/>
      <c r="I1906" s="740"/>
      <c r="V1906"/>
      <c r="W1906"/>
      <c r="Y1906"/>
      <c r="Z1906"/>
      <c r="AA1906"/>
      <c r="AD1906"/>
      <c r="AE1906"/>
      <c r="AF1906"/>
      <c r="AH1906"/>
      <c r="AI1906"/>
      <c r="AJ1906"/>
      <c r="AM1906"/>
    </row>
    <row r="1907" spans="3:39">
      <c r="C1907"/>
      <c r="D1907"/>
      <c r="E1907"/>
      <c r="F1907"/>
      <c r="G1907"/>
      <c r="H1907"/>
      <c r="I1907" s="740"/>
      <c r="V1907"/>
      <c r="W1907"/>
      <c r="Y1907"/>
      <c r="Z1907"/>
      <c r="AA1907"/>
      <c r="AD1907"/>
      <c r="AE1907"/>
      <c r="AF1907"/>
      <c r="AH1907"/>
      <c r="AI1907"/>
      <c r="AJ1907"/>
      <c r="AM1907"/>
    </row>
    <row r="1908" spans="3:39">
      <c r="C1908"/>
      <c r="D1908"/>
      <c r="E1908"/>
      <c r="F1908"/>
      <c r="G1908"/>
      <c r="H1908"/>
      <c r="I1908" s="740"/>
      <c r="V1908"/>
      <c r="W1908"/>
      <c r="Y1908"/>
      <c r="Z1908"/>
      <c r="AA1908"/>
      <c r="AD1908"/>
      <c r="AE1908"/>
      <c r="AF1908"/>
      <c r="AH1908"/>
      <c r="AI1908"/>
      <c r="AJ1908"/>
      <c r="AM1908"/>
    </row>
    <row r="1909" spans="3:39">
      <c r="C1909"/>
      <c r="D1909"/>
      <c r="E1909"/>
      <c r="F1909"/>
      <c r="G1909"/>
      <c r="H1909"/>
      <c r="I1909" s="740"/>
      <c r="V1909"/>
      <c r="W1909"/>
      <c r="Y1909"/>
      <c r="Z1909"/>
      <c r="AA1909"/>
      <c r="AD1909"/>
      <c r="AE1909"/>
      <c r="AF1909"/>
      <c r="AH1909"/>
      <c r="AI1909"/>
      <c r="AJ1909"/>
      <c r="AM1909"/>
    </row>
    <row r="1910" spans="3:39">
      <c r="C1910"/>
      <c r="D1910"/>
      <c r="E1910"/>
      <c r="F1910"/>
      <c r="G1910"/>
      <c r="H1910"/>
      <c r="I1910" s="740"/>
      <c r="V1910"/>
      <c r="W1910"/>
      <c r="Y1910"/>
      <c r="Z1910"/>
      <c r="AA1910"/>
      <c r="AD1910"/>
      <c r="AE1910"/>
      <c r="AF1910"/>
      <c r="AH1910"/>
      <c r="AI1910"/>
      <c r="AJ1910"/>
      <c r="AM1910"/>
    </row>
    <row r="1911" spans="3:39">
      <c r="C1911"/>
      <c r="D1911"/>
      <c r="E1911"/>
      <c r="F1911"/>
      <c r="G1911"/>
      <c r="H1911"/>
      <c r="I1911" s="740"/>
      <c r="V1911"/>
      <c r="W1911"/>
      <c r="Y1911"/>
      <c r="Z1911"/>
      <c r="AA1911"/>
      <c r="AD1911"/>
      <c r="AE1911"/>
      <c r="AF1911"/>
      <c r="AH1911"/>
      <c r="AI1911"/>
      <c r="AJ1911"/>
      <c r="AM1911"/>
    </row>
    <row r="1912" spans="3:39">
      <c r="C1912"/>
      <c r="D1912"/>
      <c r="E1912"/>
      <c r="F1912"/>
      <c r="G1912"/>
      <c r="H1912"/>
      <c r="I1912" s="740"/>
      <c r="V1912"/>
      <c r="W1912"/>
      <c r="Y1912"/>
      <c r="Z1912"/>
      <c r="AA1912"/>
      <c r="AD1912"/>
      <c r="AE1912"/>
      <c r="AF1912"/>
      <c r="AH1912"/>
      <c r="AI1912"/>
      <c r="AJ1912"/>
      <c r="AM1912"/>
    </row>
    <row r="1913" spans="3:39">
      <c r="C1913"/>
      <c r="D1913"/>
      <c r="E1913"/>
      <c r="F1913"/>
      <c r="G1913"/>
      <c r="H1913"/>
      <c r="I1913" s="740"/>
      <c r="V1913"/>
      <c r="W1913"/>
      <c r="Y1913"/>
      <c r="Z1913"/>
      <c r="AA1913"/>
      <c r="AD1913"/>
      <c r="AE1913"/>
      <c r="AF1913"/>
      <c r="AH1913"/>
      <c r="AI1913"/>
      <c r="AJ1913"/>
      <c r="AM1913"/>
    </row>
    <row r="1914" spans="3:39">
      <c r="C1914"/>
      <c r="D1914"/>
      <c r="E1914"/>
      <c r="F1914"/>
      <c r="G1914"/>
      <c r="H1914"/>
      <c r="I1914" s="740"/>
      <c r="V1914"/>
      <c r="W1914"/>
      <c r="Y1914"/>
      <c r="Z1914"/>
      <c r="AA1914"/>
      <c r="AD1914"/>
      <c r="AE1914"/>
      <c r="AF1914"/>
      <c r="AH1914"/>
      <c r="AI1914"/>
      <c r="AJ1914"/>
      <c r="AM1914"/>
    </row>
    <row r="1915" spans="3:39">
      <c r="C1915"/>
      <c r="D1915"/>
      <c r="E1915"/>
      <c r="F1915"/>
      <c r="G1915"/>
      <c r="H1915"/>
      <c r="I1915" s="740"/>
      <c r="V1915"/>
      <c r="W1915"/>
      <c r="Y1915"/>
      <c r="Z1915"/>
      <c r="AA1915"/>
      <c r="AD1915"/>
      <c r="AE1915"/>
      <c r="AF1915"/>
      <c r="AH1915"/>
      <c r="AI1915"/>
      <c r="AJ1915"/>
      <c r="AM1915"/>
    </row>
    <row r="1916" spans="3:39">
      <c r="C1916"/>
      <c r="D1916"/>
      <c r="E1916"/>
      <c r="F1916"/>
      <c r="G1916"/>
      <c r="H1916"/>
      <c r="I1916" s="740"/>
      <c r="V1916"/>
      <c r="W1916"/>
      <c r="Y1916"/>
      <c r="Z1916"/>
      <c r="AA1916"/>
      <c r="AD1916"/>
      <c r="AE1916"/>
      <c r="AF1916"/>
      <c r="AH1916"/>
      <c r="AI1916"/>
      <c r="AJ1916"/>
      <c r="AM1916"/>
    </row>
    <row r="1917" spans="3:39">
      <c r="C1917"/>
      <c r="D1917"/>
      <c r="E1917"/>
      <c r="F1917"/>
      <c r="G1917"/>
      <c r="H1917"/>
      <c r="I1917" s="740"/>
      <c r="V1917"/>
      <c r="W1917"/>
      <c r="Y1917"/>
      <c r="Z1917"/>
      <c r="AA1917"/>
      <c r="AD1917"/>
      <c r="AE1917"/>
      <c r="AF1917"/>
      <c r="AH1917"/>
      <c r="AI1917"/>
      <c r="AJ1917"/>
      <c r="AM1917"/>
    </row>
    <row r="1918" spans="3:39">
      <c r="C1918"/>
      <c r="D1918"/>
      <c r="E1918"/>
      <c r="F1918"/>
      <c r="G1918"/>
      <c r="H1918"/>
      <c r="I1918" s="740"/>
      <c r="V1918"/>
      <c r="W1918"/>
      <c r="Y1918"/>
      <c r="Z1918"/>
      <c r="AA1918"/>
      <c r="AD1918"/>
      <c r="AE1918"/>
      <c r="AF1918"/>
      <c r="AH1918"/>
      <c r="AI1918"/>
      <c r="AJ1918"/>
      <c r="AM1918"/>
    </row>
    <row r="1919" spans="3:39">
      <c r="C1919"/>
      <c r="D1919"/>
      <c r="E1919"/>
      <c r="F1919"/>
      <c r="G1919"/>
      <c r="H1919"/>
      <c r="I1919" s="740"/>
      <c r="V1919"/>
      <c r="W1919"/>
      <c r="Y1919"/>
      <c r="Z1919"/>
      <c r="AA1919"/>
      <c r="AD1919"/>
      <c r="AE1919"/>
      <c r="AF1919"/>
      <c r="AH1919"/>
      <c r="AI1919"/>
      <c r="AJ1919"/>
      <c r="AM1919"/>
    </row>
    <row r="1920" spans="3:39">
      <c r="C1920"/>
      <c r="D1920"/>
      <c r="E1920"/>
      <c r="F1920"/>
      <c r="G1920"/>
      <c r="H1920"/>
      <c r="I1920" s="740"/>
      <c r="V1920"/>
      <c r="W1920"/>
      <c r="Y1920"/>
      <c r="Z1920"/>
      <c r="AA1920"/>
      <c r="AD1920"/>
      <c r="AE1920"/>
      <c r="AF1920"/>
      <c r="AH1920"/>
      <c r="AI1920"/>
      <c r="AJ1920"/>
      <c r="AM1920"/>
    </row>
    <row r="1921" spans="3:39">
      <c r="C1921"/>
      <c r="D1921"/>
      <c r="E1921"/>
      <c r="F1921"/>
      <c r="G1921"/>
      <c r="H1921"/>
      <c r="I1921" s="740"/>
      <c r="V1921"/>
      <c r="W1921"/>
      <c r="Y1921"/>
      <c r="Z1921"/>
      <c r="AA1921"/>
      <c r="AD1921"/>
      <c r="AE1921"/>
      <c r="AF1921"/>
      <c r="AH1921"/>
      <c r="AI1921"/>
      <c r="AJ1921"/>
      <c r="AM1921"/>
    </row>
    <row r="1922" spans="3:39">
      <c r="C1922"/>
      <c r="D1922"/>
      <c r="E1922"/>
      <c r="F1922"/>
      <c r="G1922"/>
      <c r="H1922"/>
      <c r="I1922" s="740"/>
      <c r="V1922"/>
      <c r="W1922"/>
      <c r="Y1922"/>
      <c r="Z1922"/>
      <c r="AA1922"/>
      <c r="AD1922"/>
      <c r="AE1922"/>
      <c r="AF1922"/>
      <c r="AH1922"/>
      <c r="AI1922"/>
      <c r="AJ1922"/>
      <c r="AM1922"/>
    </row>
    <row r="1923" spans="3:39">
      <c r="C1923"/>
      <c r="D1923"/>
      <c r="E1923"/>
      <c r="F1923"/>
      <c r="G1923"/>
      <c r="H1923"/>
      <c r="I1923" s="740"/>
      <c r="V1923"/>
      <c r="W1923"/>
      <c r="Y1923"/>
      <c r="Z1923"/>
      <c r="AA1923"/>
      <c r="AD1923"/>
      <c r="AE1923"/>
      <c r="AF1923"/>
      <c r="AH1923"/>
      <c r="AI1923"/>
      <c r="AJ1923"/>
      <c r="AM1923"/>
    </row>
    <row r="1924" spans="3:39">
      <c r="C1924"/>
      <c r="D1924"/>
      <c r="E1924"/>
      <c r="F1924"/>
      <c r="G1924"/>
      <c r="H1924"/>
      <c r="I1924" s="740"/>
      <c r="V1924"/>
      <c r="W1924"/>
      <c r="Y1924"/>
      <c r="Z1924"/>
      <c r="AA1924"/>
      <c r="AD1924"/>
      <c r="AE1924"/>
      <c r="AF1924"/>
      <c r="AH1924"/>
      <c r="AI1924"/>
      <c r="AJ1924"/>
      <c r="AM1924"/>
    </row>
    <row r="1925" spans="3:39">
      <c r="C1925"/>
      <c r="D1925"/>
      <c r="E1925"/>
      <c r="F1925"/>
      <c r="G1925"/>
      <c r="H1925"/>
      <c r="I1925" s="740"/>
      <c r="V1925"/>
      <c r="W1925"/>
      <c r="Y1925"/>
      <c r="Z1925"/>
      <c r="AA1925"/>
      <c r="AD1925"/>
      <c r="AE1925"/>
      <c r="AF1925"/>
      <c r="AH1925"/>
      <c r="AI1925"/>
      <c r="AJ1925"/>
      <c r="AM1925"/>
    </row>
    <row r="1926" spans="3:39">
      <c r="C1926"/>
      <c r="D1926"/>
      <c r="E1926"/>
      <c r="F1926"/>
      <c r="G1926"/>
      <c r="H1926"/>
      <c r="I1926" s="740"/>
      <c r="V1926"/>
      <c r="W1926"/>
      <c r="Y1926"/>
      <c r="Z1926"/>
      <c r="AA1926"/>
      <c r="AD1926"/>
      <c r="AE1926"/>
      <c r="AF1926"/>
      <c r="AH1926"/>
      <c r="AI1926"/>
      <c r="AJ1926"/>
      <c r="AM1926"/>
    </row>
    <row r="1927" spans="3:39">
      <c r="C1927"/>
      <c r="D1927"/>
      <c r="E1927"/>
      <c r="F1927"/>
      <c r="G1927"/>
      <c r="H1927"/>
      <c r="I1927" s="740"/>
      <c r="V1927"/>
      <c r="W1927"/>
      <c r="Y1927"/>
      <c r="Z1927"/>
      <c r="AA1927"/>
      <c r="AD1927"/>
      <c r="AE1927"/>
      <c r="AF1927"/>
      <c r="AH1927"/>
      <c r="AI1927"/>
      <c r="AJ1927"/>
      <c r="AM1927"/>
    </row>
    <row r="1928" spans="3:39">
      <c r="C1928"/>
      <c r="D1928"/>
      <c r="E1928"/>
      <c r="F1928"/>
      <c r="G1928"/>
      <c r="H1928"/>
      <c r="I1928" s="740"/>
      <c r="V1928"/>
      <c r="W1928"/>
      <c r="Y1928"/>
      <c r="Z1928"/>
      <c r="AA1928"/>
      <c r="AD1928"/>
      <c r="AE1928"/>
      <c r="AF1928"/>
      <c r="AH1928"/>
      <c r="AI1928"/>
      <c r="AJ1928"/>
      <c r="AM1928"/>
    </row>
    <row r="1929" spans="3:39">
      <c r="C1929"/>
      <c r="D1929"/>
      <c r="E1929"/>
      <c r="F1929"/>
      <c r="G1929"/>
      <c r="H1929"/>
      <c r="I1929" s="740"/>
      <c r="V1929"/>
      <c r="W1929"/>
      <c r="Y1929"/>
      <c r="Z1929"/>
      <c r="AA1929"/>
      <c r="AD1929"/>
      <c r="AE1929"/>
      <c r="AF1929"/>
      <c r="AH1929"/>
      <c r="AI1929"/>
      <c r="AJ1929"/>
      <c r="AM1929"/>
    </row>
    <row r="1930" spans="3:39">
      <c r="C1930"/>
      <c r="D1930"/>
      <c r="E1930"/>
      <c r="F1930"/>
      <c r="G1930"/>
      <c r="H1930"/>
      <c r="I1930" s="740"/>
      <c r="V1930"/>
      <c r="W1930"/>
      <c r="Y1930"/>
      <c r="Z1930"/>
      <c r="AA1930"/>
      <c r="AD1930"/>
      <c r="AE1930"/>
      <c r="AF1930"/>
      <c r="AH1930"/>
      <c r="AI1930"/>
      <c r="AJ1930"/>
      <c r="AM1930"/>
    </row>
    <row r="1931" spans="3:39">
      <c r="C1931"/>
      <c r="D1931"/>
      <c r="E1931"/>
      <c r="F1931"/>
      <c r="G1931"/>
      <c r="H1931"/>
      <c r="I1931" s="740"/>
      <c r="V1931"/>
      <c r="W1931"/>
      <c r="Y1931"/>
      <c r="Z1931"/>
      <c r="AA1931"/>
      <c r="AD1931"/>
      <c r="AE1931"/>
      <c r="AF1931"/>
      <c r="AH1931"/>
      <c r="AI1931"/>
      <c r="AJ1931"/>
      <c r="AM1931"/>
    </row>
    <row r="1932" spans="3:39">
      <c r="C1932"/>
      <c r="D1932"/>
      <c r="E1932"/>
      <c r="F1932"/>
      <c r="G1932"/>
      <c r="H1932"/>
      <c r="I1932" s="740"/>
      <c r="V1932"/>
      <c r="W1932"/>
      <c r="Y1932"/>
      <c r="Z1932"/>
      <c r="AA1932"/>
      <c r="AD1932"/>
      <c r="AE1932"/>
      <c r="AF1932"/>
      <c r="AH1932"/>
      <c r="AI1932"/>
      <c r="AJ1932"/>
      <c r="AM1932"/>
    </row>
    <row r="1933" spans="3:39">
      <c r="C1933"/>
      <c r="D1933"/>
      <c r="E1933"/>
      <c r="F1933"/>
      <c r="G1933"/>
      <c r="H1933"/>
      <c r="I1933" s="740"/>
      <c r="V1933"/>
      <c r="W1933"/>
      <c r="Y1933"/>
      <c r="Z1933"/>
      <c r="AA1933"/>
      <c r="AD1933"/>
      <c r="AE1933"/>
      <c r="AF1933"/>
      <c r="AH1933"/>
      <c r="AI1933"/>
      <c r="AJ1933"/>
      <c r="AM1933"/>
    </row>
    <row r="1934" spans="3:39">
      <c r="C1934"/>
      <c r="D1934"/>
      <c r="E1934"/>
      <c r="F1934"/>
      <c r="G1934"/>
      <c r="H1934"/>
      <c r="I1934" s="740"/>
      <c r="V1934"/>
      <c r="W1934"/>
      <c r="Y1934"/>
      <c r="Z1934"/>
      <c r="AA1934"/>
      <c r="AD1934"/>
      <c r="AE1934"/>
      <c r="AF1934"/>
      <c r="AH1934"/>
      <c r="AI1934"/>
      <c r="AJ1934"/>
      <c r="AM1934"/>
    </row>
    <row r="1935" spans="3:39">
      <c r="C1935"/>
      <c r="D1935"/>
      <c r="E1935"/>
      <c r="F1935"/>
      <c r="G1935"/>
      <c r="H1935"/>
      <c r="I1935" s="740"/>
      <c r="V1935"/>
      <c r="W1935"/>
      <c r="Y1935"/>
      <c r="Z1935"/>
      <c r="AA1935"/>
      <c r="AD1935"/>
      <c r="AE1935"/>
      <c r="AF1935"/>
      <c r="AH1935"/>
      <c r="AI1935"/>
      <c r="AJ1935"/>
      <c r="AM1935"/>
    </row>
    <row r="1936" spans="3:39">
      <c r="C1936"/>
      <c r="D1936"/>
      <c r="E1936"/>
      <c r="F1936"/>
      <c r="G1936"/>
      <c r="H1936"/>
      <c r="I1936" s="740"/>
      <c r="V1936"/>
      <c r="W1936"/>
      <c r="Y1936"/>
      <c r="Z1936"/>
      <c r="AA1936"/>
      <c r="AD1936"/>
      <c r="AE1936"/>
      <c r="AF1936"/>
      <c r="AH1936"/>
      <c r="AI1936"/>
      <c r="AJ1936"/>
      <c r="AM1936"/>
    </row>
    <row r="1937" spans="3:39">
      <c r="C1937"/>
      <c r="D1937"/>
      <c r="E1937"/>
      <c r="F1937"/>
      <c r="G1937"/>
      <c r="H1937"/>
      <c r="I1937" s="740"/>
      <c r="V1937"/>
      <c r="W1937"/>
      <c r="Y1937"/>
      <c r="Z1937"/>
      <c r="AA1937"/>
      <c r="AD1937"/>
      <c r="AE1937"/>
      <c r="AF1937"/>
      <c r="AH1937"/>
      <c r="AI1937"/>
      <c r="AJ1937"/>
      <c r="AM1937"/>
    </row>
    <row r="1938" spans="3:39">
      <c r="C1938"/>
      <c r="D1938"/>
      <c r="E1938"/>
      <c r="F1938"/>
      <c r="G1938"/>
      <c r="H1938"/>
      <c r="I1938" s="740"/>
      <c r="V1938"/>
      <c r="W1938"/>
      <c r="Y1938"/>
      <c r="Z1938"/>
      <c r="AA1938"/>
      <c r="AD1938"/>
      <c r="AE1938"/>
      <c r="AF1938"/>
      <c r="AH1938"/>
      <c r="AI1938"/>
      <c r="AJ1938"/>
      <c r="AM1938"/>
    </row>
    <row r="1939" spans="3:39">
      <c r="C1939"/>
      <c r="D1939"/>
      <c r="E1939"/>
      <c r="F1939"/>
      <c r="G1939"/>
      <c r="H1939"/>
      <c r="I1939" s="740"/>
      <c r="V1939"/>
      <c r="W1939"/>
      <c r="Y1939"/>
      <c r="Z1939"/>
      <c r="AA1939"/>
      <c r="AD1939"/>
      <c r="AE1939"/>
      <c r="AF1939"/>
      <c r="AH1939"/>
      <c r="AI1939"/>
      <c r="AJ1939"/>
      <c r="AM1939"/>
    </row>
    <row r="1940" spans="3:39">
      <c r="C1940"/>
      <c r="D1940"/>
      <c r="E1940"/>
      <c r="F1940"/>
      <c r="G1940"/>
      <c r="H1940"/>
      <c r="I1940" s="740"/>
      <c r="V1940"/>
      <c r="W1940"/>
      <c r="Y1940"/>
      <c r="Z1940"/>
      <c r="AA1940"/>
      <c r="AD1940"/>
      <c r="AE1940"/>
      <c r="AF1940"/>
      <c r="AH1940"/>
      <c r="AI1940"/>
      <c r="AJ1940"/>
      <c r="AM1940"/>
    </row>
    <row r="1941" spans="3:39">
      <c r="C1941"/>
      <c r="D1941"/>
      <c r="E1941"/>
      <c r="F1941"/>
      <c r="G1941"/>
      <c r="H1941"/>
      <c r="I1941" s="740"/>
      <c r="V1941"/>
      <c r="W1941"/>
      <c r="Y1941"/>
      <c r="Z1941"/>
      <c r="AA1941"/>
      <c r="AD1941"/>
      <c r="AE1941"/>
      <c r="AF1941"/>
      <c r="AH1941"/>
      <c r="AI1941"/>
      <c r="AJ1941"/>
      <c r="AM1941"/>
    </row>
    <row r="1942" spans="3:39">
      <c r="C1942"/>
      <c r="D1942"/>
      <c r="E1942"/>
      <c r="F1942"/>
      <c r="G1942"/>
      <c r="H1942"/>
      <c r="I1942" s="740"/>
      <c r="V1942"/>
      <c r="W1942"/>
      <c r="Y1942"/>
      <c r="Z1942"/>
      <c r="AA1942"/>
      <c r="AD1942"/>
      <c r="AE1942"/>
      <c r="AF1942"/>
      <c r="AH1942"/>
      <c r="AI1942"/>
      <c r="AJ1942"/>
      <c r="AM1942"/>
    </row>
    <row r="1943" spans="3:39">
      <c r="C1943"/>
      <c r="D1943"/>
      <c r="E1943"/>
      <c r="F1943"/>
      <c r="G1943"/>
      <c r="H1943"/>
      <c r="I1943" s="740"/>
      <c r="V1943"/>
      <c r="W1943"/>
      <c r="Y1943"/>
      <c r="Z1943"/>
      <c r="AA1943"/>
      <c r="AD1943"/>
      <c r="AE1943"/>
      <c r="AF1943"/>
      <c r="AH1943"/>
      <c r="AI1943"/>
      <c r="AJ1943"/>
      <c r="AM1943"/>
    </row>
    <row r="1944" spans="3:39">
      <c r="C1944"/>
      <c r="D1944"/>
      <c r="E1944"/>
      <c r="F1944"/>
      <c r="G1944"/>
      <c r="H1944"/>
      <c r="I1944" s="740"/>
      <c r="V1944"/>
      <c r="W1944"/>
      <c r="Y1944"/>
      <c r="Z1944"/>
      <c r="AA1944"/>
      <c r="AD1944"/>
      <c r="AE1944"/>
      <c r="AF1944"/>
      <c r="AH1944"/>
      <c r="AI1944"/>
      <c r="AJ1944"/>
      <c r="AM1944"/>
    </row>
    <row r="1945" spans="3:39">
      <c r="C1945"/>
      <c r="D1945"/>
      <c r="E1945"/>
      <c r="F1945"/>
      <c r="G1945"/>
      <c r="H1945"/>
      <c r="I1945" s="740"/>
      <c r="V1945"/>
      <c r="W1945"/>
      <c r="Y1945"/>
      <c r="Z1945"/>
      <c r="AA1945"/>
      <c r="AD1945"/>
      <c r="AE1945"/>
      <c r="AF1945"/>
      <c r="AH1945"/>
      <c r="AI1945"/>
      <c r="AJ1945"/>
      <c r="AM1945"/>
    </row>
    <row r="1946" spans="3:39">
      <c r="C1946"/>
      <c r="D1946"/>
      <c r="E1946"/>
      <c r="F1946"/>
      <c r="G1946"/>
      <c r="H1946"/>
      <c r="I1946" s="740"/>
      <c r="V1946"/>
      <c r="W1946"/>
      <c r="Y1946"/>
      <c r="Z1946"/>
      <c r="AA1946"/>
      <c r="AD1946"/>
      <c r="AE1946"/>
      <c r="AF1946"/>
      <c r="AH1946"/>
      <c r="AI1946"/>
      <c r="AJ1946"/>
      <c r="AM1946"/>
    </row>
    <row r="1947" spans="3:39">
      <c r="C1947"/>
      <c r="D1947"/>
      <c r="E1947"/>
      <c r="F1947"/>
      <c r="G1947"/>
      <c r="H1947"/>
      <c r="I1947" s="740"/>
      <c r="V1947"/>
      <c r="W1947"/>
      <c r="Y1947"/>
      <c r="Z1947"/>
      <c r="AA1947"/>
      <c r="AD1947"/>
      <c r="AE1947"/>
      <c r="AF1947"/>
      <c r="AH1947"/>
      <c r="AI1947"/>
      <c r="AJ1947"/>
      <c r="AM1947"/>
    </row>
    <row r="1948" spans="3:39">
      <c r="C1948"/>
      <c r="D1948"/>
      <c r="E1948"/>
      <c r="F1948"/>
      <c r="G1948"/>
      <c r="H1948"/>
      <c r="I1948" s="740"/>
      <c r="V1948"/>
      <c r="W1948"/>
      <c r="Y1948"/>
      <c r="Z1948"/>
      <c r="AA1948"/>
      <c r="AD1948"/>
      <c r="AE1948"/>
      <c r="AF1948"/>
      <c r="AH1948"/>
      <c r="AI1948"/>
      <c r="AJ1948"/>
      <c r="AM1948"/>
    </row>
    <row r="1949" spans="3:39">
      <c r="C1949"/>
      <c r="D1949"/>
      <c r="E1949"/>
      <c r="F1949"/>
      <c r="G1949"/>
      <c r="H1949"/>
      <c r="I1949" s="740"/>
      <c r="V1949"/>
      <c r="W1949"/>
      <c r="Y1949"/>
      <c r="Z1949"/>
      <c r="AA1949"/>
      <c r="AD1949"/>
      <c r="AE1949"/>
      <c r="AF1949"/>
      <c r="AH1949"/>
      <c r="AI1949"/>
      <c r="AJ1949"/>
      <c r="AM1949"/>
    </row>
    <row r="1950" spans="3:39">
      <c r="C1950"/>
      <c r="D1950"/>
      <c r="E1950"/>
      <c r="F1950"/>
      <c r="G1950"/>
      <c r="H1950"/>
      <c r="I1950" s="740"/>
      <c r="V1950"/>
      <c r="W1950"/>
      <c r="Y1950"/>
      <c r="Z1950"/>
      <c r="AA1950"/>
      <c r="AD1950"/>
      <c r="AE1950"/>
      <c r="AF1950"/>
      <c r="AH1950"/>
      <c r="AI1950"/>
      <c r="AJ1950"/>
      <c r="AM1950"/>
    </row>
    <row r="1951" spans="3:39">
      <c r="C1951"/>
      <c r="D1951"/>
      <c r="E1951"/>
      <c r="F1951"/>
      <c r="G1951"/>
      <c r="H1951"/>
      <c r="I1951" s="740"/>
      <c r="V1951"/>
      <c r="W1951"/>
      <c r="Y1951"/>
      <c r="Z1951"/>
      <c r="AA1951"/>
      <c r="AD1951"/>
      <c r="AE1951"/>
      <c r="AF1951"/>
      <c r="AH1951"/>
      <c r="AI1951"/>
      <c r="AJ1951"/>
      <c r="AM1951"/>
    </row>
    <row r="1952" spans="3:39">
      <c r="C1952"/>
      <c r="D1952"/>
      <c r="E1952"/>
      <c r="F1952"/>
      <c r="G1952"/>
      <c r="H1952"/>
      <c r="I1952" s="740"/>
      <c r="V1952"/>
      <c r="W1952"/>
      <c r="Y1952"/>
      <c r="Z1952"/>
      <c r="AA1952"/>
      <c r="AD1952"/>
      <c r="AE1952"/>
      <c r="AF1952"/>
      <c r="AH1952"/>
      <c r="AI1952"/>
      <c r="AJ1952"/>
      <c r="AM1952"/>
    </row>
    <row r="1953" spans="3:39">
      <c r="C1953"/>
      <c r="D1953"/>
      <c r="E1953"/>
      <c r="F1953"/>
      <c r="G1953"/>
      <c r="H1953"/>
      <c r="I1953" s="740"/>
      <c r="V1953"/>
      <c r="W1953"/>
      <c r="Y1953"/>
      <c r="Z1953"/>
      <c r="AA1953"/>
      <c r="AD1953"/>
      <c r="AE1953"/>
      <c r="AF1953"/>
      <c r="AH1953"/>
      <c r="AI1953"/>
      <c r="AJ1953"/>
      <c r="AM1953"/>
    </row>
    <row r="1954" spans="3:39">
      <c r="C1954"/>
      <c r="D1954"/>
      <c r="E1954"/>
      <c r="F1954"/>
      <c r="G1954"/>
      <c r="H1954"/>
      <c r="I1954" s="740"/>
      <c r="V1954"/>
      <c r="W1954"/>
      <c r="Y1954"/>
      <c r="Z1954"/>
      <c r="AA1954"/>
      <c r="AD1954"/>
      <c r="AE1954"/>
      <c r="AF1954"/>
      <c r="AH1954"/>
      <c r="AI1954"/>
      <c r="AJ1954"/>
      <c r="AM1954"/>
    </row>
    <row r="1955" spans="3:39">
      <c r="C1955"/>
      <c r="D1955"/>
      <c r="E1955"/>
      <c r="F1955"/>
      <c r="G1955"/>
      <c r="H1955"/>
      <c r="I1955" s="740"/>
      <c r="V1955"/>
      <c r="W1955"/>
      <c r="Y1955"/>
      <c r="Z1955"/>
      <c r="AA1955"/>
      <c r="AD1955"/>
      <c r="AE1955"/>
      <c r="AF1955"/>
      <c r="AH1955"/>
      <c r="AI1955"/>
      <c r="AJ1955"/>
      <c r="AM1955"/>
    </row>
    <row r="1956" spans="3:39">
      <c r="C1956"/>
      <c r="D1956"/>
      <c r="E1956"/>
      <c r="F1956"/>
      <c r="G1956"/>
      <c r="H1956"/>
      <c r="I1956" s="740"/>
      <c r="V1956"/>
      <c r="W1956"/>
      <c r="Y1956"/>
      <c r="Z1956"/>
      <c r="AA1956"/>
      <c r="AD1956"/>
      <c r="AE1956"/>
      <c r="AF1956"/>
      <c r="AH1956"/>
      <c r="AI1956"/>
      <c r="AJ1956"/>
      <c r="AM1956"/>
    </row>
    <row r="1957" spans="3:39">
      <c r="C1957"/>
      <c r="D1957"/>
      <c r="E1957"/>
      <c r="F1957"/>
      <c r="G1957"/>
      <c r="H1957"/>
      <c r="I1957" s="740"/>
      <c r="V1957"/>
      <c r="W1957"/>
      <c r="Y1957"/>
      <c r="Z1957"/>
      <c r="AA1957"/>
      <c r="AD1957"/>
      <c r="AE1957"/>
      <c r="AF1957"/>
      <c r="AH1957"/>
      <c r="AI1957"/>
      <c r="AJ1957"/>
      <c r="AM1957"/>
    </row>
    <row r="1958" spans="3:39">
      <c r="C1958"/>
      <c r="D1958"/>
      <c r="E1958"/>
      <c r="F1958"/>
      <c r="G1958"/>
      <c r="H1958"/>
      <c r="I1958" s="740"/>
      <c r="V1958"/>
      <c r="W1958"/>
      <c r="Y1958"/>
      <c r="Z1958"/>
      <c r="AA1958"/>
      <c r="AD1958"/>
      <c r="AE1958"/>
      <c r="AF1958"/>
      <c r="AH1958"/>
      <c r="AI1958"/>
      <c r="AJ1958"/>
      <c r="AM1958"/>
    </row>
    <row r="1959" spans="3:39">
      <c r="C1959"/>
      <c r="D1959"/>
      <c r="E1959"/>
      <c r="F1959"/>
      <c r="G1959"/>
      <c r="H1959"/>
      <c r="I1959" s="740"/>
      <c r="V1959"/>
      <c r="W1959"/>
      <c r="Y1959"/>
      <c r="Z1959"/>
      <c r="AA1959"/>
      <c r="AD1959"/>
      <c r="AE1959"/>
      <c r="AF1959"/>
      <c r="AH1959"/>
      <c r="AI1959"/>
      <c r="AJ1959"/>
      <c r="AM1959"/>
    </row>
    <row r="1960" spans="3:39">
      <c r="C1960"/>
      <c r="D1960"/>
      <c r="E1960"/>
      <c r="F1960"/>
      <c r="G1960"/>
      <c r="H1960"/>
      <c r="I1960" s="740"/>
      <c r="V1960"/>
      <c r="W1960"/>
      <c r="Y1960"/>
      <c r="Z1960"/>
      <c r="AA1960"/>
      <c r="AD1960"/>
      <c r="AE1960"/>
      <c r="AF1960"/>
      <c r="AH1960"/>
      <c r="AI1960"/>
      <c r="AJ1960"/>
      <c r="AM1960"/>
    </row>
    <row r="1961" spans="3:39">
      <c r="C1961"/>
      <c r="D1961"/>
      <c r="E1961"/>
      <c r="F1961"/>
      <c r="G1961"/>
      <c r="H1961"/>
      <c r="I1961" s="740"/>
      <c r="V1961"/>
      <c r="W1961"/>
      <c r="Y1961"/>
      <c r="Z1961"/>
      <c r="AA1961"/>
      <c r="AD1961"/>
      <c r="AE1961"/>
      <c r="AF1961"/>
      <c r="AH1961"/>
      <c r="AI1961"/>
      <c r="AJ1961"/>
      <c r="AM1961"/>
    </row>
    <row r="1962" spans="3:39">
      <c r="C1962"/>
      <c r="D1962"/>
      <c r="E1962"/>
      <c r="F1962"/>
      <c r="G1962"/>
      <c r="H1962"/>
      <c r="I1962" s="740"/>
      <c r="V1962"/>
      <c r="W1962"/>
      <c r="Y1962"/>
      <c r="Z1962"/>
      <c r="AA1962"/>
      <c r="AD1962"/>
      <c r="AE1962"/>
      <c r="AF1962"/>
      <c r="AH1962"/>
      <c r="AI1962"/>
      <c r="AJ1962"/>
      <c r="AM1962"/>
    </row>
    <row r="1963" spans="3:39">
      <c r="C1963"/>
      <c r="D1963"/>
      <c r="E1963"/>
      <c r="F1963"/>
      <c r="G1963"/>
      <c r="H1963"/>
      <c r="I1963" s="740"/>
      <c r="V1963"/>
      <c r="W1963"/>
      <c r="Y1963"/>
      <c r="Z1963"/>
      <c r="AA1963"/>
      <c r="AD1963"/>
      <c r="AE1963"/>
      <c r="AF1963"/>
      <c r="AH1963"/>
      <c r="AI1963"/>
      <c r="AJ1963"/>
      <c r="AM1963"/>
    </row>
    <row r="1964" spans="3:39">
      <c r="C1964"/>
      <c r="D1964"/>
      <c r="E1964"/>
      <c r="F1964"/>
      <c r="G1964"/>
      <c r="H1964"/>
      <c r="I1964" s="740"/>
      <c r="V1964"/>
      <c r="W1964"/>
      <c r="Y1964"/>
      <c r="Z1964"/>
      <c r="AA1964"/>
      <c r="AD1964"/>
      <c r="AE1964"/>
      <c r="AF1964"/>
      <c r="AH1964"/>
      <c r="AI1964"/>
      <c r="AJ1964"/>
      <c r="AM1964"/>
    </row>
    <row r="1965" spans="3:39">
      <c r="C1965"/>
      <c r="D1965"/>
      <c r="E1965"/>
      <c r="F1965"/>
      <c r="G1965"/>
      <c r="H1965"/>
      <c r="I1965" s="740"/>
      <c r="V1965"/>
      <c r="W1965"/>
      <c r="Y1965"/>
      <c r="Z1965"/>
      <c r="AA1965"/>
      <c r="AD1965"/>
      <c r="AE1965"/>
      <c r="AF1965"/>
      <c r="AH1965"/>
      <c r="AI1965"/>
      <c r="AJ1965"/>
      <c r="AM1965"/>
    </row>
    <row r="1966" spans="3:39">
      <c r="C1966"/>
      <c r="D1966"/>
      <c r="E1966"/>
      <c r="F1966"/>
      <c r="G1966"/>
      <c r="H1966"/>
      <c r="I1966" s="740"/>
      <c r="V1966"/>
      <c r="W1966"/>
      <c r="Y1966"/>
      <c r="Z1966"/>
      <c r="AA1966"/>
      <c r="AD1966"/>
      <c r="AE1966"/>
      <c r="AF1966"/>
      <c r="AH1966"/>
      <c r="AI1966"/>
      <c r="AJ1966"/>
      <c r="AM1966"/>
    </row>
    <row r="1967" spans="3:39">
      <c r="C1967"/>
      <c r="D1967"/>
      <c r="E1967"/>
      <c r="F1967"/>
      <c r="G1967"/>
      <c r="H1967"/>
      <c r="I1967" s="740"/>
      <c r="V1967"/>
      <c r="W1967"/>
      <c r="Y1967"/>
      <c r="Z1967"/>
      <c r="AA1967"/>
      <c r="AD1967"/>
      <c r="AE1967"/>
      <c r="AF1967"/>
      <c r="AH1967"/>
      <c r="AI1967"/>
      <c r="AJ1967"/>
      <c r="AM1967"/>
    </row>
    <row r="1968" spans="3:39">
      <c r="C1968"/>
      <c r="D1968"/>
      <c r="E1968"/>
      <c r="F1968"/>
      <c r="G1968"/>
      <c r="H1968"/>
      <c r="I1968" s="740"/>
      <c r="V1968"/>
      <c r="W1968"/>
      <c r="Y1968"/>
      <c r="Z1968"/>
      <c r="AA1968"/>
      <c r="AD1968"/>
      <c r="AE1968"/>
      <c r="AF1968"/>
      <c r="AH1968"/>
      <c r="AI1968"/>
      <c r="AJ1968"/>
      <c r="AM1968"/>
    </row>
    <row r="1969" spans="3:39">
      <c r="C1969"/>
      <c r="D1969"/>
      <c r="E1969"/>
      <c r="F1969"/>
      <c r="G1969"/>
      <c r="H1969"/>
      <c r="I1969" s="740"/>
      <c r="V1969"/>
      <c r="W1969"/>
      <c r="Y1969"/>
      <c r="Z1969"/>
      <c r="AA1969"/>
      <c r="AD1969"/>
      <c r="AE1969"/>
      <c r="AF1969"/>
      <c r="AH1969"/>
      <c r="AI1969"/>
      <c r="AJ1969"/>
      <c r="AM1969"/>
    </row>
    <row r="1970" spans="3:39">
      <c r="C1970"/>
      <c r="D1970"/>
      <c r="E1970"/>
      <c r="F1970"/>
      <c r="G1970"/>
      <c r="H1970"/>
      <c r="I1970" s="740"/>
      <c r="V1970"/>
      <c r="W1970"/>
      <c r="Y1970"/>
      <c r="Z1970"/>
      <c r="AA1970"/>
      <c r="AD1970"/>
      <c r="AE1970"/>
      <c r="AF1970"/>
      <c r="AH1970"/>
      <c r="AI1970"/>
      <c r="AJ1970"/>
      <c r="AM1970"/>
    </row>
    <row r="1971" spans="3:39">
      <c r="C1971"/>
      <c r="D1971"/>
      <c r="E1971"/>
      <c r="F1971"/>
      <c r="G1971"/>
      <c r="H1971"/>
      <c r="I1971" s="740"/>
      <c r="V1971"/>
      <c r="W1971"/>
      <c r="Y1971"/>
      <c r="Z1971"/>
      <c r="AA1971"/>
      <c r="AD1971"/>
      <c r="AE1971"/>
      <c r="AF1971"/>
      <c r="AH1971"/>
      <c r="AI1971"/>
      <c r="AJ1971"/>
      <c r="AM1971"/>
    </row>
    <row r="1972" spans="3:39">
      <c r="C1972"/>
      <c r="D1972"/>
      <c r="E1972"/>
      <c r="F1972"/>
      <c r="G1972"/>
      <c r="H1972"/>
      <c r="I1972" s="740"/>
      <c r="V1972"/>
      <c r="W1972"/>
      <c r="Y1972"/>
      <c r="Z1972"/>
      <c r="AA1972"/>
      <c r="AD1972"/>
      <c r="AE1972"/>
      <c r="AF1972"/>
      <c r="AH1972"/>
      <c r="AI1972"/>
      <c r="AJ1972"/>
      <c r="AM1972"/>
    </row>
    <row r="1973" spans="3:39">
      <c r="C1973"/>
      <c r="D1973"/>
      <c r="E1973"/>
      <c r="F1973"/>
      <c r="G1973"/>
      <c r="H1973"/>
      <c r="I1973" s="740"/>
      <c r="V1973"/>
      <c r="W1973"/>
      <c r="Y1973"/>
      <c r="Z1973"/>
      <c r="AA1973"/>
      <c r="AD1973"/>
      <c r="AE1973"/>
      <c r="AF1973"/>
      <c r="AH1973"/>
      <c r="AI1973"/>
      <c r="AJ1973"/>
      <c r="AM1973"/>
    </row>
    <row r="1974" spans="3:39">
      <c r="C1974"/>
      <c r="D1974"/>
      <c r="E1974"/>
      <c r="F1974"/>
      <c r="G1974"/>
      <c r="H1974"/>
      <c r="I1974" s="740"/>
      <c r="V1974"/>
      <c r="W1974"/>
      <c r="Y1974"/>
      <c r="Z1974"/>
      <c r="AA1974"/>
      <c r="AD1974"/>
      <c r="AE1974"/>
      <c r="AF1974"/>
      <c r="AH1974"/>
      <c r="AI1974"/>
      <c r="AJ1974"/>
      <c r="AM1974"/>
    </row>
    <row r="1975" spans="3:39">
      <c r="C1975"/>
      <c r="D1975"/>
      <c r="E1975"/>
      <c r="F1975"/>
      <c r="G1975"/>
      <c r="H1975"/>
      <c r="I1975" s="740"/>
      <c r="V1975"/>
      <c r="W1975"/>
      <c r="Y1975"/>
      <c r="Z1975"/>
      <c r="AA1975"/>
      <c r="AD1975"/>
      <c r="AE1975"/>
      <c r="AF1975"/>
      <c r="AH1975"/>
      <c r="AI1975"/>
      <c r="AJ1975"/>
      <c r="AM1975"/>
    </row>
    <row r="1976" spans="3:39">
      <c r="C1976"/>
      <c r="D1976"/>
      <c r="E1976"/>
      <c r="F1976"/>
      <c r="G1976"/>
      <c r="H1976"/>
      <c r="I1976" s="740"/>
      <c r="V1976"/>
      <c r="W1976"/>
      <c r="Y1976"/>
      <c r="Z1976"/>
      <c r="AA1976"/>
      <c r="AD1976"/>
      <c r="AE1976"/>
      <c r="AF1976"/>
      <c r="AH1976"/>
      <c r="AI1976"/>
      <c r="AJ1976"/>
      <c r="AM1976"/>
    </row>
    <row r="1977" spans="3:39">
      <c r="C1977"/>
      <c r="D1977"/>
      <c r="E1977"/>
      <c r="F1977"/>
      <c r="G1977"/>
      <c r="H1977"/>
      <c r="I1977" s="740"/>
      <c r="V1977"/>
      <c r="W1977"/>
      <c r="Y1977"/>
      <c r="Z1977"/>
      <c r="AA1977"/>
      <c r="AD1977"/>
      <c r="AE1977"/>
      <c r="AF1977"/>
      <c r="AH1977"/>
      <c r="AI1977"/>
      <c r="AJ1977"/>
      <c r="AM1977"/>
    </row>
    <row r="1978" spans="3:39">
      <c r="C1978"/>
      <c r="D1978"/>
      <c r="E1978"/>
      <c r="F1978"/>
      <c r="G1978"/>
      <c r="H1978"/>
      <c r="I1978" s="740"/>
      <c r="V1978"/>
      <c r="W1978"/>
      <c r="Y1978"/>
      <c r="Z1978"/>
      <c r="AA1978"/>
      <c r="AD1978"/>
      <c r="AE1978"/>
      <c r="AF1978"/>
      <c r="AH1978"/>
      <c r="AI1978"/>
      <c r="AJ1978"/>
      <c r="AM1978"/>
    </row>
    <row r="1979" spans="3:39">
      <c r="C1979"/>
      <c r="D1979"/>
      <c r="E1979"/>
      <c r="F1979"/>
      <c r="G1979"/>
      <c r="H1979"/>
      <c r="I1979" s="740"/>
      <c r="V1979"/>
      <c r="W1979"/>
      <c r="Y1979"/>
      <c r="Z1979"/>
      <c r="AA1979"/>
      <c r="AD1979"/>
      <c r="AE1979"/>
      <c r="AF1979"/>
      <c r="AH1979"/>
      <c r="AI1979"/>
      <c r="AJ1979"/>
      <c r="AM1979"/>
    </row>
    <row r="1980" spans="3:39">
      <c r="C1980"/>
      <c r="D1980"/>
      <c r="E1980"/>
      <c r="F1980"/>
      <c r="G1980"/>
      <c r="H1980"/>
      <c r="I1980" s="740"/>
      <c r="V1980"/>
      <c r="W1980"/>
      <c r="Y1980"/>
      <c r="Z1980"/>
      <c r="AA1980"/>
      <c r="AD1980"/>
      <c r="AE1980"/>
      <c r="AF1980"/>
      <c r="AH1980"/>
      <c r="AI1980"/>
      <c r="AJ1980"/>
      <c r="AM1980"/>
    </row>
    <row r="1981" spans="3:39">
      <c r="C1981"/>
      <c r="D1981"/>
      <c r="E1981"/>
      <c r="F1981"/>
      <c r="G1981"/>
      <c r="H1981"/>
      <c r="I1981" s="740"/>
      <c r="V1981"/>
      <c r="W1981"/>
      <c r="Y1981"/>
      <c r="Z1981"/>
      <c r="AA1981"/>
      <c r="AD1981"/>
      <c r="AE1981"/>
      <c r="AF1981"/>
      <c r="AH1981"/>
      <c r="AI1981"/>
      <c r="AJ1981"/>
      <c r="AM1981"/>
    </row>
    <row r="1982" spans="3:39">
      <c r="C1982"/>
      <c r="D1982"/>
      <c r="E1982"/>
      <c r="F1982"/>
      <c r="G1982"/>
      <c r="H1982"/>
      <c r="I1982" s="740"/>
      <c r="V1982"/>
      <c r="W1982"/>
      <c r="Y1982"/>
      <c r="Z1982"/>
      <c r="AA1982"/>
      <c r="AD1982"/>
      <c r="AE1982"/>
      <c r="AF1982"/>
      <c r="AH1982"/>
      <c r="AI1982"/>
      <c r="AJ1982"/>
      <c r="AM1982"/>
    </row>
    <row r="1983" spans="3:39">
      <c r="C1983"/>
      <c r="D1983"/>
      <c r="E1983"/>
      <c r="F1983"/>
      <c r="G1983"/>
      <c r="H1983"/>
      <c r="I1983" s="740"/>
      <c r="V1983"/>
      <c r="W1983"/>
      <c r="Y1983"/>
      <c r="Z1983"/>
      <c r="AA1983"/>
      <c r="AD1983"/>
      <c r="AE1983"/>
      <c r="AF1983"/>
      <c r="AH1983"/>
      <c r="AI1983"/>
      <c r="AJ1983"/>
      <c r="AM1983"/>
    </row>
    <row r="1984" spans="3:39">
      <c r="C1984"/>
      <c r="D1984"/>
      <c r="E1984"/>
      <c r="F1984"/>
      <c r="G1984"/>
      <c r="H1984"/>
      <c r="I1984" s="740"/>
      <c r="V1984"/>
      <c r="W1984"/>
      <c r="Y1984"/>
      <c r="Z1984"/>
      <c r="AA1984"/>
      <c r="AD1984"/>
      <c r="AE1984"/>
      <c r="AF1984"/>
      <c r="AH1984"/>
      <c r="AI1984"/>
      <c r="AJ1984"/>
      <c r="AM1984"/>
    </row>
    <row r="1985" spans="3:39">
      <c r="C1985"/>
      <c r="D1985"/>
      <c r="E1985"/>
      <c r="F1985"/>
      <c r="G1985"/>
      <c r="H1985"/>
      <c r="I1985" s="740"/>
      <c r="V1985"/>
      <c r="W1985"/>
      <c r="Y1985"/>
      <c r="Z1985"/>
      <c r="AA1985"/>
      <c r="AD1985"/>
      <c r="AE1985"/>
      <c r="AF1985"/>
      <c r="AH1985"/>
      <c r="AI1985"/>
      <c r="AJ1985"/>
      <c r="AM1985"/>
    </row>
    <row r="1986" spans="3:39">
      <c r="C1986"/>
      <c r="D1986"/>
      <c r="E1986"/>
      <c r="F1986"/>
      <c r="G1986"/>
      <c r="H1986"/>
      <c r="I1986" s="740"/>
      <c r="V1986"/>
      <c r="W1986"/>
      <c r="Y1986"/>
      <c r="Z1986"/>
      <c r="AA1986"/>
      <c r="AD1986"/>
      <c r="AE1986"/>
      <c r="AF1986"/>
      <c r="AH1986"/>
      <c r="AI1986"/>
      <c r="AJ1986"/>
      <c r="AM1986"/>
    </row>
    <row r="1987" spans="3:39">
      <c r="C1987"/>
      <c r="D1987"/>
      <c r="E1987"/>
      <c r="F1987"/>
      <c r="G1987"/>
      <c r="H1987"/>
      <c r="I1987" s="740"/>
      <c r="V1987"/>
      <c r="W1987"/>
      <c r="Y1987"/>
      <c r="Z1987"/>
      <c r="AA1987"/>
      <c r="AD1987"/>
      <c r="AE1987"/>
      <c r="AF1987"/>
      <c r="AH1987"/>
      <c r="AI1987"/>
      <c r="AJ1987"/>
      <c r="AM1987"/>
    </row>
    <row r="1988" spans="3:39">
      <c r="C1988"/>
      <c r="D1988"/>
      <c r="E1988"/>
      <c r="F1988"/>
      <c r="G1988"/>
      <c r="H1988"/>
      <c r="I1988" s="740"/>
      <c r="V1988"/>
      <c r="W1988"/>
      <c r="Y1988"/>
      <c r="Z1988"/>
      <c r="AA1988"/>
      <c r="AD1988"/>
      <c r="AE1988"/>
      <c r="AF1988"/>
      <c r="AH1988"/>
      <c r="AI1988"/>
      <c r="AJ1988"/>
      <c r="AM1988"/>
    </row>
    <row r="1989" spans="3:39">
      <c r="C1989"/>
      <c r="D1989"/>
      <c r="E1989"/>
      <c r="F1989"/>
      <c r="G1989"/>
      <c r="H1989"/>
      <c r="I1989" s="740"/>
      <c r="V1989"/>
      <c r="W1989"/>
      <c r="Y1989"/>
      <c r="Z1989"/>
      <c r="AA1989"/>
      <c r="AD1989"/>
      <c r="AE1989"/>
      <c r="AF1989"/>
      <c r="AH1989"/>
      <c r="AI1989"/>
      <c r="AJ1989"/>
      <c r="AM1989"/>
    </row>
    <row r="1990" spans="3:39">
      <c r="C1990"/>
      <c r="D1990"/>
      <c r="E1990"/>
      <c r="F1990"/>
      <c r="G1990"/>
      <c r="H1990"/>
      <c r="I1990" s="740"/>
      <c r="V1990"/>
      <c r="W1990"/>
      <c r="Y1990"/>
      <c r="Z1990"/>
      <c r="AA1990"/>
      <c r="AD1990"/>
      <c r="AE1990"/>
      <c r="AF1990"/>
      <c r="AH1990"/>
      <c r="AI1990"/>
      <c r="AJ1990"/>
      <c r="AM1990"/>
    </row>
    <row r="1991" spans="3:39">
      <c r="C1991"/>
      <c r="D1991"/>
      <c r="E1991"/>
      <c r="F1991"/>
      <c r="G1991"/>
      <c r="H1991"/>
      <c r="I1991" s="740"/>
      <c r="V1991"/>
      <c r="W1991"/>
      <c r="Y1991"/>
      <c r="Z1991"/>
      <c r="AA1991"/>
      <c r="AD1991"/>
      <c r="AE1991"/>
      <c r="AF1991"/>
      <c r="AH1991"/>
      <c r="AI1991"/>
      <c r="AJ1991"/>
      <c r="AM1991"/>
    </row>
    <row r="1992" spans="3:39">
      <c r="C1992"/>
      <c r="D1992"/>
      <c r="E1992"/>
      <c r="F1992"/>
      <c r="G1992"/>
      <c r="H1992"/>
      <c r="I1992" s="740"/>
      <c r="V1992"/>
      <c r="W1992"/>
      <c r="Y1992"/>
      <c r="Z1992"/>
      <c r="AA1992"/>
      <c r="AD1992"/>
      <c r="AE1992"/>
      <c r="AF1992"/>
      <c r="AH1992"/>
      <c r="AI1992"/>
      <c r="AJ1992"/>
      <c r="AM1992"/>
    </row>
    <row r="1993" spans="3:39">
      <c r="C1993"/>
      <c r="D1993"/>
      <c r="E1993"/>
      <c r="F1993"/>
      <c r="G1993"/>
      <c r="H1993"/>
      <c r="I1993" s="740"/>
      <c r="V1993"/>
      <c r="W1993"/>
      <c r="Y1993"/>
      <c r="Z1993"/>
      <c r="AA1993"/>
      <c r="AD1993"/>
      <c r="AE1993"/>
      <c r="AF1993"/>
      <c r="AH1993"/>
      <c r="AI1993"/>
      <c r="AJ1993"/>
      <c r="AM1993"/>
    </row>
    <row r="1994" spans="3:39">
      <c r="C1994"/>
      <c r="D1994"/>
      <c r="E1994"/>
      <c r="F1994"/>
      <c r="G1994"/>
      <c r="H1994"/>
      <c r="I1994" s="740"/>
      <c r="V1994"/>
      <c r="W1994"/>
      <c r="Y1994"/>
      <c r="Z1994"/>
      <c r="AA1994"/>
      <c r="AD1994"/>
      <c r="AE1994"/>
      <c r="AF1994"/>
      <c r="AH1994"/>
      <c r="AI1994"/>
      <c r="AJ1994"/>
      <c r="AM1994"/>
    </row>
    <row r="1995" spans="3:39">
      <c r="C1995"/>
      <c r="D1995"/>
      <c r="E1995"/>
      <c r="F1995"/>
      <c r="G1995"/>
      <c r="H1995"/>
      <c r="I1995" s="740"/>
      <c r="V1995"/>
      <c r="W1995"/>
      <c r="Y1995"/>
      <c r="Z1995"/>
      <c r="AA1995"/>
      <c r="AD1995"/>
      <c r="AE1995"/>
      <c r="AF1995"/>
      <c r="AH1995"/>
      <c r="AI1995"/>
      <c r="AJ1995"/>
      <c r="AM1995"/>
    </row>
    <row r="1996" spans="3:39">
      <c r="C1996"/>
      <c r="D1996"/>
      <c r="E1996"/>
      <c r="F1996"/>
      <c r="G1996"/>
      <c r="H1996"/>
      <c r="I1996" s="740"/>
      <c r="V1996"/>
      <c r="W1996"/>
      <c r="Y1996"/>
      <c r="Z1996"/>
      <c r="AA1996"/>
      <c r="AD1996"/>
      <c r="AE1996"/>
      <c r="AF1996"/>
      <c r="AH1996"/>
      <c r="AI1996"/>
      <c r="AJ1996"/>
      <c r="AM1996"/>
    </row>
    <row r="1997" spans="3:39">
      <c r="C1997"/>
      <c r="D1997"/>
      <c r="E1997"/>
      <c r="F1997"/>
      <c r="G1997"/>
      <c r="H1997"/>
      <c r="I1997" s="740"/>
      <c r="V1997"/>
      <c r="W1997"/>
      <c r="Y1997"/>
      <c r="Z1997"/>
      <c r="AA1997"/>
      <c r="AD1997"/>
      <c r="AE1997"/>
      <c r="AF1997"/>
      <c r="AH1997"/>
      <c r="AI1997"/>
      <c r="AJ1997"/>
      <c r="AM1997"/>
    </row>
    <row r="1998" spans="3:39">
      <c r="C1998"/>
      <c r="D1998"/>
      <c r="E1998"/>
      <c r="F1998"/>
      <c r="G1998"/>
      <c r="H1998"/>
      <c r="I1998" s="740"/>
      <c r="V1998"/>
      <c r="W1998"/>
      <c r="Y1998"/>
      <c r="Z1998"/>
      <c r="AA1998"/>
      <c r="AD1998"/>
      <c r="AE1998"/>
      <c r="AF1998"/>
      <c r="AH1998"/>
      <c r="AI1998"/>
      <c r="AJ1998"/>
      <c r="AM1998"/>
    </row>
    <row r="1999" spans="3:39">
      <c r="C1999"/>
      <c r="D1999"/>
      <c r="E1999"/>
      <c r="F1999"/>
      <c r="G1999"/>
      <c r="H1999"/>
      <c r="I1999" s="740"/>
      <c r="V1999"/>
      <c r="W1999"/>
      <c r="Y1999"/>
      <c r="Z1999"/>
      <c r="AA1999"/>
      <c r="AD1999"/>
      <c r="AE1999"/>
      <c r="AF1999"/>
      <c r="AH1999"/>
      <c r="AI1999"/>
      <c r="AJ1999"/>
      <c r="AM1999"/>
    </row>
    <row r="2000" spans="3:39">
      <c r="C2000"/>
      <c r="D2000"/>
      <c r="E2000"/>
      <c r="F2000"/>
      <c r="G2000"/>
      <c r="H2000"/>
      <c r="I2000" s="740"/>
      <c r="V2000"/>
      <c r="W2000"/>
      <c r="Y2000"/>
      <c r="Z2000"/>
      <c r="AA2000"/>
      <c r="AD2000"/>
      <c r="AE2000"/>
      <c r="AF2000"/>
      <c r="AH2000"/>
      <c r="AI2000"/>
      <c r="AJ2000"/>
      <c r="AM2000"/>
    </row>
    <row r="2001" spans="3:39">
      <c r="C2001"/>
      <c r="D2001"/>
      <c r="E2001"/>
      <c r="F2001"/>
      <c r="G2001"/>
      <c r="H2001"/>
      <c r="I2001" s="740"/>
      <c r="V2001"/>
      <c r="W2001"/>
      <c r="Y2001"/>
      <c r="Z2001"/>
      <c r="AA2001"/>
      <c r="AD2001"/>
      <c r="AE2001"/>
      <c r="AF2001"/>
      <c r="AH2001"/>
      <c r="AI2001"/>
      <c r="AJ2001"/>
      <c r="AM2001"/>
    </row>
    <row r="2002" spans="3:39">
      <c r="C2002"/>
      <c r="D2002"/>
      <c r="E2002"/>
      <c r="F2002"/>
      <c r="G2002"/>
      <c r="H2002"/>
      <c r="I2002" s="740"/>
      <c r="V2002"/>
      <c r="W2002"/>
      <c r="Y2002"/>
      <c r="Z2002"/>
      <c r="AA2002"/>
      <c r="AD2002"/>
      <c r="AE2002"/>
      <c r="AF2002"/>
      <c r="AH2002"/>
      <c r="AI2002"/>
      <c r="AJ2002"/>
      <c r="AM2002"/>
    </row>
    <row r="2003" spans="3:39">
      <c r="C2003"/>
      <c r="D2003"/>
      <c r="E2003"/>
      <c r="F2003"/>
      <c r="G2003"/>
      <c r="H2003"/>
      <c r="I2003" s="740"/>
      <c r="V2003"/>
      <c r="W2003"/>
      <c r="Y2003"/>
      <c r="Z2003"/>
      <c r="AA2003"/>
      <c r="AD2003"/>
      <c r="AE2003"/>
      <c r="AF2003"/>
      <c r="AH2003"/>
      <c r="AI2003"/>
      <c r="AJ2003"/>
      <c r="AM2003"/>
    </row>
    <row r="2004" spans="3:39">
      <c r="C2004"/>
      <c r="D2004"/>
      <c r="E2004"/>
      <c r="F2004"/>
      <c r="G2004"/>
      <c r="H2004"/>
      <c r="I2004" s="740"/>
      <c r="V2004"/>
      <c r="W2004"/>
      <c r="Y2004"/>
      <c r="Z2004"/>
      <c r="AA2004"/>
      <c r="AD2004"/>
      <c r="AE2004"/>
      <c r="AF2004"/>
      <c r="AH2004"/>
      <c r="AI2004"/>
      <c r="AJ2004"/>
      <c r="AM2004"/>
    </row>
    <row r="2005" spans="3:39">
      <c r="C2005"/>
      <c r="D2005"/>
      <c r="E2005"/>
      <c r="F2005"/>
      <c r="G2005"/>
      <c r="H2005"/>
      <c r="I2005" s="740"/>
      <c r="V2005"/>
      <c r="W2005"/>
      <c r="Y2005"/>
      <c r="Z2005"/>
      <c r="AA2005"/>
      <c r="AD2005"/>
      <c r="AE2005"/>
      <c r="AF2005"/>
      <c r="AH2005"/>
      <c r="AI2005"/>
      <c r="AJ2005"/>
      <c r="AM2005"/>
    </row>
    <row r="2006" spans="3:39">
      <c r="C2006"/>
      <c r="D2006"/>
      <c r="E2006"/>
      <c r="F2006"/>
      <c r="G2006"/>
      <c r="H2006"/>
      <c r="I2006" s="740"/>
      <c r="V2006"/>
      <c r="W2006"/>
      <c r="Y2006"/>
      <c r="Z2006"/>
      <c r="AA2006"/>
      <c r="AD2006"/>
      <c r="AE2006"/>
      <c r="AF2006"/>
      <c r="AH2006"/>
      <c r="AI2006"/>
      <c r="AJ2006"/>
      <c r="AM2006"/>
    </row>
    <row r="2007" spans="3:39">
      <c r="C2007"/>
      <c r="D2007"/>
      <c r="E2007"/>
      <c r="F2007"/>
      <c r="G2007"/>
      <c r="H2007"/>
      <c r="I2007" s="740"/>
      <c r="V2007"/>
      <c r="W2007"/>
      <c r="Y2007"/>
      <c r="Z2007"/>
      <c r="AA2007"/>
      <c r="AD2007"/>
      <c r="AE2007"/>
      <c r="AF2007"/>
      <c r="AH2007"/>
      <c r="AI2007"/>
      <c r="AJ2007"/>
      <c r="AM2007"/>
    </row>
    <row r="2008" spans="3:39">
      <c r="C2008"/>
      <c r="D2008"/>
      <c r="E2008"/>
      <c r="F2008"/>
      <c r="G2008"/>
      <c r="H2008"/>
      <c r="I2008" s="740"/>
      <c r="V2008"/>
      <c r="W2008"/>
      <c r="Y2008"/>
      <c r="Z2008"/>
      <c r="AA2008"/>
      <c r="AD2008"/>
      <c r="AE2008"/>
      <c r="AF2008"/>
      <c r="AH2008"/>
      <c r="AI2008"/>
      <c r="AJ2008"/>
      <c r="AM2008"/>
    </row>
    <row r="2009" spans="3:39">
      <c r="C2009"/>
      <c r="D2009"/>
      <c r="E2009"/>
      <c r="F2009"/>
      <c r="G2009"/>
      <c r="H2009"/>
      <c r="I2009" s="740"/>
      <c r="V2009"/>
      <c r="W2009"/>
      <c r="Y2009"/>
      <c r="Z2009"/>
      <c r="AA2009"/>
      <c r="AD2009"/>
      <c r="AE2009"/>
      <c r="AF2009"/>
      <c r="AH2009"/>
      <c r="AI2009"/>
      <c r="AJ2009"/>
      <c r="AM2009"/>
    </row>
    <row r="2010" spans="3:39">
      <c r="C2010"/>
      <c r="D2010"/>
      <c r="E2010"/>
      <c r="F2010"/>
      <c r="G2010"/>
      <c r="H2010"/>
      <c r="I2010" s="740"/>
      <c r="V2010"/>
      <c r="W2010"/>
      <c r="Y2010"/>
      <c r="Z2010"/>
      <c r="AA2010"/>
      <c r="AD2010"/>
      <c r="AE2010"/>
      <c r="AF2010"/>
      <c r="AH2010"/>
      <c r="AI2010"/>
      <c r="AJ2010"/>
      <c r="AM2010"/>
    </row>
    <row r="2011" spans="3:39">
      <c r="C2011"/>
      <c r="D2011"/>
      <c r="E2011"/>
      <c r="F2011"/>
      <c r="G2011"/>
      <c r="H2011"/>
      <c r="I2011" s="740"/>
      <c r="V2011"/>
      <c r="W2011"/>
      <c r="Y2011"/>
      <c r="Z2011"/>
      <c r="AA2011"/>
      <c r="AD2011"/>
      <c r="AE2011"/>
      <c r="AF2011"/>
      <c r="AH2011"/>
      <c r="AI2011"/>
      <c r="AJ2011"/>
      <c r="AM2011"/>
    </row>
    <row r="2012" spans="3:39">
      <c r="C2012"/>
      <c r="D2012"/>
      <c r="E2012"/>
      <c r="F2012"/>
      <c r="G2012"/>
      <c r="H2012"/>
      <c r="I2012" s="740"/>
      <c r="V2012"/>
      <c r="W2012"/>
      <c r="Y2012"/>
      <c r="Z2012"/>
      <c r="AA2012"/>
      <c r="AD2012"/>
      <c r="AE2012"/>
      <c r="AF2012"/>
      <c r="AH2012"/>
      <c r="AI2012"/>
      <c r="AJ2012"/>
      <c r="AM2012"/>
    </row>
    <row r="2013" spans="3:39">
      <c r="C2013"/>
      <c r="D2013"/>
      <c r="E2013"/>
      <c r="F2013"/>
      <c r="G2013"/>
      <c r="H2013"/>
      <c r="I2013" s="740"/>
      <c r="V2013"/>
      <c r="W2013"/>
      <c r="Y2013"/>
      <c r="Z2013"/>
      <c r="AA2013"/>
      <c r="AD2013"/>
      <c r="AE2013"/>
      <c r="AF2013"/>
      <c r="AH2013"/>
      <c r="AI2013"/>
      <c r="AJ2013"/>
      <c r="AM2013"/>
    </row>
    <row r="2014" spans="3:39">
      <c r="C2014"/>
      <c r="D2014"/>
      <c r="E2014"/>
      <c r="F2014"/>
      <c r="G2014"/>
      <c r="H2014"/>
      <c r="I2014" s="740"/>
      <c r="V2014"/>
      <c r="W2014"/>
      <c r="Y2014"/>
      <c r="Z2014"/>
      <c r="AA2014"/>
      <c r="AD2014"/>
      <c r="AE2014"/>
      <c r="AF2014"/>
      <c r="AH2014"/>
      <c r="AI2014"/>
      <c r="AJ2014"/>
      <c r="AM2014"/>
    </row>
    <row r="2015" spans="3:39">
      <c r="C2015"/>
      <c r="D2015"/>
      <c r="E2015"/>
      <c r="F2015"/>
      <c r="G2015"/>
      <c r="H2015"/>
      <c r="I2015" s="740"/>
      <c r="V2015"/>
      <c r="W2015"/>
      <c r="Y2015"/>
      <c r="Z2015"/>
      <c r="AA2015"/>
      <c r="AD2015"/>
      <c r="AE2015"/>
      <c r="AF2015"/>
      <c r="AH2015"/>
      <c r="AI2015"/>
      <c r="AJ2015"/>
      <c r="AM2015"/>
    </row>
    <row r="2016" spans="3:39">
      <c r="C2016"/>
      <c r="D2016"/>
      <c r="E2016"/>
      <c r="F2016"/>
      <c r="G2016"/>
      <c r="H2016"/>
      <c r="I2016" s="740"/>
      <c r="V2016"/>
      <c r="W2016"/>
      <c r="Y2016"/>
      <c r="Z2016"/>
      <c r="AA2016"/>
      <c r="AD2016"/>
      <c r="AE2016"/>
      <c r="AF2016"/>
      <c r="AH2016"/>
      <c r="AI2016"/>
      <c r="AJ2016"/>
      <c r="AM2016"/>
    </row>
    <row r="2017" spans="3:39">
      <c r="C2017"/>
      <c r="D2017"/>
      <c r="E2017"/>
      <c r="F2017"/>
      <c r="G2017"/>
      <c r="H2017"/>
      <c r="I2017" s="740"/>
      <c r="V2017"/>
      <c r="W2017"/>
      <c r="Y2017"/>
      <c r="Z2017"/>
      <c r="AA2017"/>
      <c r="AD2017"/>
      <c r="AE2017"/>
      <c r="AF2017"/>
      <c r="AH2017"/>
      <c r="AI2017"/>
      <c r="AJ2017"/>
      <c r="AM2017"/>
    </row>
    <row r="2018" spans="3:39">
      <c r="C2018"/>
      <c r="D2018"/>
      <c r="E2018"/>
      <c r="F2018"/>
      <c r="G2018"/>
      <c r="H2018"/>
      <c r="I2018" s="740"/>
      <c r="V2018"/>
      <c r="W2018"/>
      <c r="Y2018"/>
      <c r="Z2018"/>
      <c r="AA2018"/>
      <c r="AD2018"/>
      <c r="AE2018"/>
      <c r="AF2018"/>
      <c r="AH2018"/>
      <c r="AI2018"/>
      <c r="AJ2018"/>
      <c r="AM2018"/>
    </row>
    <row r="2019" spans="3:39">
      <c r="C2019"/>
      <c r="D2019"/>
      <c r="E2019"/>
      <c r="F2019"/>
      <c r="G2019"/>
      <c r="H2019"/>
      <c r="I2019" s="740"/>
      <c r="V2019"/>
      <c r="W2019"/>
      <c r="Y2019"/>
      <c r="Z2019"/>
      <c r="AA2019"/>
      <c r="AD2019"/>
      <c r="AE2019"/>
      <c r="AF2019"/>
      <c r="AH2019"/>
      <c r="AI2019"/>
      <c r="AJ2019"/>
      <c r="AM2019"/>
    </row>
    <row r="2020" spans="3:39">
      <c r="C2020"/>
      <c r="D2020"/>
      <c r="E2020"/>
      <c r="F2020"/>
      <c r="G2020"/>
      <c r="H2020"/>
      <c r="I2020" s="740"/>
      <c r="V2020"/>
      <c r="W2020"/>
      <c r="Y2020"/>
      <c r="Z2020"/>
      <c r="AA2020"/>
      <c r="AD2020"/>
      <c r="AE2020"/>
      <c r="AF2020"/>
      <c r="AH2020"/>
      <c r="AI2020"/>
      <c r="AJ2020"/>
      <c r="AM2020"/>
    </row>
    <row r="2021" spans="3:39">
      <c r="C2021"/>
      <c r="D2021"/>
      <c r="E2021"/>
      <c r="F2021"/>
      <c r="G2021"/>
      <c r="H2021"/>
      <c r="I2021" s="740"/>
      <c r="V2021"/>
      <c r="W2021"/>
      <c r="Y2021"/>
      <c r="Z2021"/>
      <c r="AA2021"/>
      <c r="AD2021"/>
      <c r="AE2021"/>
      <c r="AF2021"/>
      <c r="AH2021"/>
      <c r="AI2021"/>
      <c r="AJ2021"/>
      <c r="AM2021"/>
    </row>
    <row r="2022" spans="3:39">
      <c r="C2022"/>
      <c r="D2022"/>
      <c r="E2022"/>
      <c r="F2022"/>
      <c r="G2022"/>
      <c r="H2022"/>
      <c r="I2022" s="740"/>
      <c r="V2022"/>
      <c r="W2022"/>
      <c r="Y2022"/>
      <c r="Z2022"/>
      <c r="AA2022"/>
      <c r="AD2022"/>
      <c r="AE2022"/>
      <c r="AF2022"/>
      <c r="AH2022"/>
      <c r="AI2022"/>
      <c r="AJ2022"/>
      <c r="AM2022"/>
    </row>
    <row r="2023" spans="3:39">
      <c r="C2023"/>
      <c r="D2023"/>
      <c r="E2023"/>
      <c r="F2023"/>
      <c r="G2023"/>
      <c r="H2023"/>
      <c r="I2023" s="740"/>
      <c r="V2023"/>
      <c r="W2023"/>
      <c r="Y2023"/>
      <c r="Z2023"/>
      <c r="AA2023"/>
      <c r="AD2023"/>
      <c r="AE2023"/>
      <c r="AF2023"/>
      <c r="AH2023"/>
      <c r="AI2023"/>
      <c r="AJ2023"/>
      <c r="AM2023"/>
    </row>
    <row r="2024" spans="3:39">
      <c r="C2024"/>
      <c r="D2024"/>
      <c r="E2024"/>
      <c r="F2024"/>
      <c r="G2024"/>
      <c r="H2024"/>
      <c r="I2024" s="740"/>
      <c r="V2024"/>
      <c r="W2024"/>
      <c r="Y2024"/>
      <c r="Z2024"/>
      <c r="AA2024"/>
      <c r="AD2024"/>
      <c r="AE2024"/>
      <c r="AF2024"/>
      <c r="AH2024"/>
      <c r="AI2024"/>
      <c r="AJ2024"/>
      <c r="AM2024"/>
    </row>
    <row r="2025" spans="3:39">
      <c r="C2025"/>
      <c r="D2025"/>
      <c r="E2025"/>
      <c r="F2025"/>
      <c r="G2025"/>
      <c r="H2025"/>
      <c r="I2025" s="740"/>
      <c r="V2025"/>
      <c r="W2025"/>
      <c r="Y2025"/>
      <c r="Z2025"/>
      <c r="AA2025"/>
      <c r="AD2025"/>
      <c r="AE2025"/>
      <c r="AF2025"/>
      <c r="AH2025"/>
      <c r="AI2025"/>
      <c r="AJ2025"/>
      <c r="AM2025"/>
    </row>
    <row r="2026" spans="3:39">
      <c r="C2026"/>
      <c r="D2026"/>
      <c r="E2026"/>
      <c r="F2026"/>
      <c r="G2026"/>
      <c r="H2026"/>
      <c r="I2026" s="740"/>
      <c r="V2026"/>
      <c r="W2026"/>
      <c r="Y2026"/>
      <c r="Z2026"/>
      <c r="AA2026"/>
      <c r="AD2026"/>
      <c r="AE2026"/>
      <c r="AF2026"/>
      <c r="AH2026"/>
      <c r="AI2026"/>
      <c r="AJ2026"/>
      <c r="AM2026"/>
    </row>
    <row r="2027" spans="3:39">
      <c r="C2027"/>
      <c r="D2027"/>
      <c r="E2027"/>
      <c r="F2027"/>
      <c r="G2027"/>
      <c r="H2027"/>
      <c r="I2027" s="740"/>
      <c r="V2027"/>
      <c r="W2027"/>
      <c r="Y2027"/>
      <c r="Z2027"/>
      <c r="AA2027"/>
      <c r="AD2027"/>
      <c r="AE2027"/>
      <c r="AF2027"/>
      <c r="AH2027"/>
      <c r="AI2027"/>
      <c r="AJ2027"/>
      <c r="AM2027"/>
    </row>
    <row r="2028" spans="3:39">
      <c r="C2028"/>
      <c r="D2028"/>
      <c r="E2028"/>
      <c r="F2028"/>
      <c r="G2028"/>
      <c r="H2028"/>
      <c r="I2028" s="740"/>
      <c r="V2028"/>
      <c r="W2028"/>
      <c r="Y2028"/>
      <c r="Z2028"/>
      <c r="AA2028"/>
      <c r="AD2028"/>
      <c r="AE2028"/>
      <c r="AF2028"/>
      <c r="AH2028"/>
      <c r="AI2028"/>
      <c r="AJ2028"/>
      <c r="AM2028"/>
    </row>
    <row r="2029" spans="3:39">
      <c r="C2029"/>
      <c r="D2029"/>
      <c r="E2029"/>
      <c r="F2029"/>
      <c r="G2029"/>
      <c r="H2029"/>
      <c r="I2029" s="740"/>
      <c r="V2029"/>
      <c r="W2029"/>
      <c r="Y2029"/>
      <c r="Z2029"/>
      <c r="AA2029"/>
      <c r="AD2029"/>
      <c r="AE2029"/>
      <c r="AF2029"/>
      <c r="AH2029"/>
      <c r="AI2029"/>
      <c r="AJ2029"/>
      <c r="AM2029"/>
    </row>
    <row r="2030" spans="3:39">
      <c r="C2030"/>
      <c r="D2030"/>
      <c r="E2030"/>
      <c r="F2030"/>
      <c r="G2030"/>
      <c r="H2030"/>
      <c r="I2030" s="740"/>
      <c r="V2030"/>
      <c r="W2030"/>
      <c r="Y2030"/>
      <c r="Z2030"/>
      <c r="AA2030"/>
      <c r="AD2030"/>
      <c r="AE2030"/>
      <c r="AF2030"/>
      <c r="AH2030"/>
      <c r="AI2030"/>
      <c r="AJ2030"/>
      <c r="AM2030"/>
    </row>
    <row r="2031" spans="3:39">
      <c r="C2031"/>
      <c r="D2031"/>
      <c r="E2031"/>
      <c r="F2031"/>
      <c r="G2031"/>
      <c r="H2031"/>
      <c r="I2031" s="740"/>
      <c r="V2031"/>
      <c r="W2031"/>
      <c r="Y2031"/>
      <c r="Z2031"/>
      <c r="AA2031"/>
      <c r="AD2031"/>
      <c r="AE2031"/>
      <c r="AF2031"/>
      <c r="AH2031"/>
      <c r="AI2031"/>
      <c r="AJ2031"/>
      <c r="AM2031"/>
    </row>
    <row r="2032" spans="3:39">
      <c r="C2032"/>
      <c r="D2032"/>
      <c r="E2032"/>
      <c r="F2032"/>
      <c r="G2032"/>
      <c r="H2032"/>
      <c r="I2032" s="740"/>
      <c r="V2032"/>
      <c r="W2032"/>
      <c r="Y2032"/>
      <c r="Z2032"/>
      <c r="AA2032"/>
      <c r="AD2032"/>
      <c r="AE2032"/>
      <c r="AF2032"/>
      <c r="AH2032"/>
      <c r="AI2032"/>
      <c r="AJ2032"/>
      <c r="AM2032"/>
    </row>
    <row r="2033" spans="3:39">
      <c r="C2033"/>
      <c r="D2033"/>
      <c r="E2033"/>
      <c r="F2033"/>
      <c r="G2033"/>
      <c r="H2033"/>
      <c r="I2033" s="740"/>
      <c r="V2033"/>
      <c r="W2033"/>
      <c r="Y2033"/>
      <c r="Z2033"/>
      <c r="AA2033"/>
      <c r="AD2033"/>
      <c r="AE2033"/>
      <c r="AF2033"/>
      <c r="AH2033"/>
      <c r="AI2033"/>
      <c r="AJ2033"/>
      <c r="AM2033"/>
    </row>
    <row r="2034" spans="3:39">
      <c r="C2034"/>
      <c r="D2034"/>
      <c r="E2034"/>
      <c r="F2034"/>
      <c r="G2034"/>
      <c r="H2034"/>
      <c r="I2034" s="740"/>
      <c r="V2034"/>
      <c r="W2034"/>
      <c r="Y2034"/>
      <c r="Z2034"/>
      <c r="AA2034"/>
      <c r="AD2034"/>
      <c r="AE2034"/>
      <c r="AF2034"/>
      <c r="AH2034"/>
      <c r="AI2034"/>
      <c r="AJ2034"/>
      <c r="AM2034"/>
    </row>
    <row r="2035" spans="3:39">
      <c r="C2035"/>
      <c r="D2035"/>
      <c r="E2035"/>
      <c r="F2035"/>
      <c r="G2035"/>
      <c r="H2035"/>
      <c r="I2035" s="740"/>
      <c r="V2035"/>
      <c r="W2035"/>
      <c r="Y2035"/>
      <c r="Z2035"/>
      <c r="AA2035"/>
      <c r="AD2035"/>
      <c r="AE2035"/>
      <c r="AF2035"/>
      <c r="AH2035"/>
      <c r="AI2035"/>
      <c r="AJ2035"/>
      <c r="AM2035"/>
    </row>
    <row r="2036" spans="3:39">
      <c r="C2036"/>
      <c r="D2036"/>
      <c r="E2036"/>
      <c r="F2036"/>
      <c r="G2036"/>
      <c r="H2036"/>
      <c r="I2036" s="740"/>
      <c r="V2036"/>
      <c r="W2036"/>
      <c r="Y2036"/>
      <c r="Z2036"/>
      <c r="AA2036"/>
      <c r="AD2036"/>
      <c r="AE2036"/>
      <c r="AF2036"/>
      <c r="AH2036"/>
      <c r="AI2036"/>
      <c r="AJ2036"/>
      <c r="AM2036"/>
    </row>
    <row r="2037" spans="3:39">
      <c r="C2037"/>
      <c r="D2037"/>
      <c r="E2037"/>
      <c r="F2037"/>
      <c r="G2037"/>
      <c r="H2037"/>
      <c r="I2037" s="740"/>
      <c r="V2037"/>
      <c r="W2037"/>
      <c r="Y2037"/>
      <c r="Z2037"/>
      <c r="AA2037"/>
      <c r="AD2037"/>
      <c r="AE2037"/>
      <c r="AF2037"/>
      <c r="AH2037"/>
      <c r="AI2037"/>
      <c r="AJ2037"/>
      <c r="AM2037"/>
    </row>
    <row r="2038" spans="3:39">
      <c r="C2038"/>
      <c r="D2038"/>
      <c r="E2038"/>
      <c r="F2038"/>
      <c r="G2038"/>
      <c r="H2038"/>
      <c r="I2038" s="740"/>
      <c r="V2038"/>
      <c r="W2038"/>
      <c r="Y2038"/>
      <c r="Z2038"/>
      <c r="AA2038"/>
      <c r="AD2038"/>
      <c r="AE2038"/>
      <c r="AF2038"/>
      <c r="AH2038"/>
      <c r="AI2038"/>
      <c r="AJ2038"/>
      <c r="AM2038"/>
    </row>
    <row r="2039" spans="3:39">
      <c r="C2039"/>
      <c r="D2039"/>
      <c r="E2039"/>
      <c r="F2039"/>
      <c r="G2039"/>
      <c r="H2039"/>
      <c r="I2039" s="740"/>
      <c r="V2039"/>
      <c r="W2039"/>
      <c r="Y2039"/>
      <c r="Z2039"/>
      <c r="AA2039"/>
      <c r="AD2039"/>
      <c r="AE2039"/>
      <c r="AF2039"/>
      <c r="AH2039"/>
      <c r="AI2039"/>
      <c r="AJ2039"/>
      <c r="AM2039"/>
    </row>
    <row r="2040" spans="3:39">
      <c r="C2040"/>
      <c r="D2040"/>
      <c r="E2040"/>
      <c r="F2040"/>
      <c r="G2040"/>
      <c r="H2040"/>
      <c r="I2040" s="740"/>
      <c r="V2040"/>
      <c r="W2040"/>
      <c r="Y2040"/>
      <c r="Z2040"/>
      <c r="AA2040"/>
      <c r="AD2040"/>
      <c r="AE2040"/>
      <c r="AF2040"/>
      <c r="AH2040"/>
      <c r="AI2040"/>
      <c r="AJ2040"/>
      <c r="AM2040"/>
    </row>
    <row r="2041" spans="3:39">
      <c r="C2041"/>
      <c r="D2041"/>
      <c r="E2041"/>
      <c r="F2041"/>
      <c r="G2041"/>
      <c r="H2041"/>
      <c r="I2041" s="740"/>
      <c r="V2041"/>
      <c r="W2041"/>
      <c r="Y2041"/>
      <c r="Z2041"/>
      <c r="AA2041"/>
      <c r="AD2041"/>
      <c r="AE2041"/>
      <c r="AF2041"/>
      <c r="AH2041"/>
      <c r="AI2041"/>
      <c r="AJ2041"/>
      <c r="AM2041"/>
    </row>
    <row r="2042" spans="3:39">
      <c r="C2042"/>
      <c r="D2042"/>
      <c r="E2042"/>
      <c r="F2042"/>
      <c r="G2042"/>
      <c r="H2042"/>
      <c r="I2042" s="740"/>
      <c r="V2042"/>
      <c r="W2042"/>
      <c r="Y2042"/>
      <c r="Z2042"/>
      <c r="AA2042"/>
      <c r="AD2042"/>
      <c r="AE2042"/>
      <c r="AF2042"/>
      <c r="AH2042"/>
      <c r="AI2042"/>
      <c r="AJ2042"/>
      <c r="AM2042"/>
    </row>
    <row r="2043" spans="3:39">
      <c r="C2043"/>
      <c r="D2043"/>
      <c r="E2043"/>
      <c r="F2043"/>
      <c r="G2043"/>
      <c r="H2043"/>
      <c r="I2043" s="740"/>
      <c r="V2043"/>
      <c r="W2043"/>
      <c r="Y2043"/>
      <c r="Z2043"/>
      <c r="AA2043"/>
      <c r="AD2043"/>
      <c r="AE2043"/>
      <c r="AF2043"/>
      <c r="AH2043"/>
      <c r="AI2043"/>
      <c r="AJ2043"/>
      <c r="AM2043"/>
    </row>
    <row r="2044" spans="3:39">
      <c r="C2044"/>
      <c r="D2044"/>
      <c r="E2044"/>
      <c r="F2044"/>
      <c r="G2044"/>
      <c r="H2044"/>
      <c r="I2044" s="740"/>
      <c r="V2044"/>
      <c r="W2044"/>
      <c r="Y2044"/>
      <c r="Z2044"/>
      <c r="AA2044"/>
      <c r="AD2044"/>
      <c r="AE2044"/>
      <c r="AF2044"/>
      <c r="AH2044"/>
      <c r="AI2044"/>
      <c r="AJ2044"/>
      <c r="AM2044"/>
    </row>
    <row r="2045" spans="3:39">
      <c r="C2045"/>
      <c r="D2045"/>
      <c r="E2045"/>
      <c r="F2045"/>
      <c r="G2045"/>
      <c r="H2045"/>
      <c r="I2045" s="740"/>
      <c r="V2045"/>
      <c r="W2045"/>
      <c r="Y2045"/>
      <c r="Z2045"/>
      <c r="AA2045"/>
      <c r="AD2045"/>
      <c r="AE2045"/>
      <c r="AF2045"/>
      <c r="AH2045"/>
      <c r="AI2045"/>
      <c r="AJ2045"/>
      <c r="AM2045"/>
    </row>
    <row r="2046" spans="3:39">
      <c r="C2046"/>
      <c r="D2046"/>
      <c r="E2046"/>
      <c r="F2046"/>
      <c r="G2046"/>
      <c r="H2046"/>
      <c r="I2046" s="740"/>
      <c r="V2046"/>
      <c r="W2046"/>
      <c r="Y2046"/>
      <c r="Z2046"/>
      <c r="AA2046"/>
      <c r="AD2046"/>
      <c r="AE2046"/>
      <c r="AF2046"/>
      <c r="AH2046"/>
      <c r="AI2046"/>
      <c r="AJ2046"/>
      <c r="AM2046"/>
    </row>
    <row r="2047" spans="3:39">
      <c r="C2047"/>
      <c r="D2047"/>
      <c r="E2047"/>
      <c r="F2047"/>
      <c r="G2047"/>
      <c r="H2047"/>
      <c r="I2047" s="740"/>
      <c r="V2047"/>
      <c r="W2047"/>
      <c r="Y2047"/>
      <c r="Z2047"/>
      <c r="AA2047"/>
      <c r="AD2047"/>
      <c r="AE2047"/>
      <c r="AF2047"/>
      <c r="AH2047"/>
      <c r="AI2047"/>
      <c r="AJ2047"/>
      <c r="AM2047"/>
    </row>
    <row r="2048" spans="3:39">
      <c r="C2048"/>
      <c r="D2048"/>
      <c r="E2048"/>
      <c r="F2048"/>
      <c r="G2048"/>
      <c r="H2048"/>
      <c r="I2048" s="740"/>
      <c r="V2048"/>
      <c r="W2048"/>
      <c r="Y2048"/>
      <c r="Z2048"/>
      <c r="AA2048"/>
      <c r="AD2048"/>
      <c r="AE2048"/>
      <c r="AF2048"/>
      <c r="AH2048"/>
      <c r="AI2048"/>
      <c r="AJ2048"/>
      <c r="AM2048"/>
    </row>
    <row r="2049" spans="3:39">
      <c r="C2049"/>
      <c r="D2049"/>
      <c r="E2049"/>
      <c r="F2049"/>
      <c r="G2049"/>
      <c r="H2049"/>
      <c r="I2049" s="740"/>
      <c r="V2049"/>
      <c r="W2049"/>
      <c r="Y2049"/>
      <c r="Z2049"/>
      <c r="AA2049"/>
      <c r="AD2049"/>
      <c r="AE2049"/>
      <c r="AF2049"/>
      <c r="AH2049"/>
      <c r="AI2049"/>
      <c r="AJ2049"/>
      <c r="AM2049"/>
    </row>
    <row r="2050" spans="3:39">
      <c r="C2050"/>
      <c r="D2050"/>
      <c r="E2050"/>
      <c r="F2050"/>
      <c r="G2050"/>
      <c r="H2050"/>
      <c r="I2050" s="740"/>
      <c r="V2050"/>
      <c r="W2050"/>
      <c r="Y2050"/>
      <c r="Z2050"/>
      <c r="AA2050"/>
      <c r="AD2050"/>
      <c r="AE2050"/>
      <c r="AF2050"/>
      <c r="AH2050"/>
      <c r="AI2050"/>
      <c r="AJ2050"/>
      <c r="AM2050"/>
    </row>
    <row r="2051" spans="3:39">
      <c r="C2051"/>
      <c r="D2051"/>
      <c r="E2051"/>
      <c r="F2051"/>
      <c r="G2051"/>
      <c r="H2051"/>
      <c r="I2051" s="740"/>
      <c r="V2051"/>
      <c r="W2051"/>
      <c r="Y2051"/>
      <c r="Z2051"/>
      <c r="AA2051"/>
      <c r="AD2051"/>
      <c r="AE2051"/>
      <c r="AF2051"/>
      <c r="AH2051"/>
      <c r="AI2051"/>
      <c r="AJ2051"/>
      <c r="AM2051"/>
    </row>
    <row r="2052" spans="3:39">
      <c r="C2052"/>
      <c r="D2052"/>
      <c r="E2052"/>
      <c r="F2052"/>
      <c r="G2052"/>
      <c r="H2052"/>
      <c r="I2052" s="740"/>
      <c r="V2052"/>
      <c r="W2052"/>
      <c r="Y2052"/>
      <c r="Z2052"/>
      <c r="AA2052"/>
      <c r="AD2052"/>
      <c r="AE2052"/>
      <c r="AF2052"/>
      <c r="AH2052"/>
      <c r="AI2052"/>
      <c r="AJ2052"/>
      <c r="AM2052"/>
    </row>
    <row r="2053" spans="3:39">
      <c r="C2053"/>
      <c r="D2053"/>
      <c r="E2053"/>
      <c r="F2053"/>
      <c r="G2053"/>
      <c r="H2053"/>
      <c r="I2053" s="740"/>
      <c r="V2053"/>
      <c r="W2053"/>
      <c r="Y2053"/>
      <c r="Z2053"/>
      <c r="AA2053"/>
      <c r="AD2053"/>
      <c r="AE2053"/>
      <c r="AF2053"/>
      <c r="AH2053"/>
      <c r="AI2053"/>
      <c r="AJ2053"/>
      <c r="AM2053"/>
    </row>
    <row r="2054" spans="3:39">
      <c r="C2054"/>
      <c r="D2054"/>
      <c r="E2054"/>
      <c r="F2054"/>
      <c r="G2054"/>
      <c r="H2054"/>
      <c r="I2054" s="740"/>
      <c r="V2054"/>
      <c r="W2054"/>
      <c r="Y2054"/>
      <c r="Z2054"/>
      <c r="AA2054"/>
      <c r="AD2054"/>
      <c r="AE2054"/>
      <c r="AF2054"/>
      <c r="AH2054"/>
      <c r="AI2054"/>
      <c r="AJ2054"/>
      <c r="AM2054"/>
    </row>
    <row r="2055" spans="3:39">
      <c r="C2055"/>
      <c r="D2055"/>
      <c r="E2055"/>
      <c r="F2055"/>
      <c r="G2055"/>
      <c r="H2055"/>
      <c r="I2055" s="740"/>
      <c r="V2055"/>
      <c r="W2055"/>
      <c r="Y2055"/>
      <c r="Z2055"/>
      <c r="AA2055"/>
      <c r="AD2055"/>
      <c r="AE2055"/>
      <c r="AF2055"/>
      <c r="AH2055"/>
      <c r="AI2055"/>
      <c r="AJ2055"/>
      <c r="AM2055"/>
    </row>
    <row r="2056" spans="3:39">
      <c r="C2056"/>
      <c r="D2056"/>
      <c r="E2056"/>
      <c r="F2056"/>
      <c r="G2056"/>
      <c r="H2056"/>
      <c r="I2056" s="740"/>
      <c r="V2056"/>
      <c r="W2056"/>
      <c r="Y2056"/>
      <c r="Z2056"/>
      <c r="AA2056"/>
      <c r="AD2056"/>
      <c r="AE2056"/>
      <c r="AF2056"/>
      <c r="AH2056"/>
      <c r="AI2056"/>
      <c r="AJ2056"/>
      <c r="AM2056"/>
    </row>
    <row r="2057" spans="3:39">
      <c r="C2057"/>
      <c r="D2057"/>
      <c r="E2057"/>
      <c r="F2057"/>
      <c r="G2057"/>
      <c r="H2057"/>
      <c r="I2057" s="740"/>
      <c r="V2057"/>
      <c r="W2057"/>
      <c r="Y2057"/>
      <c r="Z2057"/>
      <c r="AA2057"/>
      <c r="AD2057"/>
      <c r="AE2057"/>
      <c r="AF2057"/>
      <c r="AH2057"/>
      <c r="AI2057"/>
      <c r="AJ2057"/>
      <c r="AM2057"/>
    </row>
    <row r="2058" spans="3:39">
      <c r="C2058"/>
      <c r="D2058"/>
      <c r="E2058"/>
      <c r="F2058"/>
      <c r="G2058"/>
      <c r="H2058"/>
      <c r="I2058" s="740"/>
      <c r="V2058"/>
      <c r="W2058"/>
      <c r="Y2058"/>
      <c r="Z2058"/>
      <c r="AA2058"/>
      <c r="AD2058"/>
      <c r="AE2058"/>
      <c r="AF2058"/>
      <c r="AH2058"/>
      <c r="AI2058"/>
      <c r="AJ2058"/>
      <c r="AM2058"/>
    </row>
    <row r="2059" spans="3:39">
      <c r="C2059"/>
      <c r="D2059"/>
      <c r="E2059"/>
      <c r="F2059"/>
      <c r="G2059"/>
      <c r="H2059"/>
      <c r="I2059" s="740"/>
      <c r="V2059"/>
      <c r="W2059"/>
      <c r="Y2059"/>
      <c r="Z2059"/>
      <c r="AA2059"/>
      <c r="AD2059"/>
      <c r="AE2059"/>
      <c r="AF2059"/>
      <c r="AH2059"/>
      <c r="AI2059"/>
      <c r="AJ2059"/>
      <c r="AM2059"/>
    </row>
    <row r="2060" spans="3:39">
      <c r="C2060"/>
      <c r="D2060"/>
      <c r="E2060"/>
      <c r="F2060"/>
      <c r="G2060"/>
      <c r="H2060"/>
      <c r="I2060" s="740"/>
      <c r="V2060"/>
      <c r="W2060"/>
      <c r="Y2060"/>
      <c r="Z2060"/>
      <c r="AA2060"/>
      <c r="AD2060"/>
      <c r="AE2060"/>
      <c r="AF2060"/>
      <c r="AH2060"/>
      <c r="AI2060"/>
      <c r="AJ2060"/>
      <c r="AM2060"/>
    </row>
    <row r="2061" spans="3:39">
      <c r="C2061"/>
      <c r="D2061"/>
      <c r="E2061"/>
      <c r="F2061"/>
      <c r="G2061"/>
      <c r="H2061"/>
      <c r="I2061" s="740"/>
      <c r="V2061"/>
      <c r="W2061"/>
      <c r="Y2061"/>
      <c r="Z2061"/>
      <c r="AA2061"/>
      <c r="AD2061"/>
      <c r="AE2061"/>
      <c r="AF2061"/>
      <c r="AH2061"/>
      <c r="AI2061"/>
      <c r="AJ2061"/>
      <c r="AM2061"/>
    </row>
    <row r="2062" spans="3:39">
      <c r="C2062"/>
      <c r="D2062"/>
      <c r="E2062"/>
      <c r="F2062"/>
      <c r="G2062"/>
      <c r="H2062"/>
      <c r="I2062" s="740"/>
      <c r="V2062"/>
      <c r="W2062"/>
      <c r="Y2062"/>
      <c r="Z2062"/>
      <c r="AA2062"/>
      <c r="AD2062"/>
      <c r="AE2062"/>
      <c r="AF2062"/>
      <c r="AH2062"/>
      <c r="AI2062"/>
      <c r="AJ2062"/>
      <c r="AM2062"/>
    </row>
    <row r="2063" spans="3:39">
      <c r="C2063"/>
      <c r="D2063"/>
      <c r="E2063"/>
      <c r="F2063"/>
      <c r="G2063"/>
      <c r="H2063"/>
      <c r="I2063" s="740"/>
      <c r="V2063"/>
      <c r="W2063"/>
      <c r="Y2063"/>
      <c r="Z2063"/>
      <c r="AA2063"/>
      <c r="AD2063"/>
      <c r="AE2063"/>
      <c r="AF2063"/>
      <c r="AH2063"/>
      <c r="AI2063"/>
      <c r="AJ2063"/>
      <c r="AM2063"/>
    </row>
    <row r="2064" spans="3:39">
      <c r="C2064"/>
      <c r="D2064"/>
      <c r="E2064"/>
      <c r="F2064"/>
      <c r="G2064"/>
      <c r="H2064"/>
      <c r="I2064" s="740"/>
      <c r="V2064"/>
      <c r="W2064"/>
      <c r="Y2064"/>
      <c r="Z2064"/>
      <c r="AA2064"/>
      <c r="AD2064"/>
      <c r="AE2064"/>
      <c r="AF2064"/>
      <c r="AH2064"/>
      <c r="AI2064"/>
      <c r="AJ2064"/>
      <c r="AM2064"/>
    </row>
    <row r="2065" spans="3:39">
      <c r="C2065"/>
      <c r="D2065"/>
      <c r="E2065"/>
      <c r="F2065"/>
      <c r="G2065"/>
      <c r="H2065"/>
      <c r="I2065" s="740"/>
      <c r="V2065"/>
      <c r="W2065"/>
      <c r="Y2065"/>
      <c r="Z2065"/>
      <c r="AA2065"/>
      <c r="AD2065"/>
      <c r="AE2065"/>
      <c r="AF2065"/>
      <c r="AH2065"/>
      <c r="AI2065"/>
      <c r="AJ2065"/>
      <c r="AM2065"/>
    </row>
    <row r="2066" spans="3:39">
      <c r="C2066"/>
      <c r="D2066"/>
      <c r="E2066"/>
      <c r="F2066"/>
      <c r="G2066"/>
      <c r="H2066"/>
      <c r="I2066" s="740"/>
      <c r="V2066"/>
      <c r="W2066"/>
      <c r="Y2066"/>
      <c r="Z2066"/>
      <c r="AA2066"/>
      <c r="AD2066"/>
      <c r="AE2066"/>
      <c r="AF2066"/>
      <c r="AH2066"/>
      <c r="AI2066"/>
      <c r="AJ2066"/>
      <c r="AM2066"/>
    </row>
    <row r="2067" spans="3:39">
      <c r="C2067"/>
      <c r="D2067"/>
      <c r="E2067"/>
      <c r="F2067"/>
      <c r="G2067"/>
      <c r="H2067"/>
      <c r="I2067" s="740"/>
      <c r="V2067"/>
      <c r="W2067"/>
      <c r="Y2067"/>
      <c r="Z2067"/>
      <c r="AA2067"/>
      <c r="AD2067"/>
      <c r="AE2067"/>
      <c r="AF2067"/>
      <c r="AH2067"/>
      <c r="AI2067"/>
      <c r="AJ2067"/>
      <c r="AM2067"/>
    </row>
    <row r="2068" spans="3:39">
      <c r="C2068"/>
      <c r="D2068"/>
      <c r="E2068"/>
      <c r="F2068"/>
      <c r="G2068"/>
      <c r="H2068"/>
      <c r="I2068" s="740"/>
      <c r="V2068"/>
      <c r="W2068"/>
      <c r="Y2068"/>
      <c r="Z2068"/>
      <c r="AA2068"/>
      <c r="AD2068"/>
      <c r="AE2068"/>
      <c r="AF2068"/>
      <c r="AH2068"/>
      <c r="AI2068"/>
      <c r="AJ2068"/>
      <c r="AM2068"/>
    </row>
    <row r="2069" spans="3:39">
      <c r="C2069"/>
      <c r="D2069"/>
      <c r="E2069"/>
      <c r="F2069"/>
      <c r="G2069"/>
      <c r="H2069"/>
      <c r="I2069" s="740"/>
      <c r="V2069"/>
      <c r="W2069"/>
      <c r="Y2069"/>
      <c r="Z2069"/>
      <c r="AA2069"/>
      <c r="AD2069"/>
      <c r="AE2069"/>
      <c r="AF2069"/>
      <c r="AH2069"/>
      <c r="AI2069"/>
      <c r="AJ2069"/>
      <c r="AM2069"/>
    </row>
    <row r="2070" spans="3:39">
      <c r="C2070"/>
      <c r="D2070"/>
      <c r="E2070"/>
      <c r="F2070"/>
      <c r="G2070"/>
      <c r="H2070"/>
      <c r="I2070" s="740"/>
      <c r="V2070"/>
      <c r="W2070"/>
      <c r="Y2070"/>
      <c r="Z2070"/>
      <c r="AA2070"/>
      <c r="AD2070"/>
      <c r="AE2070"/>
      <c r="AF2070"/>
      <c r="AH2070"/>
      <c r="AI2070"/>
      <c r="AJ2070"/>
      <c r="AM2070"/>
    </row>
    <row r="2071" spans="3:39">
      <c r="C2071"/>
      <c r="D2071"/>
      <c r="E2071"/>
      <c r="F2071"/>
      <c r="G2071"/>
      <c r="H2071"/>
      <c r="I2071" s="740"/>
      <c r="V2071"/>
      <c r="W2071"/>
      <c r="Y2071"/>
      <c r="Z2071"/>
      <c r="AA2071"/>
      <c r="AD2071"/>
      <c r="AE2071"/>
      <c r="AF2071"/>
      <c r="AH2071"/>
      <c r="AI2071"/>
      <c r="AJ2071"/>
      <c r="AM2071"/>
    </row>
    <row r="2072" spans="3:39">
      <c r="C2072"/>
      <c r="D2072"/>
      <c r="E2072"/>
      <c r="F2072"/>
      <c r="G2072"/>
      <c r="H2072"/>
      <c r="I2072" s="740"/>
      <c r="V2072"/>
      <c r="W2072"/>
      <c r="Y2072"/>
      <c r="Z2072"/>
      <c r="AA2072"/>
      <c r="AD2072"/>
      <c r="AE2072"/>
      <c r="AF2072"/>
      <c r="AH2072"/>
      <c r="AI2072"/>
      <c r="AJ2072"/>
      <c r="AM2072"/>
    </row>
    <row r="2073" spans="3:39">
      <c r="C2073"/>
      <c r="D2073"/>
      <c r="E2073"/>
      <c r="F2073"/>
      <c r="G2073"/>
      <c r="H2073"/>
      <c r="I2073" s="740"/>
      <c r="V2073"/>
      <c r="W2073"/>
      <c r="Y2073"/>
      <c r="Z2073"/>
      <c r="AA2073"/>
      <c r="AD2073"/>
      <c r="AE2073"/>
      <c r="AF2073"/>
      <c r="AH2073"/>
      <c r="AI2073"/>
      <c r="AJ2073"/>
      <c r="AM2073"/>
    </row>
    <row r="2074" spans="3:39">
      <c r="C2074"/>
      <c r="D2074"/>
      <c r="E2074"/>
      <c r="F2074"/>
      <c r="G2074"/>
      <c r="H2074"/>
      <c r="I2074" s="740"/>
      <c r="V2074"/>
      <c r="W2074"/>
      <c r="Y2074"/>
      <c r="Z2074"/>
      <c r="AA2074"/>
      <c r="AD2074"/>
      <c r="AE2074"/>
      <c r="AF2074"/>
      <c r="AH2074"/>
      <c r="AI2074"/>
      <c r="AJ2074"/>
      <c r="AM2074"/>
    </row>
    <row r="2075" spans="3:39">
      <c r="C2075"/>
      <c r="D2075"/>
      <c r="E2075"/>
      <c r="F2075"/>
      <c r="G2075"/>
      <c r="H2075"/>
      <c r="I2075" s="740"/>
      <c r="V2075"/>
      <c r="W2075"/>
      <c r="Y2075"/>
      <c r="Z2075"/>
      <c r="AA2075"/>
      <c r="AD2075"/>
      <c r="AE2075"/>
      <c r="AF2075"/>
      <c r="AH2075"/>
      <c r="AI2075"/>
      <c r="AJ2075"/>
      <c r="AM2075"/>
    </row>
    <row r="2076" spans="3:39">
      <c r="C2076"/>
      <c r="D2076"/>
      <c r="E2076"/>
      <c r="F2076"/>
      <c r="G2076"/>
      <c r="H2076"/>
      <c r="I2076" s="740"/>
      <c r="V2076"/>
      <c r="W2076"/>
      <c r="Y2076"/>
      <c r="Z2076"/>
      <c r="AA2076"/>
      <c r="AD2076"/>
      <c r="AE2076"/>
      <c r="AF2076"/>
      <c r="AH2076"/>
      <c r="AI2076"/>
      <c r="AJ2076"/>
      <c r="AM2076"/>
    </row>
    <row r="2077" spans="3:39">
      <c r="C2077"/>
      <c r="D2077"/>
      <c r="E2077"/>
      <c r="F2077"/>
      <c r="G2077"/>
      <c r="H2077"/>
      <c r="I2077" s="740"/>
      <c r="V2077"/>
      <c r="W2077"/>
      <c r="Y2077"/>
      <c r="Z2077"/>
      <c r="AA2077"/>
      <c r="AD2077"/>
      <c r="AE2077"/>
      <c r="AF2077"/>
      <c r="AH2077"/>
      <c r="AI2077"/>
      <c r="AJ2077"/>
      <c r="AM2077"/>
    </row>
    <row r="2078" spans="3:39">
      <c r="C2078"/>
      <c r="D2078"/>
      <c r="E2078"/>
      <c r="F2078"/>
      <c r="G2078"/>
      <c r="H2078"/>
      <c r="I2078" s="740"/>
      <c r="V2078"/>
      <c r="W2078"/>
      <c r="Y2078"/>
      <c r="Z2078"/>
      <c r="AA2078"/>
      <c r="AD2078"/>
      <c r="AE2078"/>
      <c r="AF2078"/>
      <c r="AH2078"/>
      <c r="AI2078"/>
      <c r="AJ2078"/>
      <c r="AM2078"/>
    </row>
    <row r="2079" spans="3:39">
      <c r="C2079"/>
      <c r="D2079"/>
      <c r="E2079"/>
      <c r="F2079"/>
      <c r="G2079"/>
      <c r="H2079"/>
      <c r="I2079" s="740"/>
      <c r="V2079"/>
      <c r="W2079"/>
      <c r="Y2079"/>
      <c r="Z2079"/>
      <c r="AA2079"/>
      <c r="AD2079"/>
      <c r="AE2079"/>
      <c r="AF2079"/>
      <c r="AH2079"/>
      <c r="AI2079"/>
      <c r="AJ2079"/>
      <c r="AM2079"/>
    </row>
    <row r="2080" spans="3:39">
      <c r="C2080"/>
      <c r="D2080"/>
      <c r="E2080"/>
      <c r="F2080"/>
      <c r="G2080"/>
      <c r="H2080"/>
      <c r="I2080" s="740"/>
      <c r="V2080"/>
      <c r="W2080"/>
      <c r="Y2080"/>
      <c r="Z2080"/>
      <c r="AA2080"/>
      <c r="AD2080"/>
      <c r="AE2080"/>
      <c r="AF2080"/>
      <c r="AH2080"/>
      <c r="AI2080"/>
      <c r="AJ2080"/>
      <c r="AM2080"/>
    </row>
    <row r="2081" spans="3:39">
      <c r="C2081"/>
      <c r="D2081"/>
      <c r="E2081"/>
      <c r="F2081"/>
      <c r="G2081"/>
      <c r="H2081"/>
      <c r="I2081" s="740"/>
      <c r="V2081"/>
      <c r="W2081"/>
      <c r="Y2081"/>
      <c r="Z2081"/>
      <c r="AA2081"/>
      <c r="AD2081"/>
      <c r="AE2081"/>
      <c r="AF2081"/>
      <c r="AH2081"/>
      <c r="AI2081"/>
      <c r="AJ2081"/>
      <c r="AM2081"/>
    </row>
    <row r="2082" spans="3:39">
      <c r="C2082"/>
      <c r="D2082"/>
      <c r="E2082"/>
      <c r="F2082"/>
      <c r="G2082"/>
      <c r="H2082"/>
      <c r="I2082" s="740"/>
      <c r="V2082"/>
      <c r="W2082"/>
      <c r="Y2082"/>
      <c r="Z2082"/>
      <c r="AA2082"/>
      <c r="AD2082"/>
      <c r="AE2082"/>
      <c r="AF2082"/>
      <c r="AH2082"/>
      <c r="AI2082"/>
      <c r="AJ2082"/>
      <c r="AM2082"/>
    </row>
    <row r="2083" spans="3:39">
      <c r="C2083"/>
      <c r="D2083"/>
      <c r="E2083"/>
      <c r="F2083"/>
      <c r="G2083"/>
      <c r="H2083"/>
      <c r="I2083" s="740"/>
      <c r="V2083"/>
      <c r="W2083"/>
      <c r="Y2083"/>
      <c r="Z2083"/>
      <c r="AA2083"/>
      <c r="AD2083"/>
      <c r="AE2083"/>
      <c r="AF2083"/>
      <c r="AH2083"/>
      <c r="AI2083"/>
      <c r="AJ2083"/>
      <c r="AM2083"/>
    </row>
    <row r="2084" spans="3:39">
      <c r="C2084"/>
      <c r="D2084"/>
      <c r="E2084"/>
      <c r="F2084"/>
      <c r="G2084"/>
      <c r="H2084"/>
      <c r="I2084" s="740"/>
      <c r="V2084"/>
      <c r="W2084"/>
      <c r="Y2084"/>
      <c r="Z2084"/>
      <c r="AA2084"/>
      <c r="AD2084"/>
      <c r="AE2084"/>
      <c r="AF2084"/>
      <c r="AH2084"/>
      <c r="AI2084"/>
      <c r="AJ2084"/>
      <c r="AM2084"/>
    </row>
    <row r="2085" spans="3:39">
      <c r="C2085"/>
      <c r="D2085"/>
      <c r="E2085"/>
      <c r="F2085"/>
      <c r="G2085"/>
      <c r="H2085"/>
      <c r="I2085" s="740"/>
      <c r="V2085"/>
      <c r="W2085"/>
      <c r="Y2085"/>
      <c r="Z2085"/>
      <c r="AA2085"/>
      <c r="AD2085"/>
      <c r="AE2085"/>
      <c r="AF2085"/>
      <c r="AH2085"/>
      <c r="AI2085"/>
      <c r="AJ2085"/>
      <c r="AM2085"/>
    </row>
    <row r="2086" spans="3:39">
      <c r="C2086"/>
      <c r="D2086"/>
      <c r="E2086"/>
      <c r="F2086"/>
      <c r="G2086"/>
      <c r="H2086"/>
      <c r="I2086" s="740"/>
      <c r="V2086"/>
      <c r="W2086"/>
      <c r="Y2086"/>
      <c r="Z2086"/>
      <c r="AA2086"/>
      <c r="AD2086"/>
      <c r="AE2086"/>
      <c r="AF2086"/>
      <c r="AH2086"/>
      <c r="AI2086"/>
      <c r="AJ2086"/>
      <c r="AM2086"/>
    </row>
    <row r="2087" spans="3:39">
      <c r="C2087"/>
      <c r="D2087"/>
      <c r="E2087"/>
      <c r="F2087"/>
      <c r="G2087"/>
      <c r="H2087"/>
      <c r="I2087" s="740"/>
      <c r="V2087"/>
      <c r="W2087"/>
      <c r="Y2087"/>
      <c r="Z2087"/>
      <c r="AA2087"/>
      <c r="AD2087"/>
      <c r="AE2087"/>
      <c r="AF2087"/>
      <c r="AH2087"/>
      <c r="AI2087"/>
      <c r="AJ2087"/>
      <c r="AM2087"/>
    </row>
    <row r="2088" spans="3:39">
      <c r="C2088"/>
      <c r="D2088"/>
      <c r="E2088"/>
      <c r="F2088"/>
      <c r="G2088"/>
      <c r="H2088"/>
      <c r="I2088" s="740"/>
      <c r="V2088"/>
      <c r="W2088"/>
      <c r="Y2088"/>
      <c r="Z2088"/>
      <c r="AA2088"/>
      <c r="AD2088"/>
      <c r="AE2088"/>
      <c r="AF2088"/>
      <c r="AH2088"/>
      <c r="AI2088"/>
      <c r="AJ2088"/>
      <c r="AM2088"/>
    </row>
    <row r="2089" spans="3:39">
      <c r="C2089"/>
      <c r="D2089"/>
      <c r="E2089"/>
      <c r="F2089"/>
      <c r="G2089"/>
      <c r="H2089"/>
      <c r="I2089" s="740"/>
      <c r="V2089"/>
      <c r="W2089"/>
      <c r="Y2089"/>
      <c r="Z2089"/>
      <c r="AA2089"/>
      <c r="AD2089"/>
      <c r="AE2089"/>
      <c r="AF2089"/>
      <c r="AH2089"/>
      <c r="AI2089"/>
      <c r="AJ2089"/>
      <c r="AM2089"/>
    </row>
    <row r="2090" spans="3:39">
      <c r="C2090"/>
      <c r="D2090"/>
      <c r="E2090"/>
      <c r="F2090"/>
      <c r="G2090"/>
      <c r="H2090"/>
      <c r="I2090" s="740"/>
      <c r="V2090"/>
      <c r="W2090"/>
      <c r="Y2090"/>
      <c r="Z2090"/>
      <c r="AA2090"/>
      <c r="AD2090"/>
      <c r="AE2090"/>
      <c r="AF2090"/>
      <c r="AH2090"/>
      <c r="AI2090"/>
      <c r="AJ2090"/>
      <c r="AM2090"/>
    </row>
    <row r="2091" spans="3:39">
      <c r="C2091"/>
      <c r="D2091"/>
      <c r="E2091"/>
      <c r="F2091"/>
      <c r="G2091"/>
      <c r="H2091"/>
      <c r="I2091" s="740"/>
      <c r="V2091"/>
      <c r="W2091"/>
      <c r="Y2091"/>
      <c r="Z2091"/>
      <c r="AA2091"/>
      <c r="AD2091"/>
      <c r="AE2091"/>
      <c r="AF2091"/>
      <c r="AH2091"/>
      <c r="AI2091"/>
      <c r="AJ2091"/>
      <c r="AM2091"/>
    </row>
    <row r="2092" spans="3:39">
      <c r="C2092"/>
      <c r="D2092"/>
      <c r="E2092"/>
      <c r="F2092"/>
      <c r="G2092"/>
      <c r="H2092"/>
      <c r="I2092" s="740"/>
      <c r="V2092"/>
      <c r="W2092"/>
      <c r="Y2092"/>
      <c r="Z2092"/>
      <c r="AA2092"/>
      <c r="AD2092"/>
      <c r="AE2092"/>
      <c r="AF2092"/>
      <c r="AH2092"/>
      <c r="AI2092"/>
      <c r="AJ2092"/>
      <c r="AM2092"/>
    </row>
    <row r="2093" spans="3:39">
      <c r="C2093"/>
      <c r="D2093"/>
      <c r="E2093"/>
      <c r="F2093"/>
      <c r="G2093"/>
      <c r="H2093"/>
      <c r="I2093" s="740"/>
      <c r="V2093"/>
      <c r="W2093"/>
      <c r="Y2093"/>
      <c r="Z2093"/>
      <c r="AA2093"/>
      <c r="AD2093"/>
      <c r="AE2093"/>
      <c r="AF2093"/>
      <c r="AH2093"/>
      <c r="AI2093"/>
      <c r="AJ2093"/>
      <c r="AM2093"/>
    </row>
    <row r="2094" spans="3:39">
      <c r="C2094"/>
      <c r="D2094"/>
      <c r="E2094"/>
      <c r="F2094"/>
      <c r="G2094"/>
      <c r="H2094"/>
      <c r="I2094" s="740"/>
      <c r="V2094"/>
      <c r="W2094"/>
      <c r="Y2094"/>
      <c r="Z2094"/>
      <c r="AA2094"/>
      <c r="AD2094"/>
      <c r="AE2094"/>
      <c r="AF2094"/>
      <c r="AH2094"/>
      <c r="AI2094"/>
      <c r="AJ2094"/>
      <c r="AM2094"/>
    </row>
    <row r="2095" spans="3:39">
      <c r="C2095"/>
      <c r="D2095"/>
      <c r="E2095"/>
      <c r="F2095"/>
      <c r="G2095"/>
      <c r="H2095"/>
      <c r="I2095" s="740"/>
      <c r="V2095"/>
      <c r="W2095"/>
      <c r="Y2095"/>
      <c r="Z2095"/>
      <c r="AA2095"/>
      <c r="AD2095"/>
      <c r="AE2095"/>
      <c r="AF2095"/>
      <c r="AH2095"/>
      <c r="AI2095"/>
      <c r="AJ2095"/>
      <c r="AM2095"/>
    </row>
    <row r="2096" spans="3:39">
      <c r="C2096"/>
      <c r="D2096"/>
      <c r="E2096"/>
      <c r="F2096"/>
      <c r="G2096"/>
      <c r="H2096"/>
      <c r="I2096" s="740"/>
      <c r="V2096"/>
      <c r="W2096"/>
      <c r="Y2096"/>
      <c r="Z2096"/>
      <c r="AA2096"/>
      <c r="AD2096"/>
      <c r="AE2096"/>
      <c r="AF2096"/>
      <c r="AH2096"/>
      <c r="AI2096"/>
      <c r="AJ2096"/>
      <c r="AM2096"/>
    </row>
    <row r="2097" spans="3:39">
      <c r="C2097"/>
      <c r="D2097"/>
      <c r="E2097"/>
      <c r="F2097"/>
      <c r="G2097"/>
      <c r="H2097"/>
      <c r="I2097" s="740"/>
      <c r="V2097"/>
      <c r="W2097"/>
      <c r="Y2097"/>
      <c r="Z2097"/>
      <c r="AA2097"/>
      <c r="AD2097"/>
      <c r="AE2097"/>
      <c r="AF2097"/>
      <c r="AH2097"/>
      <c r="AI2097"/>
      <c r="AJ2097"/>
      <c r="AM2097"/>
    </row>
    <row r="2098" spans="3:39">
      <c r="C2098"/>
      <c r="D2098"/>
      <c r="E2098"/>
      <c r="F2098"/>
      <c r="G2098"/>
      <c r="H2098"/>
      <c r="I2098" s="740"/>
      <c r="V2098"/>
      <c r="W2098"/>
      <c r="Y2098"/>
      <c r="Z2098"/>
      <c r="AA2098"/>
      <c r="AD2098"/>
      <c r="AE2098"/>
      <c r="AF2098"/>
      <c r="AH2098"/>
      <c r="AI2098"/>
      <c r="AJ2098"/>
      <c r="AM2098"/>
    </row>
    <row r="2099" spans="3:39">
      <c r="C2099"/>
      <c r="D2099"/>
      <c r="E2099"/>
      <c r="F2099"/>
      <c r="G2099"/>
      <c r="H2099"/>
      <c r="I2099" s="740"/>
      <c r="V2099"/>
      <c r="W2099"/>
      <c r="Y2099"/>
      <c r="Z2099"/>
      <c r="AA2099"/>
      <c r="AD2099"/>
      <c r="AE2099"/>
      <c r="AF2099"/>
      <c r="AH2099"/>
      <c r="AI2099"/>
      <c r="AJ2099"/>
      <c r="AM2099"/>
    </row>
    <row r="2100" spans="3:39">
      <c r="C2100"/>
      <c r="D2100"/>
      <c r="E2100"/>
      <c r="F2100"/>
      <c r="G2100"/>
      <c r="H2100"/>
      <c r="I2100" s="740"/>
      <c r="V2100"/>
      <c r="W2100"/>
      <c r="Y2100"/>
      <c r="Z2100"/>
      <c r="AA2100"/>
      <c r="AD2100"/>
      <c r="AE2100"/>
      <c r="AF2100"/>
      <c r="AH2100"/>
      <c r="AI2100"/>
      <c r="AJ2100"/>
      <c r="AM2100"/>
    </row>
    <row r="2101" spans="3:39">
      <c r="C2101"/>
      <c r="D2101"/>
      <c r="E2101"/>
      <c r="F2101"/>
      <c r="G2101"/>
      <c r="H2101"/>
      <c r="I2101" s="740"/>
      <c r="V2101"/>
      <c r="W2101"/>
      <c r="Y2101"/>
      <c r="Z2101"/>
      <c r="AA2101"/>
      <c r="AD2101"/>
      <c r="AE2101"/>
      <c r="AF2101"/>
      <c r="AH2101"/>
      <c r="AI2101"/>
      <c r="AJ2101"/>
      <c r="AM2101"/>
    </row>
    <row r="2102" spans="3:39">
      <c r="C2102"/>
      <c r="D2102"/>
      <c r="E2102"/>
      <c r="F2102"/>
      <c r="G2102"/>
      <c r="H2102"/>
      <c r="I2102" s="740"/>
      <c r="V2102"/>
      <c r="W2102"/>
      <c r="Y2102"/>
      <c r="Z2102"/>
      <c r="AA2102"/>
      <c r="AD2102"/>
      <c r="AE2102"/>
      <c r="AF2102"/>
      <c r="AH2102"/>
      <c r="AI2102"/>
      <c r="AJ2102"/>
      <c r="AM2102"/>
    </row>
    <row r="2103" spans="3:39">
      <c r="C2103"/>
      <c r="D2103"/>
      <c r="E2103"/>
      <c r="F2103"/>
      <c r="G2103"/>
      <c r="H2103"/>
      <c r="I2103" s="740"/>
      <c r="V2103"/>
      <c r="W2103"/>
      <c r="Y2103"/>
      <c r="Z2103"/>
      <c r="AA2103"/>
      <c r="AD2103"/>
      <c r="AE2103"/>
      <c r="AF2103"/>
      <c r="AH2103"/>
      <c r="AI2103"/>
      <c r="AJ2103"/>
      <c r="AM2103"/>
    </row>
    <row r="2104" spans="3:39">
      <c r="C2104"/>
      <c r="D2104"/>
      <c r="E2104"/>
      <c r="F2104"/>
      <c r="G2104"/>
      <c r="H2104"/>
      <c r="I2104" s="740"/>
      <c r="V2104"/>
      <c r="W2104"/>
      <c r="Y2104"/>
      <c r="Z2104"/>
      <c r="AA2104"/>
      <c r="AD2104"/>
      <c r="AE2104"/>
      <c r="AF2104"/>
      <c r="AH2104"/>
      <c r="AI2104"/>
      <c r="AJ2104"/>
      <c r="AM2104"/>
    </row>
    <row r="2105" spans="3:39">
      <c r="C2105"/>
      <c r="D2105"/>
      <c r="E2105"/>
      <c r="F2105"/>
      <c r="G2105"/>
      <c r="H2105"/>
      <c r="I2105" s="740"/>
      <c r="V2105"/>
      <c r="W2105"/>
      <c r="Y2105"/>
      <c r="Z2105"/>
      <c r="AA2105"/>
      <c r="AD2105"/>
      <c r="AE2105"/>
      <c r="AF2105"/>
      <c r="AH2105"/>
      <c r="AI2105"/>
      <c r="AJ2105"/>
      <c r="AM2105"/>
    </row>
    <row r="2106" spans="3:39">
      <c r="C2106"/>
      <c r="D2106"/>
      <c r="E2106"/>
      <c r="F2106"/>
      <c r="G2106"/>
      <c r="H2106"/>
      <c r="I2106" s="740"/>
      <c r="V2106"/>
      <c r="W2106"/>
      <c r="Y2106"/>
      <c r="Z2106"/>
      <c r="AA2106"/>
      <c r="AD2106"/>
      <c r="AE2106"/>
      <c r="AF2106"/>
      <c r="AH2106"/>
      <c r="AI2106"/>
      <c r="AJ2106"/>
      <c r="AM2106"/>
    </row>
    <row r="2107" spans="3:39">
      <c r="C2107"/>
      <c r="D2107"/>
      <c r="E2107"/>
      <c r="F2107"/>
      <c r="G2107"/>
      <c r="H2107"/>
      <c r="I2107" s="740"/>
      <c r="V2107"/>
      <c r="W2107"/>
      <c r="Y2107"/>
      <c r="Z2107"/>
      <c r="AA2107"/>
      <c r="AD2107"/>
      <c r="AE2107"/>
      <c r="AF2107"/>
      <c r="AH2107"/>
      <c r="AI2107"/>
      <c r="AJ2107"/>
      <c r="AM2107"/>
    </row>
    <row r="2108" spans="3:39">
      <c r="C2108"/>
      <c r="D2108"/>
      <c r="E2108"/>
      <c r="F2108"/>
      <c r="G2108"/>
      <c r="H2108"/>
      <c r="I2108" s="740"/>
      <c r="V2108"/>
      <c r="W2108"/>
      <c r="Y2108"/>
      <c r="Z2108"/>
      <c r="AA2108"/>
      <c r="AD2108"/>
      <c r="AE2108"/>
      <c r="AF2108"/>
      <c r="AH2108"/>
      <c r="AI2108"/>
      <c r="AJ2108"/>
      <c r="AM2108"/>
    </row>
    <row r="2109" spans="3:39">
      <c r="C2109"/>
      <c r="D2109"/>
      <c r="E2109"/>
      <c r="F2109"/>
      <c r="G2109"/>
      <c r="H2109"/>
      <c r="I2109" s="740"/>
      <c r="V2109"/>
      <c r="W2109"/>
      <c r="Y2109"/>
      <c r="Z2109"/>
      <c r="AA2109"/>
      <c r="AD2109"/>
      <c r="AE2109"/>
      <c r="AF2109"/>
      <c r="AH2109"/>
      <c r="AI2109"/>
      <c r="AJ2109"/>
      <c r="AM2109"/>
    </row>
    <row r="2110" spans="3:39">
      <c r="C2110"/>
      <c r="D2110"/>
      <c r="E2110"/>
      <c r="F2110"/>
      <c r="G2110"/>
      <c r="H2110"/>
      <c r="I2110" s="740"/>
      <c r="V2110"/>
      <c r="W2110"/>
      <c r="Y2110"/>
      <c r="Z2110"/>
      <c r="AA2110"/>
      <c r="AD2110"/>
      <c r="AE2110"/>
      <c r="AF2110"/>
      <c r="AH2110"/>
      <c r="AI2110"/>
      <c r="AJ2110"/>
      <c r="AM2110"/>
    </row>
    <row r="2111" spans="3:39">
      <c r="C2111"/>
      <c r="D2111"/>
      <c r="E2111"/>
      <c r="F2111"/>
      <c r="G2111"/>
      <c r="H2111"/>
      <c r="I2111" s="740"/>
      <c r="V2111"/>
      <c r="W2111"/>
      <c r="Y2111"/>
      <c r="Z2111"/>
      <c r="AA2111"/>
      <c r="AD2111"/>
      <c r="AE2111"/>
      <c r="AF2111"/>
      <c r="AH2111"/>
      <c r="AI2111"/>
      <c r="AJ2111"/>
      <c r="AM2111"/>
    </row>
    <row r="2112" spans="3:39">
      <c r="C2112"/>
      <c r="D2112"/>
      <c r="E2112"/>
      <c r="F2112"/>
      <c r="G2112"/>
      <c r="H2112"/>
      <c r="I2112" s="740"/>
      <c r="V2112"/>
      <c r="W2112"/>
      <c r="Y2112"/>
      <c r="Z2112"/>
      <c r="AA2112"/>
      <c r="AD2112"/>
      <c r="AE2112"/>
      <c r="AF2112"/>
      <c r="AH2112"/>
      <c r="AI2112"/>
      <c r="AJ2112"/>
      <c r="AM2112"/>
    </row>
    <row r="2113" spans="3:39">
      <c r="C2113"/>
      <c r="D2113"/>
      <c r="E2113"/>
      <c r="F2113"/>
      <c r="G2113"/>
      <c r="H2113"/>
      <c r="I2113" s="740"/>
      <c r="V2113"/>
      <c r="W2113"/>
      <c r="Y2113"/>
      <c r="Z2113"/>
      <c r="AA2113"/>
      <c r="AD2113"/>
      <c r="AE2113"/>
      <c r="AF2113"/>
      <c r="AH2113"/>
      <c r="AI2113"/>
      <c r="AJ2113"/>
      <c r="AM2113"/>
    </row>
    <row r="2114" spans="3:39">
      <c r="C2114"/>
      <c r="D2114"/>
      <c r="E2114"/>
      <c r="F2114"/>
      <c r="G2114"/>
      <c r="H2114"/>
      <c r="I2114" s="740"/>
      <c r="V2114"/>
      <c r="W2114"/>
      <c r="Y2114"/>
      <c r="Z2114"/>
      <c r="AA2114"/>
      <c r="AD2114"/>
      <c r="AE2114"/>
      <c r="AF2114"/>
      <c r="AH2114"/>
      <c r="AI2114"/>
      <c r="AJ2114"/>
      <c r="AM2114"/>
    </row>
    <row r="2115" spans="3:39">
      <c r="C2115"/>
      <c r="D2115"/>
      <c r="E2115"/>
      <c r="F2115"/>
      <c r="G2115"/>
      <c r="H2115"/>
      <c r="I2115" s="740"/>
      <c r="V2115"/>
      <c r="W2115"/>
      <c r="Y2115"/>
      <c r="Z2115"/>
      <c r="AA2115"/>
      <c r="AD2115"/>
      <c r="AE2115"/>
      <c r="AF2115"/>
      <c r="AH2115"/>
      <c r="AI2115"/>
      <c r="AJ2115"/>
      <c r="AM2115"/>
    </row>
    <row r="2116" spans="3:39">
      <c r="C2116"/>
      <c r="D2116"/>
      <c r="E2116"/>
      <c r="F2116"/>
      <c r="G2116"/>
      <c r="H2116"/>
      <c r="I2116" s="740"/>
      <c r="V2116"/>
      <c r="W2116"/>
      <c r="Y2116"/>
      <c r="Z2116"/>
      <c r="AA2116"/>
      <c r="AD2116"/>
      <c r="AE2116"/>
      <c r="AF2116"/>
      <c r="AH2116"/>
      <c r="AI2116"/>
      <c r="AJ2116"/>
      <c r="AM2116"/>
    </row>
    <row r="2117" spans="3:39">
      <c r="C2117"/>
      <c r="D2117"/>
      <c r="E2117"/>
      <c r="F2117"/>
      <c r="G2117"/>
      <c r="H2117"/>
      <c r="I2117" s="740"/>
      <c r="V2117"/>
      <c r="W2117"/>
      <c r="Y2117"/>
      <c r="Z2117"/>
      <c r="AA2117"/>
      <c r="AD2117"/>
      <c r="AE2117"/>
      <c r="AF2117"/>
      <c r="AH2117"/>
      <c r="AI2117"/>
      <c r="AJ2117"/>
      <c r="AM2117"/>
    </row>
    <row r="2118" spans="3:39">
      <c r="C2118"/>
      <c r="D2118"/>
      <c r="E2118"/>
      <c r="F2118"/>
      <c r="G2118"/>
      <c r="H2118"/>
      <c r="I2118" s="740"/>
      <c r="V2118"/>
      <c r="W2118"/>
      <c r="Y2118"/>
      <c r="Z2118"/>
      <c r="AA2118"/>
      <c r="AD2118"/>
      <c r="AE2118"/>
      <c r="AF2118"/>
      <c r="AH2118"/>
      <c r="AI2118"/>
      <c r="AJ2118"/>
      <c r="AM2118"/>
    </row>
    <row r="2119" spans="3:39">
      <c r="C2119"/>
      <c r="D2119"/>
      <c r="E2119"/>
      <c r="F2119"/>
      <c r="G2119"/>
      <c r="H2119"/>
      <c r="I2119" s="740"/>
      <c r="V2119"/>
      <c r="W2119"/>
      <c r="Y2119"/>
      <c r="Z2119"/>
      <c r="AA2119"/>
      <c r="AD2119"/>
      <c r="AE2119"/>
      <c r="AF2119"/>
      <c r="AH2119"/>
      <c r="AI2119"/>
      <c r="AJ2119"/>
      <c r="AM2119"/>
    </row>
    <row r="2120" spans="3:39">
      <c r="C2120"/>
      <c r="D2120"/>
      <c r="E2120"/>
      <c r="F2120"/>
      <c r="G2120"/>
      <c r="H2120"/>
      <c r="I2120" s="740"/>
      <c r="V2120"/>
      <c r="W2120"/>
      <c r="Y2120"/>
      <c r="Z2120"/>
      <c r="AA2120"/>
      <c r="AD2120"/>
      <c r="AE2120"/>
      <c r="AF2120"/>
      <c r="AH2120"/>
      <c r="AI2120"/>
      <c r="AJ2120"/>
      <c r="AM2120"/>
    </row>
    <row r="2121" spans="3:39">
      <c r="C2121"/>
      <c r="D2121"/>
      <c r="E2121"/>
      <c r="F2121"/>
      <c r="G2121"/>
      <c r="H2121"/>
      <c r="I2121" s="740"/>
      <c r="V2121"/>
      <c r="W2121"/>
      <c r="Y2121"/>
      <c r="Z2121"/>
      <c r="AA2121"/>
      <c r="AD2121"/>
      <c r="AE2121"/>
      <c r="AF2121"/>
      <c r="AH2121"/>
      <c r="AI2121"/>
      <c r="AJ2121"/>
      <c r="AM2121"/>
    </row>
    <row r="2122" spans="3:39">
      <c r="C2122"/>
      <c r="D2122"/>
      <c r="E2122"/>
      <c r="F2122"/>
      <c r="G2122"/>
      <c r="H2122"/>
      <c r="I2122" s="740"/>
      <c r="V2122"/>
      <c r="W2122"/>
      <c r="Y2122"/>
      <c r="Z2122"/>
      <c r="AA2122"/>
      <c r="AD2122"/>
      <c r="AE2122"/>
      <c r="AF2122"/>
      <c r="AH2122"/>
      <c r="AI2122"/>
      <c r="AJ2122"/>
      <c r="AM2122"/>
    </row>
    <row r="2123" spans="3:39">
      <c r="C2123"/>
      <c r="D2123"/>
      <c r="E2123"/>
      <c r="F2123"/>
      <c r="G2123"/>
      <c r="H2123"/>
      <c r="I2123" s="740"/>
      <c r="V2123"/>
      <c r="W2123"/>
      <c r="Y2123"/>
      <c r="Z2123"/>
      <c r="AA2123"/>
      <c r="AD2123"/>
      <c r="AE2123"/>
      <c r="AF2123"/>
      <c r="AH2123"/>
      <c r="AI2123"/>
      <c r="AJ2123"/>
      <c r="AM2123"/>
    </row>
    <row r="2124" spans="3:39">
      <c r="C2124"/>
      <c r="D2124"/>
      <c r="E2124"/>
      <c r="F2124"/>
      <c r="G2124"/>
      <c r="H2124"/>
      <c r="I2124" s="740"/>
      <c r="V2124"/>
      <c r="W2124"/>
      <c r="Y2124"/>
      <c r="Z2124"/>
      <c r="AA2124"/>
      <c r="AD2124"/>
      <c r="AE2124"/>
      <c r="AF2124"/>
      <c r="AH2124"/>
      <c r="AI2124"/>
      <c r="AJ2124"/>
      <c r="AM2124"/>
    </row>
    <row r="2125" spans="3:39">
      <c r="C2125"/>
      <c r="D2125"/>
      <c r="E2125"/>
      <c r="F2125"/>
      <c r="G2125"/>
      <c r="H2125"/>
      <c r="I2125" s="740"/>
      <c r="V2125"/>
      <c r="W2125"/>
      <c r="Y2125"/>
      <c r="Z2125"/>
      <c r="AA2125"/>
      <c r="AD2125"/>
      <c r="AE2125"/>
      <c r="AF2125"/>
      <c r="AH2125"/>
      <c r="AI2125"/>
      <c r="AJ2125"/>
      <c r="AM2125"/>
    </row>
    <row r="2126" spans="3:39">
      <c r="C2126"/>
      <c r="D2126"/>
      <c r="E2126"/>
      <c r="F2126"/>
      <c r="G2126"/>
      <c r="H2126"/>
      <c r="I2126" s="740"/>
      <c r="V2126"/>
      <c r="W2126"/>
      <c r="Y2126"/>
      <c r="Z2126"/>
      <c r="AA2126"/>
      <c r="AD2126"/>
      <c r="AE2126"/>
      <c r="AF2126"/>
      <c r="AH2126"/>
      <c r="AI2126"/>
      <c r="AJ2126"/>
      <c r="AM2126"/>
    </row>
    <row r="2127" spans="3:39">
      <c r="C2127"/>
      <c r="D2127"/>
      <c r="E2127"/>
      <c r="F2127"/>
      <c r="G2127"/>
      <c r="H2127"/>
      <c r="I2127" s="740"/>
      <c r="V2127"/>
      <c r="W2127"/>
      <c r="Y2127"/>
      <c r="Z2127"/>
      <c r="AA2127"/>
      <c r="AD2127"/>
      <c r="AE2127"/>
      <c r="AF2127"/>
      <c r="AH2127"/>
      <c r="AI2127"/>
      <c r="AJ2127"/>
      <c r="AM2127"/>
    </row>
    <row r="2128" spans="3:39">
      <c r="C2128"/>
      <c r="D2128"/>
      <c r="E2128"/>
      <c r="F2128"/>
      <c r="G2128"/>
      <c r="H2128"/>
      <c r="I2128" s="740"/>
      <c r="V2128"/>
      <c r="W2128"/>
      <c r="Y2128"/>
      <c r="Z2128"/>
      <c r="AA2128"/>
      <c r="AD2128"/>
      <c r="AE2128"/>
      <c r="AF2128"/>
      <c r="AH2128"/>
      <c r="AI2128"/>
      <c r="AJ2128"/>
      <c r="AM2128"/>
    </row>
    <row r="2129" spans="3:39">
      <c r="C2129"/>
      <c r="D2129"/>
      <c r="E2129"/>
      <c r="F2129"/>
      <c r="G2129"/>
      <c r="H2129"/>
      <c r="I2129" s="740"/>
      <c r="V2129"/>
      <c r="W2129"/>
      <c r="Y2129"/>
      <c r="Z2129"/>
      <c r="AA2129"/>
      <c r="AD2129"/>
      <c r="AE2129"/>
      <c r="AF2129"/>
      <c r="AH2129"/>
      <c r="AI2129"/>
      <c r="AJ2129"/>
      <c r="AM2129"/>
    </row>
    <row r="2130" spans="3:39">
      <c r="C2130"/>
      <c r="D2130"/>
      <c r="E2130"/>
      <c r="F2130"/>
      <c r="G2130"/>
      <c r="H2130"/>
      <c r="I2130" s="740"/>
      <c r="V2130"/>
      <c r="W2130"/>
      <c r="Y2130"/>
      <c r="Z2130"/>
      <c r="AA2130"/>
      <c r="AD2130"/>
      <c r="AE2130"/>
      <c r="AF2130"/>
      <c r="AH2130"/>
      <c r="AI2130"/>
      <c r="AJ2130"/>
      <c r="AM2130"/>
    </row>
    <row r="2131" spans="3:39">
      <c r="C2131"/>
      <c r="D2131"/>
      <c r="E2131"/>
      <c r="F2131"/>
      <c r="G2131"/>
      <c r="H2131"/>
      <c r="I2131" s="740"/>
      <c r="V2131"/>
      <c r="W2131"/>
      <c r="Y2131"/>
      <c r="Z2131"/>
      <c r="AA2131"/>
      <c r="AD2131"/>
      <c r="AE2131"/>
      <c r="AF2131"/>
      <c r="AH2131"/>
      <c r="AI2131"/>
      <c r="AJ2131"/>
      <c r="AM2131"/>
    </row>
    <row r="2132" spans="3:39">
      <c r="C2132"/>
      <c r="D2132"/>
      <c r="E2132"/>
      <c r="F2132"/>
      <c r="G2132"/>
      <c r="H2132"/>
      <c r="I2132" s="740"/>
      <c r="V2132"/>
      <c r="W2132"/>
      <c r="Y2132"/>
      <c r="Z2132"/>
      <c r="AA2132"/>
      <c r="AD2132"/>
      <c r="AE2132"/>
      <c r="AF2132"/>
      <c r="AH2132"/>
      <c r="AI2132"/>
      <c r="AJ2132"/>
      <c r="AM2132"/>
    </row>
    <row r="2133" spans="3:39">
      <c r="C2133"/>
      <c r="D2133"/>
      <c r="E2133"/>
      <c r="F2133"/>
      <c r="G2133"/>
      <c r="H2133"/>
      <c r="I2133" s="740"/>
      <c r="V2133"/>
      <c r="W2133"/>
      <c r="Y2133"/>
      <c r="Z2133"/>
      <c r="AA2133"/>
      <c r="AD2133"/>
      <c r="AE2133"/>
      <c r="AF2133"/>
      <c r="AH2133"/>
      <c r="AI2133"/>
      <c r="AJ2133"/>
      <c r="AM2133"/>
    </row>
    <row r="2134" spans="3:39">
      <c r="C2134"/>
      <c r="D2134"/>
      <c r="E2134"/>
      <c r="F2134"/>
      <c r="G2134"/>
      <c r="H2134"/>
      <c r="I2134" s="740"/>
      <c r="V2134"/>
      <c r="W2134"/>
      <c r="Y2134"/>
      <c r="Z2134"/>
      <c r="AA2134"/>
      <c r="AD2134"/>
      <c r="AE2134"/>
      <c r="AF2134"/>
      <c r="AH2134"/>
      <c r="AI2134"/>
      <c r="AJ2134"/>
      <c r="AM2134"/>
    </row>
    <row r="2135" spans="3:39">
      <c r="C2135"/>
      <c r="D2135"/>
      <c r="E2135"/>
      <c r="F2135"/>
      <c r="G2135"/>
      <c r="H2135"/>
      <c r="I2135" s="740"/>
      <c r="V2135"/>
      <c r="W2135"/>
      <c r="Y2135"/>
      <c r="Z2135"/>
      <c r="AA2135"/>
      <c r="AD2135"/>
      <c r="AE2135"/>
      <c r="AF2135"/>
      <c r="AH2135"/>
      <c r="AI2135"/>
      <c r="AJ2135"/>
      <c r="AM2135"/>
    </row>
    <row r="2136" spans="3:39">
      <c r="C2136"/>
      <c r="D2136"/>
      <c r="E2136"/>
      <c r="F2136"/>
      <c r="G2136"/>
      <c r="H2136"/>
      <c r="I2136" s="740"/>
      <c r="V2136"/>
      <c r="W2136"/>
      <c r="Y2136"/>
      <c r="Z2136"/>
      <c r="AA2136"/>
      <c r="AD2136"/>
      <c r="AE2136"/>
      <c r="AF2136"/>
      <c r="AH2136"/>
      <c r="AI2136"/>
      <c r="AJ2136"/>
      <c r="AM2136"/>
    </row>
    <row r="2137" spans="3:39">
      <c r="C2137"/>
      <c r="D2137"/>
      <c r="E2137"/>
      <c r="F2137"/>
      <c r="G2137"/>
      <c r="H2137"/>
      <c r="I2137" s="740"/>
      <c r="V2137"/>
      <c r="W2137"/>
      <c r="Y2137"/>
      <c r="Z2137"/>
      <c r="AA2137"/>
      <c r="AD2137"/>
      <c r="AE2137"/>
      <c r="AF2137"/>
      <c r="AH2137"/>
      <c r="AI2137"/>
      <c r="AJ2137"/>
      <c r="AM2137"/>
    </row>
    <row r="2138" spans="3:39">
      <c r="C2138"/>
      <c r="D2138"/>
      <c r="E2138"/>
      <c r="F2138"/>
      <c r="G2138"/>
      <c r="H2138"/>
      <c r="I2138" s="740"/>
      <c r="V2138"/>
      <c r="W2138"/>
      <c r="Y2138"/>
      <c r="Z2138"/>
      <c r="AA2138"/>
      <c r="AD2138"/>
      <c r="AE2138"/>
      <c r="AF2138"/>
      <c r="AH2138"/>
      <c r="AI2138"/>
      <c r="AJ2138"/>
      <c r="AM2138"/>
    </row>
    <row r="2139" spans="3:39">
      <c r="C2139"/>
      <c r="D2139"/>
      <c r="E2139"/>
      <c r="F2139"/>
      <c r="G2139"/>
      <c r="H2139"/>
      <c r="I2139" s="740"/>
      <c r="V2139"/>
      <c r="W2139"/>
      <c r="Y2139"/>
      <c r="Z2139"/>
      <c r="AA2139"/>
      <c r="AD2139"/>
      <c r="AE2139"/>
      <c r="AF2139"/>
      <c r="AH2139"/>
      <c r="AI2139"/>
      <c r="AJ2139"/>
      <c r="AM2139"/>
    </row>
    <row r="2140" spans="3:39">
      <c r="C2140"/>
      <c r="D2140"/>
      <c r="E2140"/>
      <c r="F2140"/>
      <c r="G2140"/>
      <c r="H2140"/>
      <c r="I2140" s="740"/>
      <c r="V2140"/>
      <c r="W2140"/>
      <c r="Y2140"/>
      <c r="Z2140"/>
      <c r="AA2140"/>
      <c r="AD2140"/>
      <c r="AE2140"/>
      <c r="AF2140"/>
      <c r="AH2140"/>
      <c r="AI2140"/>
      <c r="AJ2140"/>
      <c r="AM2140"/>
    </row>
    <row r="2141" spans="3:39">
      <c r="C2141"/>
      <c r="D2141"/>
      <c r="E2141"/>
      <c r="F2141"/>
      <c r="G2141"/>
      <c r="H2141"/>
      <c r="I2141" s="740"/>
      <c r="V2141"/>
      <c r="W2141"/>
      <c r="Y2141"/>
      <c r="Z2141"/>
      <c r="AA2141"/>
      <c r="AD2141"/>
      <c r="AE2141"/>
      <c r="AF2141"/>
      <c r="AH2141"/>
      <c r="AI2141"/>
      <c r="AJ2141"/>
      <c r="AM2141"/>
    </row>
    <row r="2142" spans="3:39">
      <c r="C2142"/>
      <c r="D2142"/>
      <c r="E2142"/>
      <c r="F2142"/>
      <c r="G2142"/>
      <c r="H2142"/>
      <c r="I2142" s="740"/>
      <c r="V2142"/>
      <c r="W2142"/>
      <c r="Y2142"/>
      <c r="Z2142"/>
      <c r="AA2142"/>
      <c r="AD2142"/>
      <c r="AE2142"/>
      <c r="AF2142"/>
      <c r="AH2142"/>
      <c r="AI2142"/>
      <c r="AJ2142"/>
      <c r="AM2142"/>
    </row>
    <row r="2143" spans="3:39">
      <c r="C2143"/>
      <c r="D2143"/>
      <c r="E2143"/>
      <c r="F2143"/>
      <c r="G2143"/>
      <c r="H2143"/>
      <c r="I2143" s="740"/>
      <c r="V2143"/>
      <c r="W2143"/>
      <c r="Y2143"/>
      <c r="Z2143"/>
      <c r="AA2143"/>
      <c r="AD2143"/>
      <c r="AE2143"/>
      <c r="AF2143"/>
      <c r="AH2143"/>
      <c r="AI2143"/>
      <c r="AJ2143"/>
      <c r="AM2143"/>
    </row>
    <row r="2144" spans="3:39">
      <c r="C2144"/>
      <c r="D2144"/>
      <c r="E2144"/>
      <c r="F2144"/>
      <c r="G2144"/>
      <c r="H2144"/>
      <c r="I2144" s="740"/>
      <c r="V2144"/>
      <c r="W2144"/>
      <c r="Y2144"/>
      <c r="Z2144"/>
      <c r="AA2144"/>
      <c r="AD2144"/>
      <c r="AE2144"/>
      <c r="AF2144"/>
      <c r="AH2144"/>
      <c r="AI2144"/>
      <c r="AJ2144"/>
      <c r="AM2144"/>
    </row>
    <row r="2145" spans="3:39">
      <c r="C2145"/>
      <c r="D2145"/>
      <c r="E2145"/>
      <c r="F2145"/>
      <c r="G2145"/>
      <c r="H2145"/>
      <c r="I2145" s="740"/>
      <c r="V2145"/>
      <c r="W2145"/>
      <c r="Y2145"/>
      <c r="Z2145"/>
      <c r="AA2145"/>
      <c r="AD2145"/>
      <c r="AE2145"/>
      <c r="AF2145"/>
      <c r="AH2145"/>
      <c r="AI2145"/>
      <c r="AJ2145"/>
      <c r="AM2145"/>
    </row>
    <row r="2146" spans="3:39">
      <c r="C2146"/>
      <c r="D2146"/>
      <c r="E2146"/>
      <c r="F2146"/>
      <c r="G2146"/>
      <c r="H2146"/>
      <c r="I2146" s="740"/>
      <c r="V2146"/>
      <c r="W2146"/>
      <c r="Y2146"/>
      <c r="Z2146"/>
      <c r="AA2146"/>
      <c r="AD2146"/>
      <c r="AE2146"/>
      <c r="AF2146"/>
      <c r="AH2146"/>
      <c r="AI2146"/>
      <c r="AJ2146"/>
      <c r="AM2146"/>
    </row>
    <row r="2147" spans="3:39">
      <c r="C2147"/>
      <c r="D2147"/>
      <c r="E2147"/>
      <c r="F2147"/>
      <c r="G2147"/>
      <c r="H2147"/>
      <c r="I2147" s="740"/>
      <c r="V2147"/>
      <c r="W2147"/>
      <c r="Y2147"/>
      <c r="Z2147"/>
      <c r="AA2147"/>
      <c r="AD2147"/>
      <c r="AE2147"/>
      <c r="AF2147"/>
      <c r="AH2147"/>
      <c r="AI2147"/>
      <c r="AJ2147"/>
      <c r="AM2147"/>
    </row>
    <row r="2148" spans="3:39">
      <c r="C2148"/>
      <c r="D2148"/>
      <c r="E2148"/>
      <c r="F2148"/>
      <c r="G2148"/>
      <c r="H2148"/>
      <c r="I2148" s="740"/>
      <c r="V2148"/>
      <c r="W2148"/>
      <c r="Y2148"/>
      <c r="Z2148"/>
      <c r="AA2148"/>
      <c r="AD2148"/>
      <c r="AE2148"/>
      <c r="AF2148"/>
      <c r="AH2148"/>
      <c r="AI2148"/>
      <c r="AJ2148"/>
      <c r="AM2148"/>
    </row>
    <row r="2149" spans="3:39">
      <c r="C2149"/>
      <c r="D2149"/>
      <c r="E2149"/>
      <c r="F2149"/>
      <c r="G2149"/>
      <c r="H2149"/>
      <c r="I2149" s="740"/>
      <c r="V2149"/>
      <c r="W2149"/>
      <c r="Y2149"/>
      <c r="Z2149"/>
      <c r="AA2149"/>
      <c r="AD2149"/>
      <c r="AE2149"/>
      <c r="AF2149"/>
      <c r="AH2149"/>
      <c r="AI2149"/>
      <c r="AJ2149"/>
      <c r="AM2149"/>
    </row>
    <row r="2150" spans="3:39">
      <c r="C2150"/>
      <c r="D2150"/>
      <c r="E2150"/>
      <c r="F2150"/>
      <c r="G2150"/>
      <c r="H2150"/>
      <c r="I2150" s="740"/>
      <c r="V2150"/>
      <c r="W2150"/>
      <c r="Y2150"/>
      <c r="Z2150"/>
      <c r="AA2150"/>
      <c r="AD2150"/>
      <c r="AE2150"/>
      <c r="AF2150"/>
      <c r="AH2150"/>
      <c r="AI2150"/>
      <c r="AJ2150"/>
      <c r="AM2150"/>
    </row>
    <row r="2151" spans="3:39">
      <c r="C2151"/>
      <c r="D2151"/>
      <c r="E2151"/>
      <c r="F2151"/>
      <c r="G2151"/>
      <c r="H2151"/>
      <c r="I2151" s="740"/>
      <c r="V2151"/>
      <c r="W2151"/>
      <c r="Y2151"/>
      <c r="Z2151"/>
      <c r="AA2151"/>
      <c r="AD2151"/>
      <c r="AE2151"/>
      <c r="AF2151"/>
      <c r="AH2151"/>
      <c r="AI2151"/>
      <c r="AJ2151"/>
      <c r="AM2151"/>
    </row>
    <row r="2152" spans="3:39">
      <c r="C2152"/>
      <c r="D2152"/>
      <c r="E2152"/>
      <c r="F2152"/>
      <c r="G2152"/>
      <c r="H2152"/>
      <c r="I2152" s="740"/>
      <c r="V2152"/>
      <c r="W2152"/>
      <c r="Y2152"/>
      <c r="Z2152"/>
      <c r="AA2152"/>
      <c r="AD2152"/>
      <c r="AE2152"/>
      <c r="AF2152"/>
      <c r="AH2152"/>
      <c r="AI2152"/>
      <c r="AJ2152"/>
      <c r="AM2152"/>
    </row>
    <row r="2153" spans="3:39">
      <c r="C2153"/>
      <c r="D2153"/>
      <c r="E2153"/>
      <c r="F2153"/>
      <c r="G2153"/>
      <c r="H2153"/>
      <c r="I2153" s="740"/>
      <c r="V2153"/>
      <c r="W2153"/>
      <c r="Y2153"/>
      <c r="Z2153"/>
      <c r="AA2153"/>
      <c r="AD2153"/>
      <c r="AE2153"/>
      <c r="AF2153"/>
      <c r="AH2153"/>
      <c r="AI2153"/>
      <c r="AJ2153"/>
      <c r="AM2153"/>
    </row>
    <row r="2154" spans="3:39">
      <c r="C2154"/>
      <c r="D2154"/>
      <c r="E2154"/>
      <c r="F2154"/>
      <c r="G2154"/>
      <c r="H2154"/>
      <c r="I2154" s="740"/>
      <c r="V2154"/>
      <c r="W2154"/>
      <c r="Y2154"/>
      <c r="Z2154"/>
      <c r="AA2154"/>
      <c r="AD2154"/>
      <c r="AE2154"/>
      <c r="AF2154"/>
      <c r="AH2154"/>
      <c r="AI2154"/>
      <c r="AJ2154"/>
      <c r="AM2154"/>
    </row>
    <row r="2155" spans="3:39">
      <c r="C2155"/>
      <c r="D2155"/>
      <c r="E2155"/>
      <c r="F2155"/>
      <c r="G2155"/>
      <c r="H2155"/>
      <c r="I2155" s="740"/>
      <c r="V2155"/>
      <c r="W2155"/>
      <c r="Y2155"/>
      <c r="Z2155"/>
      <c r="AA2155"/>
      <c r="AD2155"/>
      <c r="AE2155"/>
      <c r="AF2155"/>
      <c r="AH2155"/>
      <c r="AI2155"/>
      <c r="AJ2155"/>
      <c r="AM2155"/>
    </row>
    <row r="2156" spans="3:39">
      <c r="C2156"/>
      <c r="D2156"/>
      <c r="E2156"/>
      <c r="F2156"/>
      <c r="G2156"/>
      <c r="H2156"/>
      <c r="I2156" s="740"/>
      <c r="V2156"/>
      <c r="W2156"/>
      <c r="Y2156"/>
      <c r="Z2156"/>
      <c r="AA2156"/>
      <c r="AD2156"/>
      <c r="AE2156"/>
      <c r="AF2156"/>
      <c r="AH2156"/>
      <c r="AI2156"/>
      <c r="AJ2156"/>
      <c r="AM2156"/>
    </row>
    <row r="2157" spans="3:39">
      <c r="C2157"/>
      <c r="D2157"/>
      <c r="E2157"/>
      <c r="F2157"/>
      <c r="G2157"/>
      <c r="H2157"/>
      <c r="I2157" s="740"/>
      <c r="V2157"/>
      <c r="W2157"/>
      <c r="Y2157"/>
      <c r="Z2157"/>
      <c r="AA2157"/>
      <c r="AD2157"/>
      <c r="AE2157"/>
      <c r="AF2157"/>
      <c r="AH2157"/>
      <c r="AI2157"/>
      <c r="AJ2157"/>
      <c r="AM2157"/>
    </row>
    <row r="2158" spans="3:39">
      <c r="C2158"/>
      <c r="D2158"/>
      <c r="E2158"/>
      <c r="F2158"/>
      <c r="G2158"/>
      <c r="H2158"/>
      <c r="I2158" s="740"/>
      <c r="V2158"/>
      <c r="W2158"/>
      <c r="Y2158"/>
      <c r="Z2158"/>
      <c r="AA2158"/>
      <c r="AD2158"/>
      <c r="AE2158"/>
      <c r="AF2158"/>
      <c r="AH2158"/>
      <c r="AI2158"/>
      <c r="AJ2158"/>
      <c r="AM2158"/>
    </row>
    <row r="2159" spans="3:39">
      <c r="C2159"/>
      <c r="D2159"/>
      <c r="E2159"/>
      <c r="F2159"/>
      <c r="G2159"/>
      <c r="H2159"/>
      <c r="I2159" s="740"/>
      <c r="V2159"/>
      <c r="W2159"/>
      <c r="Y2159"/>
      <c r="Z2159"/>
      <c r="AA2159"/>
      <c r="AD2159"/>
      <c r="AE2159"/>
      <c r="AF2159"/>
      <c r="AH2159"/>
      <c r="AI2159"/>
      <c r="AJ2159"/>
      <c r="AM2159"/>
    </row>
    <row r="2160" spans="3:39">
      <c r="C2160"/>
      <c r="D2160"/>
      <c r="E2160"/>
      <c r="F2160"/>
      <c r="G2160"/>
      <c r="H2160"/>
      <c r="I2160" s="740"/>
      <c r="V2160"/>
      <c r="W2160"/>
      <c r="Y2160"/>
      <c r="Z2160"/>
      <c r="AA2160"/>
      <c r="AD2160"/>
      <c r="AE2160"/>
      <c r="AF2160"/>
      <c r="AH2160"/>
      <c r="AI2160"/>
      <c r="AJ2160"/>
      <c r="AM2160"/>
    </row>
    <row r="2161" spans="3:39">
      <c r="C2161"/>
      <c r="D2161"/>
      <c r="E2161"/>
      <c r="F2161"/>
      <c r="G2161"/>
      <c r="H2161"/>
      <c r="I2161" s="740"/>
      <c r="V2161"/>
      <c r="W2161"/>
      <c r="Y2161"/>
      <c r="Z2161"/>
      <c r="AA2161"/>
      <c r="AD2161"/>
      <c r="AE2161"/>
      <c r="AF2161"/>
      <c r="AH2161"/>
      <c r="AI2161"/>
      <c r="AJ2161"/>
      <c r="AM2161"/>
    </row>
    <row r="2162" spans="3:39">
      <c r="C2162"/>
      <c r="D2162"/>
      <c r="E2162"/>
      <c r="F2162"/>
      <c r="G2162"/>
      <c r="H2162"/>
      <c r="I2162" s="740"/>
      <c r="V2162"/>
      <c r="W2162"/>
      <c r="Y2162"/>
      <c r="Z2162"/>
      <c r="AA2162"/>
      <c r="AD2162"/>
      <c r="AE2162"/>
      <c r="AF2162"/>
      <c r="AH2162"/>
      <c r="AI2162"/>
      <c r="AJ2162"/>
      <c r="AM2162"/>
    </row>
    <row r="2163" spans="3:39">
      <c r="C2163"/>
      <c r="D2163"/>
      <c r="E2163"/>
      <c r="F2163"/>
      <c r="G2163"/>
      <c r="H2163"/>
      <c r="I2163" s="740"/>
      <c r="V2163"/>
      <c r="W2163"/>
      <c r="Y2163"/>
      <c r="Z2163"/>
      <c r="AA2163"/>
      <c r="AD2163"/>
      <c r="AE2163"/>
      <c r="AF2163"/>
      <c r="AH2163"/>
      <c r="AI2163"/>
      <c r="AJ2163"/>
      <c r="AM2163"/>
    </row>
    <row r="2164" spans="3:39">
      <c r="C2164"/>
      <c r="D2164"/>
      <c r="E2164"/>
      <c r="F2164"/>
      <c r="G2164"/>
      <c r="H2164"/>
      <c r="I2164" s="740"/>
      <c r="V2164"/>
      <c r="W2164"/>
      <c r="Y2164"/>
      <c r="Z2164"/>
      <c r="AA2164"/>
      <c r="AD2164"/>
      <c r="AE2164"/>
      <c r="AF2164"/>
      <c r="AH2164"/>
      <c r="AI2164"/>
      <c r="AJ2164"/>
      <c r="AM2164"/>
    </row>
    <row r="2165" spans="3:39">
      <c r="C2165"/>
      <c r="D2165"/>
      <c r="E2165"/>
      <c r="F2165"/>
      <c r="G2165"/>
      <c r="H2165"/>
      <c r="I2165" s="740"/>
      <c r="V2165"/>
      <c r="W2165"/>
      <c r="Y2165"/>
      <c r="Z2165"/>
      <c r="AA2165"/>
      <c r="AD2165"/>
      <c r="AE2165"/>
      <c r="AF2165"/>
      <c r="AH2165"/>
      <c r="AI2165"/>
      <c r="AJ2165"/>
      <c r="AM2165"/>
    </row>
    <row r="2166" spans="3:39">
      <c r="C2166"/>
      <c r="D2166"/>
      <c r="E2166"/>
      <c r="F2166"/>
      <c r="G2166"/>
      <c r="H2166"/>
      <c r="I2166" s="740"/>
      <c r="V2166"/>
      <c r="W2166"/>
      <c r="Y2166"/>
      <c r="Z2166"/>
      <c r="AA2166"/>
      <c r="AD2166"/>
      <c r="AE2166"/>
      <c r="AF2166"/>
      <c r="AH2166"/>
      <c r="AI2166"/>
      <c r="AJ2166"/>
      <c r="AM2166"/>
    </row>
    <row r="2167" spans="3:39">
      <c r="C2167"/>
      <c r="D2167"/>
      <c r="E2167"/>
      <c r="F2167"/>
      <c r="G2167"/>
      <c r="H2167"/>
      <c r="I2167" s="740"/>
      <c r="V2167"/>
      <c r="W2167"/>
      <c r="Y2167"/>
      <c r="Z2167"/>
      <c r="AA2167"/>
      <c r="AD2167"/>
      <c r="AE2167"/>
      <c r="AF2167"/>
      <c r="AH2167"/>
      <c r="AI2167"/>
      <c r="AJ2167"/>
      <c r="AM2167"/>
    </row>
    <row r="2168" spans="3:39">
      <c r="C2168"/>
      <c r="D2168"/>
      <c r="E2168"/>
      <c r="F2168"/>
      <c r="G2168"/>
      <c r="H2168"/>
      <c r="I2168" s="740"/>
      <c r="V2168"/>
      <c r="W2168"/>
      <c r="Y2168"/>
      <c r="Z2168"/>
      <c r="AA2168"/>
      <c r="AD2168"/>
      <c r="AE2168"/>
      <c r="AF2168"/>
      <c r="AH2168"/>
      <c r="AI2168"/>
      <c r="AJ2168"/>
      <c r="AM2168"/>
    </row>
    <row r="2169" spans="3:39">
      <c r="C2169"/>
      <c r="D2169"/>
      <c r="E2169"/>
      <c r="F2169"/>
      <c r="G2169"/>
      <c r="H2169"/>
      <c r="I2169" s="740"/>
      <c r="V2169"/>
      <c r="W2169"/>
      <c r="Y2169"/>
      <c r="Z2169"/>
      <c r="AA2169"/>
      <c r="AD2169"/>
      <c r="AE2169"/>
      <c r="AF2169"/>
      <c r="AH2169"/>
      <c r="AI2169"/>
      <c r="AJ2169"/>
      <c r="AM2169"/>
    </row>
    <row r="2170" spans="3:39">
      <c r="C2170"/>
      <c r="D2170"/>
      <c r="E2170"/>
      <c r="F2170"/>
      <c r="G2170"/>
      <c r="H2170"/>
      <c r="I2170" s="740"/>
      <c r="V2170"/>
      <c r="W2170"/>
      <c r="Y2170"/>
      <c r="Z2170"/>
      <c r="AA2170"/>
      <c r="AD2170"/>
      <c r="AE2170"/>
      <c r="AF2170"/>
      <c r="AH2170"/>
      <c r="AI2170"/>
      <c r="AJ2170"/>
      <c r="AM2170"/>
    </row>
    <row r="2171" spans="3:39">
      <c r="C2171"/>
      <c r="D2171"/>
      <c r="E2171"/>
      <c r="F2171"/>
      <c r="G2171"/>
      <c r="H2171"/>
      <c r="I2171" s="740"/>
      <c r="V2171"/>
      <c r="W2171"/>
      <c r="Y2171"/>
      <c r="Z2171"/>
      <c r="AA2171"/>
      <c r="AD2171"/>
      <c r="AE2171"/>
      <c r="AF2171"/>
      <c r="AH2171"/>
      <c r="AI2171"/>
      <c r="AJ2171"/>
      <c r="AM2171"/>
    </row>
    <row r="2172" spans="3:39">
      <c r="C2172"/>
      <c r="D2172"/>
      <c r="E2172"/>
      <c r="F2172"/>
      <c r="G2172"/>
      <c r="H2172"/>
      <c r="I2172" s="740"/>
      <c r="V2172"/>
      <c r="W2172"/>
      <c r="Y2172"/>
      <c r="Z2172"/>
      <c r="AA2172"/>
      <c r="AD2172"/>
      <c r="AE2172"/>
      <c r="AF2172"/>
      <c r="AH2172"/>
      <c r="AI2172"/>
      <c r="AJ2172"/>
      <c r="AM2172"/>
    </row>
    <row r="2173" spans="3:39">
      <c r="C2173"/>
      <c r="D2173"/>
      <c r="E2173"/>
      <c r="F2173"/>
      <c r="G2173"/>
      <c r="H2173"/>
      <c r="I2173" s="740"/>
      <c r="V2173"/>
      <c r="W2173"/>
      <c r="Y2173"/>
      <c r="Z2173"/>
      <c r="AA2173"/>
      <c r="AD2173"/>
      <c r="AE2173"/>
      <c r="AF2173"/>
      <c r="AH2173"/>
      <c r="AI2173"/>
      <c r="AJ2173"/>
      <c r="AM2173"/>
    </row>
    <row r="2174" spans="3:39">
      <c r="C2174"/>
      <c r="D2174"/>
      <c r="E2174"/>
      <c r="F2174"/>
      <c r="G2174"/>
      <c r="H2174"/>
      <c r="I2174" s="740"/>
      <c r="V2174"/>
      <c r="W2174"/>
      <c r="Y2174"/>
      <c r="Z2174"/>
      <c r="AA2174"/>
      <c r="AD2174"/>
      <c r="AE2174"/>
      <c r="AF2174"/>
      <c r="AH2174"/>
      <c r="AI2174"/>
      <c r="AJ2174"/>
      <c r="AM2174"/>
    </row>
    <row r="2175" spans="3:39">
      <c r="C2175"/>
      <c r="D2175"/>
      <c r="E2175"/>
      <c r="F2175"/>
      <c r="G2175"/>
      <c r="H2175"/>
      <c r="I2175" s="740"/>
      <c r="V2175"/>
      <c r="W2175"/>
      <c r="Y2175"/>
      <c r="Z2175"/>
      <c r="AA2175"/>
      <c r="AD2175"/>
      <c r="AE2175"/>
      <c r="AF2175"/>
      <c r="AH2175"/>
      <c r="AI2175"/>
      <c r="AJ2175"/>
      <c r="AM2175"/>
    </row>
    <row r="2176" spans="3:39">
      <c r="C2176"/>
      <c r="D2176"/>
      <c r="E2176"/>
      <c r="F2176"/>
      <c r="G2176"/>
      <c r="H2176"/>
      <c r="I2176" s="740"/>
      <c r="V2176"/>
      <c r="W2176"/>
      <c r="Y2176"/>
      <c r="Z2176"/>
      <c r="AA2176"/>
      <c r="AD2176"/>
      <c r="AE2176"/>
      <c r="AF2176"/>
      <c r="AH2176"/>
      <c r="AI2176"/>
      <c r="AJ2176"/>
      <c r="AM2176"/>
    </row>
    <row r="2177" spans="3:39">
      <c r="C2177"/>
      <c r="D2177"/>
      <c r="E2177"/>
      <c r="F2177"/>
      <c r="G2177"/>
      <c r="H2177"/>
      <c r="I2177" s="740"/>
      <c r="V2177"/>
      <c r="W2177"/>
      <c r="Y2177"/>
      <c r="Z2177"/>
      <c r="AA2177"/>
      <c r="AD2177"/>
      <c r="AE2177"/>
      <c r="AF2177"/>
      <c r="AH2177"/>
      <c r="AI2177"/>
      <c r="AJ2177"/>
      <c r="AM2177"/>
    </row>
    <row r="2178" spans="3:39">
      <c r="C2178"/>
      <c r="D2178"/>
      <c r="E2178"/>
      <c r="F2178"/>
      <c r="G2178"/>
      <c r="H2178"/>
      <c r="I2178" s="740"/>
      <c r="V2178"/>
      <c r="W2178"/>
      <c r="Y2178"/>
      <c r="Z2178"/>
      <c r="AA2178"/>
      <c r="AD2178"/>
      <c r="AE2178"/>
      <c r="AF2178"/>
      <c r="AH2178"/>
      <c r="AI2178"/>
      <c r="AJ2178"/>
      <c r="AM2178"/>
    </row>
    <row r="2179" spans="3:39">
      <c r="C2179"/>
      <c r="D2179"/>
      <c r="E2179"/>
      <c r="F2179"/>
      <c r="G2179"/>
      <c r="H2179"/>
      <c r="I2179" s="740"/>
      <c r="V2179"/>
      <c r="W2179"/>
      <c r="Y2179"/>
      <c r="Z2179"/>
      <c r="AA2179"/>
      <c r="AD2179"/>
      <c r="AE2179"/>
      <c r="AF2179"/>
      <c r="AH2179"/>
      <c r="AI2179"/>
      <c r="AJ2179"/>
      <c r="AM2179"/>
    </row>
    <row r="2180" spans="3:39">
      <c r="C2180"/>
      <c r="D2180"/>
      <c r="E2180"/>
      <c r="F2180"/>
      <c r="G2180"/>
      <c r="H2180"/>
      <c r="I2180" s="740"/>
      <c r="V2180"/>
      <c r="W2180"/>
      <c r="Y2180"/>
      <c r="Z2180"/>
      <c r="AA2180"/>
      <c r="AD2180"/>
      <c r="AE2180"/>
      <c r="AF2180"/>
      <c r="AH2180"/>
      <c r="AI2180"/>
      <c r="AJ2180"/>
      <c r="AM2180"/>
    </row>
    <row r="2181" spans="3:39">
      <c r="C2181"/>
      <c r="D2181"/>
      <c r="E2181"/>
      <c r="F2181"/>
      <c r="G2181"/>
      <c r="H2181"/>
      <c r="I2181" s="740"/>
      <c r="V2181"/>
      <c r="W2181"/>
      <c r="Y2181"/>
      <c r="Z2181"/>
      <c r="AA2181"/>
      <c r="AD2181"/>
      <c r="AE2181"/>
      <c r="AF2181"/>
      <c r="AH2181"/>
      <c r="AI2181"/>
      <c r="AJ2181"/>
      <c r="AM2181"/>
    </row>
    <row r="2182" spans="3:39">
      <c r="C2182"/>
      <c r="D2182"/>
      <c r="E2182"/>
      <c r="F2182"/>
      <c r="G2182"/>
      <c r="H2182"/>
      <c r="I2182" s="740"/>
      <c r="V2182"/>
      <c r="W2182"/>
      <c r="Y2182"/>
      <c r="Z2182"/>
      <c r="AA2182"/>
      <c r="AD2182"/>
      <c r="AE2182"/>
      <c r="AF2182"/>
      <c r="AH2182"/>
      <c r="AI2182"/>
      <c r="AJ2182"/>
      <c r="AM2182"/>
    </row>
    <row r="2183" spans="3:39">
      <c r="C2183"/>
      <c r="D2183"/>
      <c r="E2183"/>
      <c r="F2183"/>
      <c r="G2183"/>
      <c r="H2183"/>
      <c r="I2183" s="740"/>
      <c r="V2183"/>
      <c r="W2183"/>
      <c r="Y2183"/>
      <c r="Z2183"/>
      <c r="AA2183"/>
      <c r="AD2183"/>
      <c r="AE2183"/>
      <c r="AF2183"/>
      <c r="AH2183"/>
      <c r="AI2183"/>
      <c r="AJ2183"/>
      <c r="AM2183"/>
    </row>
    <row r="2184" spans="3:39">
      <c r="C2184"/>
      <c r="D2184"/>
      <c r="E2184"/>
      <c r="F2184"/>
      <c r="G2184"/>
      <c r="H2184"/>
      <c r="I2184" s="740"/>
      <c r="V2184"/>
      <c r="W2184"/>
      <c r="Y2184"/>
      <c r="Z2184"/>
      <c r="AA2184"/>
      <c r="AD2184"/>
      <c r="AE2184"/>
      <c r="AF2184"/>
      <c r="AH2184"/>
      <c r="AI2184"/>
      <c r="AJ2184"/>
      <c r="AM2184"/>
    </row>
    <row r="2185" spans="3:39">
      <c r="C2185"/>
      <c r="D2185"/>
      <c r="E2185"/>
      <c r="F2185"/>
      <c r="G2185"/>
      <c r="H2185"/>
      <c r="I2185" s="740"/>
      <c r="V2185"/>
      <c r="W2185"/>
      <c r="Y2185"/>
      <c r="Z2185"/>
      <c r="AA2185"/>
      <c r="AD2185"/>
      <c r="AE2185"/>
      <c r="AF2185"/>
      <c r="AH2185"/>
      <c r="AI2185"/>
      <c r="AJ2185"/>
      <c r="AM2185"/>
    </row>
    <row r="2186" spans="3:39">
      <c r="C2186"/>
      <c r="D2186"/>
      <c r="E2186"/>
      <c r="F2186"/>
      <c r="G2186"/>
      <c r="H2186"/>
      <c r="I2186" s="740"/>
      <c r="V2186"/>
      <c r="W2186"/>
      <c r="Y2186"/>
      <c r="Z2186"/>
      <c r="AA2186"/>
      <c r="AD2186"/>
      <c r="AE2186"/>
      <c r="AF2186"/>
      <c r="AH2186"/>
      <c r="AI2186"/>
      <c r="AJ2186"/>
      <c r="AM2186"/>
    </row>
    <row r="2187" spans="3:39">
      <c r="C2187"/>
      <c r="D2187"/>
      <c r="E2187"/>
      <c r="F2187"/>
      <c r="G2187"/>
      <c r="H2187"/>
      <c r="I2187" s="740"/>
      <c r="V2187"/>
      <c r="W2187"/>
      <c r="Y2187"/>
      <c r="Z2187"/>
      <c r="AA2187"/>
      <c r="AD2187"/>
      <c r="AE2187"/>
      <c r="AF2187"/>
      <c r="AH2187"/>
      <c r="AI2187"/>
      <c r="AJ2187"/>
      <c r="AM2187"/>
    </row>
    <row r="2188" spans="3:39">
      <c r="C2188"/>
      <c r="D2188"/>
      <c r="E2188"/>
      <c r="F2188"/>
      <c r="G2188"/>
      <c r="H2188"/>
      <c r="I2188" s="740"/>
      <c r="V2188"/>
      <c r="W2188"/>
      <c r="Y2188"/>
      <c r="Z2188"/>
      <c r="AA2188"/>
      <c r="AD2188"/>
      <c r="AE2188"/>
      <c r="AF2188"/>
      <c r="AH2188"/>
      <c r="AI2188"/>
      <c r="AJ2188"/>
      <c r="AM2188"/>
    </row>
    <row r="2189" spans="3:39">
      <c r="C2189"/>
      <c r="D2189"/>
      <c r="E2189"/>
      <c r="F2189"/>
      <c r="G2189"/>
      <c r="H2189"/>
      <c r="I2189" s="740"/>
      <c r="V2189"/>
      <c r="W2189"/>
      <c r="Y2189"/>
      <c r="Z2189"/>
      <c r="AA2189"/>
      <c r="AD2189"/>
      <c r="AE2189"/>
      <c r="AF2189"/>
      <c r="AH2189"/>
      <c r="AI2189"/>
      <c r="AJ2189"/>
      <c r="AM2189"/>
    </row>
    <row r="2190" spans="3:39">
      <c r="C2190"/>
      <c r="D2190"/>
      <c r="E2190"/>
      <c r="F2190"/>
      <c r="G2190"/>
      <c r="H2190"/>
      <c r="I2190" s="740"/>
      <c r="V2190"/>
      <c r="W2190"/>
      <c r="Y2190"/>
      <c r="Z2190"/>
      <c r="AA2190"/>
      <c r="AD2190"/>
      <c r="AE2190"/>
      <c r="AF2190"/>
      <c r="AH2190"/>
      <c r="AI2190"/>
      <c r="AJ2190"/>
      <c r="AM2190"/>
    </row>
    <row r="2191" spans="3:39">
      <c r="C2191"/>
      <c r="D2191"/>
      <c r="E2191"/>
      <c r="F2191"/>
      <c r="G2191"/>
      <c r="H2191"/>
      <c r="I2191" s="740"/>
      <c r="V2191"/>
      <c r="W2191"/>
      <c r="Y2191"/>
      <c r="Z2191"/>
      <c r="AA2191"/>
      <c r="AD2191"/>
      <c r="AE2191"/>
      <c r="AF2191"/>
      <c r="AH2191"/>
      <c r="AI2191"/>
      <c r="AJ2191"/>
      <c r="AM2191"/>
    </row>
    <row r="2192" spans="3:39">
      <c r="C2192"/>
      <c r="D2192"/>
      <c r="E2192"/>
      <c r="F2192"/>
      <c r="G2192"/>
      <c r="H2192"/>
      <c r="I2192" s="740"/>
      <c r="V2192"/>
      <c r="W2192"/>
      <c r="Y2192"/>
      <c r="Z2192"/>
      <c r="AA2192"/>
      <c r="AD2192"/>
      <c r="AE2192"/>
      <c r="AF2192"/>
      <c r="AH2192"/>
      <c r="AI2192"/>
      <c r="AJ2192"/>
      <c r="AM2192"/>
    </row>
    <row r="2193" spans="3:39">
      <c r="C2193"/>
      <c r="D2193"/>
      <c r="E2193"/>
      <c r="F2193"/>
      <c r="G2193"/>
      <c r="H2193"/>
      <c r="I2193" s="740"/>
      <c r="V2193"/>
      <c r="W2193"/>
      <c r="Y2193"/>
      <c r="Z2193"/>
      <c r="AA2193"/>
      <c r="AD2193"/>
      <c r="AE2193"/>
      <c r="AF2193"/>
      <c r="AH2193"/>
      <c r="AI2193"/>
      <c r="AJ2193"/>
      <c r="AM2193"/>
    </row>
    <row r="2194" spans="3:39">
      <c r="C2194"/>
      <c r="D2194"/>
      <c r="E2194"/>
      <c r="F2194"/>
      <c r="G2194"/>
      <c r="H2194"/>
      <c r="I2194" s="740"/>
      <c r="V2194"/>
      <c r="W2194"/>
      <c r="Y2194"/>
      <c r="Z2194"/>
      <c r="AA2194"/>
      <c r="AD2194"/>
      <c r="AE2194"/>
      <c r="AF2194"/>
      <c r="AH2194"/>
      <c r="AI2194"/>
      <c r="AJ2194"/>
      <c r="AM2194"/>
    </row>
    <row r="2195" spans="3:39">
      <c r="C2195"/>
      <c r="D2195"/>
      <c r="E2195"/>
      <c r="F2195"/>
      <c r="G2195"/>
      <c r="H2195"/>
      <c r="I2195" s="740"/>
      <c r="V2195"/>
      <c r="W2195"/>
      <c r="Y2195"/>
      <c r="Z2195"/>
      <c r="AA2195"/>
      <c r="AD2195"/>
      <c r="AE2195"/>
      <c r="AF2195"/>
      <c r="AH2195"/>
      <c r="AI2195"/>
      <c r="AJ2195"/>
      <c r="AM2195"/>
    </row>
    <row r="2196" spans="3:39">
      <c r="C2196"/>
      <c r="D2196"/>
      <c r="E2196"/>
      <c r="F2196"/>
      <c r="G2196"/>
      <c r="H2196"/>
      <c r="I2196" s="740"/>
      <c r="V2196"/>
      <c r="W2196"/>
      <c r="Y2196"/>
      <c r="Z2196"/>
      <c r="AA2196"/>
      <c r="AD2196"/>
      <c r="AE2196"/>
      <c r="AF2196"/>
      <c r="AH2196"/>
      <c r="AI2196"/>
      <c r="AJ2196"/>
      <c r="AM2196"/>
    </row>
    <row r="2197" spans="3:39">
      <c r="C2197"/>
      <c r="D2197"/>
      <c r="E2197"/>
      <c r="F2197"/>
      <c r="G2197"/>
      <c r="H2197"/>
      <c r="I2197" s="740"/>
      <c r="V2197"/>
      <c r="W2197"/>
      <c r="Y2197"/>
      <c r="Z2197"/>
      <c r="AA2197"/>
      <c r="AD2197"/>
      <c r="AE2197"/>
      <c r="AF2197"/>
      <c r="AH2197"/>
      <c r="AI2197"/>
      <c r="AJ2197"/>
      <c r="AM2197"/>
    </row>
    <row r="2198" spans="3:39">
      <c r="C2198"/>
      <c r="D2198"/>
      <c r="E2198"/>
      <c r="F2198"/>
      <c r="G2198"/>
      <c r="H2198"/>
      <c r="I2198" s="740"/>
      <c r="V2198"/>
      <c r="W2198"/>
      <c r="Y2198"/>
      <c r="Z2198"/>
      <c r="AA2198"/>
      <c r="AD2198"/>
      <c r="AE2198"/>
      <c r="AF2198"/>
      <c r="AH2198"/>
      <c r="AI2198"/>
      <c r="AJ2198"/>
      <c r="AM2198"/>
    </row>
    <row r="2199" spans="3:39">
      <c r="C2199"/>
      <c r="D2199"/>
      <c r="E2199"/>
      <c r="F2199"/>
      <c r="G2199"/>
      <c r="H2199"/>
      <c r="I2199" s="740"/>
      <c r="V2199"/>
      <c r="W2199"/>
      <c r="Y2199"/>
      <c r="Z2199"/>
      <c r="AA2199"/>
      <c r="AD2199"/>
      <c r="AE2199"/>
      <c r="AF2199"/>
      <c r="AH2199"/>
      <c r="AI2199"/>
      <c r="AJ2199"/>
      <c r="AM2199"/>
    </row>
    <row r="2200" spans="3:39">
      <c r="C2200"/>
      <c r="D2200"/>
      <c r="E2200"/>
      <c r="F2200"/>
      <c r="G2200"/>
      <c r="H2200"/>
      <c r="I2200" s="740"/>
      <c r="V2200"/>
      <c r="W2200"/>
      <c r="Y2200"/>
      <c r="Z2200"/>
      <c r="AA2200"/>
      <c r="AD2200"/>
      <c r="AE2200"/>
      <c r="AF2200"/>
      <c r="AH2200"/>
      <c r="AI2200"/>
      <c r="AJ2200"/>
      <c r="AM2200"/>
    </row>
    <row r="2201" spans="3:39">
      <c r="C2201"/>
      <c r="D2201"/>
      <c r="E2201"/>
      <c r="F2201"/>
      <c r="G2201"/>
      <c r="H2201"/>
      <c r="I2201" s="740"/>
      <c r="V2201"/>
      <c r="W2201"/>
      <c r="Y2201"/>
      <c r="Z2201"/>
      <c r="AA2201"/>
      <c r="AD2201"/>
      <c r="AE2201"/>
      <c r="AF2201"/>
      <c r="AH2201"/>
      <c r="AI2201"/>
      <c r="AJ2201"/>
      <c r="AM2201"/>
    </row>
    <row r="2202" spans="3:39">
      <c r="C2202"/>
      <c r="D2202"/>
      <c r="E2202"/>
      <c r="F2202"/>
      <c r="G2202"/>
      <c r="H2202"/>
      <c r="I2202" s="740"/>
      <c r="V2202"/>
      <c r="W2202"/>
      <c r="Y2202"/>
      <c r="Z2202"/>
      <c r="AA2202"/>
      <c r="AD2202"/>
      <c r="AE2202"/>
      <c r="AF2202"/>
      <c r="AH2202"/>
      <c r="AI2202"/>
      <c r="AJ2202"/>
      <c r="AM2202"/>
    </row>
    <row r="2203" spans="3:39">
      <c r="C2203"/>
      <c r="D2203"/>
      <c r="E2203"/>
      <c r="F2203"/>
      <c r="G2203"/>
      <c r="H2203"/>
      <c r="I2203" s="740"/>
      <c r="V2203"/>
      <c r="W2203"/>
      <c r="Y2203"/>
      <c r="Z2203"/>
      <c r="AA2203"/>
      <c r="AD2203"/>
      <c r="AE2203"/>
      <c r="AF2203"/>
      <c r="AH2203"/>
      <c r="AI2203"/>
      <c r="AJ2203"/>
      <c r="AM2203"/>
    </row>
    <row r="2204" spans="3:39">
      <c r="C2204"/>
      <c r="D2204"/>
      <c r="E2204"/>
      <c r="F2204"/>
      <c r="G2204"/>
      <c r="H2204"/>
      <c r="I2204" s="740"/>
      <c r="V2204"/>
      <c r="W2204"/>
      <c r="Y2204"/>
      <c r="Z2204"/>
      <c r="AA2204"/>
      <c r="AD2204"/>
      <c r="AE2204"/>
      <c r="AF2204"/>
      <c r="AH2204"/>
      <c r="AI2204"/>
      <c r="AJ2204"/>
      <c r="AM2204"/>
    </row>
    <row r="2205" spans="3:39">
      <c r="C2205"/>
      <c r="D2205"/>
      <c r="E2205"/>
      <c r="F2205"/>
      <c r="G2205"/>
      <c r="H2205"/>
      <c r="I2205" s="740"/>
      <c r="V2205"/>
      <c r="W2205"/>
      <c r="Y2205"/>
      <c r="Z2205"/>
      <c r="AA2205"/>
      <c r="AD2205"/>
      <c r="AE2205"/>
      <c r="AF2205"/>
      <c r="AH2205"/>
      <c r="AI2205"/>
      <c r="AJ2205"/>
      <c r="AM2205"/>
    </row>
    <row r="2206" spans="3:39">
      <c r="C2206"/>
      <c r="D2206"/>
      <c r="E2206"/>
      <c r="F2206"/>
      <c r="G2206"/>
      <c r="H2206"/>
      <c r="I2206" s="740"/>
      <c r="V2206"/>
      <c r="W2206"/>
      <c r="Y2206"/>
      <c r="Z2206"/>
      <c r="AA2206"/>
      <c r="AD2206"/>
      <c r="AE2206"/>
      <c r="AF2206"/>
      <c r="AH2206"/>
      <c r="AI2206"/>
      <c r="AJ2206"/>
      <c r="AM2206"/>
    </row>
    <row r="2207" spans="3:39">
      <c r="C2207"/>
      <c r="D2207"/>
      <c r="E2207"/>
      <c r="F2207"/>
      <c r="G2207"/>
      <c r="H2207"/>
      <c r="I2207" s="740"/>
      <c r="V2207"/>
      <c r="W2207"/>
      <c r="Y2207"/>
      <c r="Z2207"/>
      <c r="AA2207"/>
      <c r="AD2207"/>
      <c r="AE2207"/>
      <c r="AF2207"/>
      <c r="AH2207"/>
      <c r="AI2207"/>
      <c r="AJ2207"/>
      <c r="AM2207"/>
    </row>
    <row r="2208" spans="3:39">
      <c r="C2208"/>
      <c r="D2208"/>
      <c r="E2208"/>
      <c r="F2208"/>
      <c r="G2208"/>
      <c r="H2208"/>
      <c r="I2208" s="740"/>
      <c r="V2208"/>
      <c r="W2208"/>
      <c r="Y2208"/>
      <c r="Z2208"/>
      <c r="AA2208"/>
      <c r="AD2208"/>
      <c r="AE2208"/>
      <c r="AF2208"/>
      <c r="AH2208"/>
      <c r="AI2208"/>
      <c r="AJ2208"/>
      <c r="AM2208"/>
    </row>
    <row r="2209" spans="3:39">
      <c r="C2209"/>
      <c r="D2209"/>
      <c r="E2209"/>
      <c r="F2209"/>
      <c r="G2209"/>
      <c r="H2209"/>
      <c r="I2209" s="740"/>
      <c r="V2209"/>
      <c r="W2209"/>
      <c r="Y2209"/>
      <c r="Z2209"/>
      <c r="AA2209"/>
      <c r="AD2209"/>
      <c r="AE2209"/>
      <c r="AF2209"/>
      <c r="AH2209"/>
      <c r="AI2209"/>
      <c r="AJ2209"/>
      <c r="AM2209"/>
    </row>
    <row r="2210" spans="3:39">
      <c r="C2210"/>
      <c r="D2210"/>
      <c r="E2210"/>
      <c r="F2210"/>
      <c r="G2210"/>
      <c r="H2210"/>
      <c r="I2210" s="740"/>
      <c r="V2210"/>
      <c r="W2210"/>
      <c r="Y2210"/>
      <c r="Z2210"/>
      <c r="AA2210"/>
      <c r="AD2210"/>
      <c r="AE2210"/>
      <c r="AF2210"/>
      <c r="AH2210"/>
      <c r="AI2210"/>
      <c r="AJ2210"/>
      <c r="AM2210"/>
    </row>
    <row r="2211" spans="3:39">
      <c r="C2211"/>
      <c r="D2211"/>
      <c r="E2211"/>
      <c r="F2211"/>
      <c r="G2211"/>
      <c r="H2211"/>
      <c r="I2211" s="740"/>
      <c r="V2211"/>
      <c r="W2211"/>
      <c r="Y2211"/>
      <c r="Z2211"/>
      <c r="AA2211"/>
      <c r="AD2211"/>
      <c r="AE2211"/>
      <c r="AF2211"/>
      <c r="AH2211"/>
      <c r="AI2211"/>
      <c r="AJ2211"/>
      <c r="AM2211"/>
    </row>
    <row r="2212" spans="3:39">
      <c r="C2212"/>
      <c r="D2212"/>
      <c r="E2212"/>
      <c r="F2212"/>
      <c r="G2212"/>
      <c r="H2212"/>
      <c r="I2212" s="740"/>
      <c r="V2212"/>
      <c r="W2212"/>
      <c r="Y2212"/>
      <c r="Z2212"/>
      <c r="AA2212"/>
      <c r="AD2212"/>
      <c r="AE2212"/>
      <c r="AF2212"/>
      <c r="AH2212"/>
      <c r="AI2212"/>
      <c r="AJ2212"/>
      <c r="AM2212"/>
    </row>
    <row r="2213" spans="3:39">
      <c r="C2213"/>
      <c r="D2213"/>
      <c r="E2213"/>
      <c r="F2213"/>
      <c r="G2213"/>
      <c r="H2213"/>
      <c r="I2213" s="740"/>
      <c r="V2213"/>
      <c r="W2213"/>
      <c r="Y2213"/>
      <c r="Z2213"/>
      <c r="AA2213"/>
      <c r="AD2213"/>
      <c r="AE2213"/>
      <c r="AF2213"/>
      <c r="AH2213"/>
      <c r="AI2213"/>
      <c r="AJ2213"/>
      <c r="AM2213"/>
    </row>
    <row r="2214" spans="3:39">
      <c r="C2214"/>
      <c r="D2214"/>
      <c r="E2214"/>
      <c r="F2214"/>
      <c r="G2214"/>
      <c r="H2214"/>
      <c r="I2214" s="740"/>
      <c r="V2214"/>
      <c r="W2214"/>
      <c r="Y2214"/>
      <c r="Z2214"/>
      <c r="AA2214"/>
      <c r="AD2214"/>
      <c r="AE2214"/>
      <c r="AF2214"/>
      <c r="AH2214"/>
      <c r="AI2214"/>
      <c r="AJ2214"/>
      <c r="AM2214"/>
    </row>
    <row r="2215" spans="3:39">
      <c r="C2215"/>
      <c r="D2215"/>
      <c r="E2215"/>
      <c r="F2215"/>
      <c r="G2215"/>
      <c r="H2215"/>
      <c r="I2215" s="740"/>
      <c r="V2215"/>
      <c r="W2215"/>
      <c r="Y2215"/>
      <c r="Z2215"/>
      <c r="AA2215"/>
      <c r="AD2215"/>
      <c r="AE2215"/>
      <c r="AF2215"/>
      <c r="AH2215"/>
      <c r="AI2215"/>
      <c r="AJ2215"/>
      <c r="AM2215"/>
    </row>
    <row r="2216" spans="3:39">
      <c r="C2216"/>
      <c r="D2216"/>
      <c r="E2216"/>
      <c r="F2216"/>
      <c r="G2216"/>
      <c r="H2216"/>
      <c r="I2216" s="740"/>
      <c r="V2216"/>
      <c r="W2216"/>
      <c r="Y2216"/>
      <c r="Z2216"/>
      <c r="AA2216"/>
      <c r="AD2216"/>
      <c r="AE2216"/>
      <c r="AF2216"/>
      <c r="AH2216"/>
      <c r="AI2216"/>
      <c r="AJ2216"/>
      <c r="AM2216"/>
    </row>
    <row r="2217" spans="3:39">
      <c r="C2217"/>
      <c r="D2217"/>
      <c r="E2217"/>
      <c r="F2217"/>
      <c r="G2217"/>
      <c r="H2217"/>
      <c r="I2217" s="740"/>
      <c r="V2217"/>
      <c r="W2217"/>
      <c r="Y2217"/>
      <c r="Z2217"/>
      <c r="AA2217"/>
      <c r="AD2217"/>
      <c r="AE2217"/>
      <c r="AF2217"/>
      <c r="AH2217"/>
      <c r="AI2217"/>
      <c r="AJ2217"/>
      <c r="AM2217"/>
    </row>
    <row r="2218" spans="3:39">
      <c r="C2218"/>
      <c r="D2218"/>
      <c r="E2218"/>
      <c r="F2218"/>
      <c r="G2218"/>
      <c r="H2218"/>
      <c r="I2218" s="740"/>
      <c r="V2218"/>
      <c r="W2218"/>
      <c r="Y2218"/>
      <c r="Z2218"/>
      <c r="AA2218"/>
      <c r="AD2218"/>
      <c r="AE2218"/>
      <c r="AF2218"/>
      <c r="AH2218"/>
      <c r="AI2218"/>
      <c r="AJ2218"/>
      <c r="AM2218"/>
    </row>
    <row r="2219" spans="3:39">
      <c r="C2219"/>
      <c r="D2219"/>
      <c r="E2219"/>
      <c r="F2219"/>
      <c r="G2219"/>
      <c r="H2219"/>
      <c r="I2219" s="740"/>
      <c r="V2219"/>
      <c r="W2219"/>
      <c r="Y2219"/>
      <c r="Z2219"/>
      <c r="AA2219"/>
      <c r="AD2219"/>
      <c r="AE2219"/>
      <c r="AF2219"/>
      <c r="AH2219"/>
      <c r="AI2219"/>
      <c r="AJ2219"/>
      <c r="AM2219"/>
    </row>
    <row r="2220" spans="3:39">
      <c r="C2220"/>
      <c r="D2220"/>
      <c r="E2220"/>
      <c r="F2220"/>
      <c r="G2220"/>
      <c r="H2220"/>
      <c r="I2220" s="740"/>
      <c r="V2220"/>
      <c r="W2220"/>
      <c r="Y2220"/>
      <c r="Z2220"/>
      <c r="AA2220"/>
      <c r="AD2220"/>
      <c r="AE2220"/>
      <c r="AF2220"/>
      <c r="AH2220"/>
      <c r="AI2220"/>
      <c r="AJ2220"/>
      <c r="AM2220"/>
    </row>
    <row r="2221" spans="3:39">
      <c r="C2221"/>
      <c r="D2221"/>
      <c r="E2221"/>
      <c r="F2221"/>
      <c r="G2221"/>
      <c r="H2221"/>
      <c r="I2221" s="740"/>
      <c r="V2221"/>
      <c r="W2221"/>
      <c r="Y2221"/>
      <c r="Z2221"/>
      <c r="AA2221"/>
      <c r="AD2221"/>
      <c r="AE2221"/>
      <c r="AF2221"/>
      <c r="AH2221"/>
      <c r="AI2221"/>
      <c r="AJ2221"/>
      <c r="AM2221"/>
    </row>
    <row r="2222" spans="3:39">
      <c r="C2222"/>
      <c r="D2222"/>
      <c r="E2222"/>
      <c r="F2222"/>
      <c r="G2222"/>
      <c r="H2222"/>
      <c r="I2222" s="740"/>
      <c r="V2222"/>
      <c r="W2222"/>
      <c r="Y2222"/>
      <c r="Z2222"/>
      <c r="AA2222"/>
      <c r="AD2222"/>
      <c r="AE2222"/>
      <c r="AF2222"/>
      <c r="AH2222"/>
      <c r="AI2222"/>
      <c r="AJ2222"/>
      <c r="AM2222"/>
    </row>
    <row r="2223" spans="3:39">
      <c r="C2223"/>
      <c r="D2223"/>
      <c r="E2223"/>
      <c r="F2223"/>
      <c r="G2223"/>
      <c r="H2223"/>
      <c r="I2223" s="740"/>
      <c r="V2223"/>
      <c r="W2223"/>
      <c r="Y2223"/>
      <c r="Z2223"/>
      <c r="AA2223"/>
      <c r="AD2223"/>
      <c r="AE2223"/>
      <c r="AF2223"/>
      <c r="AH2223"/>
      <c r="AI2223"/>
      <c r="AJ2223"/>
      <c r="AM2223"/>
    </row>
    <row r="2224" spans="3:39">
      <c r="C2224"/>
      <c r="D2224"/>
      <c r="E2224"/>
      <c r="F2224"/>
      <c r="G2224"/>
      <c r="H2224"/>
      <c r="I2224" s="740"/>
      <c r="V2224"/>
      <c r="W2224"/>
      <c r="Y2224"/>
      <c r="Z2224"/>
      <c r="AA2224"/>
      <c r="AD2224"/>
      <c r="AE2224"/>
      <c r="AF2224"/>
      <c r="AH2224"/>
      <c r="AI2224"/>
      <c r="AJ2224"/>
      <c r="AM2224"/>
    </row>
    <row r="2225" spans="3:39">
      <c r="C2225"/>
      <c r="D2225"/>
      <c r="E2225"/>
      <c r="F2225"/>
      <c r="G2225"/>
      <c r="H2225"/>
      <c r="I2225" s="740"/>
      <c r="V2225"/>
      <c r="W2225"/>
      <c r="Y2225"/>
      <c r="Z2225"/>
      <c r="AA2225"/>
      <c r="AD2225"/>
      <c r="AE2225"/>
      <c r="AF2225"/>
      <c r="AH2225"/>
      <c r="AI2225"/>
      <c r="AJ2225"/>
      <c r="AM2225"/>
    </row>
    <row r="2226" spans="3:39">
      <c r="C2226"/>
      <c r="D2226"/>
      <c r="E2226"/>
      <c r="F2226"/>
      <c r="G2226"/>
      <c r="H2226"/>
      <c r="I2226" s="740"/>
      <c r="V2226"/>
      <c r="W2226"/>
      <c r="Y2226"/>
      <c r="Z2226"/>
      <c r="AA2226"/>
      <c r="AD2226"/>
      <c r="AE2226"/>
      <c r="AF2226"/>
      <c r="AH2226"/>
      <c r="AI2226"/>
      <c r="AJ2226"/>
      <c r="AM2226"/>
    </row>
    <row r="2227" spans="3:39">
      <c r="C2227"/>
      <c r="D2227"/>
      <c r="E2227"/>
      <c r="F2227"/>
      <c r="G2227"/>
      <c r="H2227"/>
      <c r="I2227" s="740"/>
      <c r="V2227"/>
      <c r="W2227"/>
      <c r="Y2227"/>
      <c r="Z2227"/>
      <c r="AA2227"/>
      <c r="AD2227"/>
      <c r="AE2227"/>
      <c r="AF2227"/>
      <c r="AH2227"/>
      <c r="AI2227"/>
      <c r="AJ2227"/>
      <c r="AM2227"/>
    </row>
    <row r="2228" spans="3:39">
      <c r="C2228"/>
      <c r="D2228"/>
      <c r="E2228"/>
      <c r="F2228"/>
      <c r="G2228"/>
      <c r="H2228"/>
      <c r="I2228" s="740"/>
      <c r="V2228"/>
      <c r="W2228"/>
      <c r="Y2228"/>
      <c r="Z2228"/>
      <c r="AA2228"/>
      <c r="AD2228"/>
      <c r="AE2228"/>
      <c r="AF2228"/>
      <c r="AH2228"/>
      <c r="AI2228"/>
      <c r="AJ2228"/>
      <c r="AM2228"/>
    </row>
    <row r="2229" spans="3:39">
      <c r="C2229"/>
      <c r="D2229"/>
      <c r="E2229"/>
      <c r="F2229"/>
      <c r="G2229"/>
      <c r="H2229"/>
      <c r="I2229" s="740"/>
      <c r="V2229"/>
      <c r="W2229"/>
      <c r="Y2229"/>
      <c r="Z2229"/>
      <c r="AA2229"/>
      <c r="AD2229"/>
      <c r="AE2229"/>
      <c r="AF2229"/>
      <c r="AH2229"/>
      <c r="AI2229"/>
      <c r="AJ2229"/>
      <c r="AM2229"/>
    </row>
    <row r="2230" spans="3:39">
      <c r="C2230"/>
      <c r="D2230"/>
      <c r="E2230"/>
      <c r="F2230"/>
      <c r="G2230"/>
      <c r="H2230"/>
      <c r="I2230" s="740"/>
      <c r="V2230"/>
      <c r="W2230"/>
      <c r="Y2230"/>
      <c r="Z2230"/>
      <c r="AA2230"/>
      <c r="AD2230"/>
      <c r="AE2230"/>
      <c r="AF2230"/>
      <c r="AH2230"/>
      <c r="AI2230"/>
      <c r="AJ2230"/>
      <c r="AM2230"/>
    </row>
    <row r="2231" spans="3:39">
      <c r="C2231"/>
      <c r="D2231"/>
      <c r="E2231"/>
      <c r="F2231"/>
      <c r="G2231"/>
      <c r="H2231"/>
      <c r="I2231" s="740"/>
      <c r="V2231"/>
      <c r="W2231"/>
      <c r="Y2231"/>
      <c r="Z2231"/>
      <c r="AA2231"/>
      <c r="AD2231"/>
      <c r="AE2231"/>
      <c r="AF2231"/>
      <c r="AH2231"/>
      <c r="AI2231"/>
      <c r="AJ2231"/>
      <c r="AM2231"/>
    </row>
    <row r="2232" spans="3:39">
      <c r="C2232"/>
      <c r="D2232"/>
      <c r="E2232"/>
      <c r="F2232"/>
      <c r="G2232"/>
      <c r="H2232"/>
      <c r="I2232" s="740"/>
      <c r="V2232"/>
      <c r="W2232"/>
      <c r="Y2232"/>
      <c r="Z2232"/>
      <c r="AA2232"/>
      <c r="AD2232"/>
      <c r="AE2232"/>
      <c r="AF2232"/>
      <c r="AH2232"/>
      <c r="AI2232"/>
      <c r="AJ2232"/>
      <c r="AM2232"/>
    </row>
    <row r="2233" spans="3:39">
      <c r="C2233"/>
      <c r="D2233"/>
      <c r="E2233"/>
      <c r="F2233"/>
      <c r="G2233"/>
      <c r="H2233"/>
      <c r="I2233" s="740"/>
      <c r="V2233"/>
      <c r="W2233"/>
      <c r="Y2233"/>
      <c r="Z2233"/>
      <c r="AA2233"/>
      <c r="AD2233"/>
      <c r="AE2233"/>
      <c r="AF2233"/>
      <c r="AH2233"/>
      <c r="AI2233"/>
      <c r="AJ2233"/>
      <c r="AM2233"/>
    </row>
    <row r="2234" spans="3:39">
      <c r="C2234"/>
      <c r="D2234"/>
      <c r="E2234"/>
      <c r="F2234"/>
      <c r="G2234"/>
      <c r="H2234"/>
      <c r="I2234" s="740"/>
      <c r="V2234"/>
      <c r="W2234"/>
      <c r="Y2234"/>
      <c r="Z2234"/>
      <c r="AA2234"/>
      <c r="AD2234"/>
      <c r="AE2234"/>
      <c r="AF2234"/>
      <c r="AH2234"/>
      <c r="AI2234"/>
      <c r="AJ2234"/>
      <c r="AM2234"/>
    </row>
    <row r="2235" spans="3:39">
      <c r="C2235"/>
      <c r="D2235"/>
      <c r="E2235"/>
      <c r="F2235"/>
      <c r="G2235"/>
      <c r="H2235"/>
      <c r="I2235" s="740"/>
      <c r="V2235"/>
      <c r="W2235"/>
      <c r="Y2235"/>
      <c r="Z2235"/>
      <c r="AA2235"/>
      <c r="AD2235"/>
      <c r="AE2235"/>
      <c r="AF2235"/>
      <c r="AH2235"/>
      <c r="AI2235"/>
      <c r="AJ2235"/>
      <c r="AM2235"/>
    </row>
    <row r="2236" spans="3:39">
      <c r="C2236"/>
      <c r="D2236"/>
      <c r="E2236"/>
      <c r="F2236"/>
      <c r="G2236"/>
      <c r="H2236"/>
      <c r="I2236" s="740"/>
      <c r="V2236"/>
      <c r="W2236"/>
      <c r="Y2236"/>
      <c r="Z2236"/>
      <c r="AA2236"/>
      <c r="AD2236"/>
      <c r="AE2236"/>
      <c r="AF2236"/>
      <c r="AH2236"/>
      <c r="AI2236"/>
      <c r="AJ2236"/>
      <c r="AM2236"/>
    </row>
    <row r="2237" spans="3:39">
      <c r="C2237"/>
      <c r="D2237"/>
      <c r="E2237"/>
      <c r="F2237"/>
      <c r="G2237"/>
      <c r="H2237"/>
      <c r="I2237" s="740"/>
      <c r="V2237"/>
      <c r="W2237"/>
      <c r="Y2237"/>
      <c r="Z2237"/>
      <c r="AA2237"/>
      <c r="AD2237"/>
      <c r="AE2237"/>
      <c r="AF2237"/>
      <c r="AH2237"/>
      <c r="AI2237"/>
      <c r="AJ2237"/>
      <c r="AM2237"/>
    </row>
    <row r="2238" spans="3:39">
      <c r="C2238"/>
      <c r="D2238"/>
      <c r="E2238"/>
      <c r="F2238"/>
      <c r="G2238"/>
      <c r="H2238"/>
      <c r="I2238" s="740"/>
      <c r="V2238"/>
      <c r="W2238"/>
      <c r="Y2238"/>
      <c r="Z2238"/>
      <c r="AA2238"/>
      <c r="AD2238"/>
      <c r="AE2238"/>
      <c r="AF2238"/>
      <c r="AH2238"/>
      <c r="AI2238"/>
      <c r="AJ2238"/>
      <c r="AM2238"/>
    </row>
    <row r="2239" spans="3:39">
      <c r="C2239"/>
      <c r="D2239"/>
      <c r="E2239"/>
      <c r="F2239"/>
      <c r="G2239"/>
      <c r="H2239"/>
      <c r="I2239" s="740"/>
      <c r="V2239"/>
      <c r="W2239"/>
      <c r="Y2239"/>
      <c r="Z2239"/>
      <c r="AA2239"/>
      <c r="AD2239"/>
      <c r="AE2239"/>
      <c r="AF2239"/>
      <c r="AH2239"/>
      <c r="AI2239"/>
      <c r="AJ2239"/>
      <c r="AM2239"/>
    </row>
    <row r="2240" spans="3:39">
      <c r="C2240"/>
      <c r="D2240"/>
      <c r="E2240"/>
      <c r="F2240"/>
      <c r="G2240"/>
      <c r="H2240"/>
      <c r="I2240" s="740"/>
      <c r="V2240"/>
      <c r="W2240"/>
      <c r="Y2240"/>
      <c r="Z2240"/>
      <c r="AA2240"/>
      <c r="AD2240"/>
      <c r="AE2240"/>
      <c r="AF2240"/>
      <c r="AH2240"/>
      <c r="AI2240"/>
      <c r="AJ2240"/>
      <c r="AM2240"/>
    </row>
    <row r="2241" spans="3:39">
      <c r="C2241"/>
      <c r="D2241"/>
      <c r="E2241"/>
      <c r="F2241"/>
      <c r="G2241"/>
      <c r="H2241"/>
      <c r="I2241" s="740"/>
      <c r="V2241"/>
      <c r="W2241"/>
      <c r="Y2241"/>
      <c r="Z2241"/>
      <c r="AA2241"/>
      <c r="AD2241"/>
      <c r="AE2241"/>
      <c r="AF2241"/>
      <c r="AH2241"/>
      <c r="AI2241"/>
      <c r="AJ2241"/>
      <c r="AM2241"/>
    </row>
    <row r="2242" spans="3:39">
      <c r="C2242"/>
      <c r="D2242"/>
      <c r="E2242"/>
      <c r="F2242"/>
      <c r="G2242"/>
      <c r="H2242"/>
      <c r="I2242" s="740"/>
      <c r="V2242"/>
      <c r="W2242"/>
      <c r="Y2242"/>
      <c r="Z2242"/>
      <c r="AA2242"/>
      <c r="AD2242"/>
      <c r="AE2242"/>
      <c r="AF2242"/>
      <c r="AH2242"/>
      <c r="AI2242"/>
      <c r="AJ2242"/>
      <c r="AM2242"/>
    </row>
    <row r="2243" spans="3:39">
      <c r="C2243"/>
      <c r="D2243"/>
      <c r="E2243"/>
      <c r="F2243"/>
      <c r="G2243"/>
      <c r="H2243"/>
      <c r="I2243" s="740"/>
      <c r="V2243"/>
      <c r="W2243"/>
      <c r="Y2243"/>
      <c r="Z2243"/>
      <c r="AA2243"/>
      <c r="AD2243"/>
      <c r="AE2243"/>
      <c r="AF2243"/>
      <c r="AH2243"/>
      <c r="AI2243"/>
      <c r="AJ2243"/>
      <c r="AM2243"/>
    </row>
    <row r="2244" spans="3:39">
      <c r="C2244"/>
      <c r="D2244"/>
      <c r="E2244"/>
      <c r="F2244"/>
      <c r="G2244"/>
      <c r="H2244"/>
      <c r="I2244" s="740"/>
      <c r="V2244"/>
      <c r="W2244"/>
      <c r="Y2244"/>
      <c r="Z2244"/>
      <c r="AA2244"/>
      <c r="AD2244"/>
      <c r="AE2244"/>
      <c r="AF2244"/>
      <c r="AH2244"/>
      <c r="AI2244"/>
      <c r="AJ2244"/>
      <c r="AM2244"/>
    </row>
    <row r="2245" spans="3:39">
      <c r="C2245"/>
      <c r="D2245"/>
      <c r="E2245"/>
      <c r="F2245"/>
      <c r="G2245"/>
      <c r="H2245"/>
      <c r="I2245" s="740"/>
      <c r="V2245"/>
      <c r="W2245"/>
      <c r="Y2245"/>
      <c r="Z2245"/>
      <c r="AA2245"/>
      <c r="AD2245"/>
      <c r="AE2245"/>
      <c r="AF2245"/>
      <c r="AH2245"/>
      <c r="AI2245"/>
      <c r="AJ2245"/>
      <c r="AM2245"/>
    </row>
    <row r="2246" spans="3:39">
      <c r="C2246"/>
      <c r="D2246"/>
      <c r="E2246"/>
      <c r="F2246"/>
      <c r="G2246"/>
      <c r="H2246"/>
      <c r="I2246" s="740"/>
      <c r="V2246"/>
      <c r="W2246"/>
      <c r="Y2246"/>
      <c r="Z2246"/>
      <c r="AA2246"/>
      <c r="AD2246"/>
      <c r="AE2246"/>
      <c r="AF2246"/>
      <c r="AH2246"/>
      <c r="AI2246"/>
      <c r="AJ2246"/>
      <c r="AM2246"/>
    </row>
    <row r="2247" spans="3:39">
      <c r="C2247"/>
      <c r="D2247"/>
      <c r="E2247"/>
      <c r="F2247"/>
      <c r="G2247"/>
      <c r="H2247"/>
      <c r="I2247" s="740"/>
      <c r="V2247"/>
      <c r="W2247"/>
      <c r="Y2247"/>
      <c r="Z2247"/>
      <c r="AA2247"/>
      <c r="AD2247"/>
      <c r="AE2247"/>
      <c r="AF2247"/>
      <c r="AH2247"/>
      <c r="AI2247"/>
      <c r="AJ2247"/>
      <c r="AM2247"/>
    </row>
    <row r="2248" spans="3:39">
      <c r="C2248"/>
      <c r="D2248"/>
      <c r="E2248"/>
      <c r="F2248"/>
      <c r="G2248"/>
      <c r="H2248"/>
      <c r="I2248" s="740"/>
      <c r="V2248"/>
      <c r="W2248"/>
      <c r="Y2248"/>
      <c r="Z2248"/>
      <c r="AA2248"/>
      <c r="AD2248"/>
      <c r="AE2248"/>
      <c r="AF2248"/>
      <c r="AH2248"/>
      <c r="AI2248"/>
      <c r="AJ2248"/>
      <c r="AM2248"/>
    </row>
    <row r="2249" spans="3:39">
      <c r="C2249"/>
      <c r="D2249"/>
      <c r="E2249"/>
      <c r="F2249"/>
      <c r="G2249"/>
      <c r="H2249"/>
      <c r="I2249" s="740"/>
      <c r="V2249"/>
      <c r="W2249"/>
      <c r="Y2249"/>
      <c r="Z2249"/>
      <c r="AA2249"/>
      <c r="AD2249"/>
      <c r="AE2249"/>
      <c r="AF2249"/>
      <c r="AH2249"/>
      <c r="AI2249"/>
      <c r="AJ2249"/>
      <c r="AM2249"/>
    </row>
    <row r="2250" spans="3:39">
      <c r="C2250"/>
      <c r="D2250"/>
      <c r="E2250"/>
      <c r="F2250"/>
      <c r="G2250"/>
      <c r="H2250"/>
      <c r="I2250" s="740"/>
      <c r="V2250"/>
      <c r="W2250"/>
      <c r="Y2250"/>
      <c r="Z2250"/>
      <c r="AA2250"/>
      <c r="AD2250"/>
      <c r="AE2250"/>
      <c r="AF2250"/>
      <c r="AH2250"/>
      <c r="AI2250"/>
      <c r="AJ2250"/>
      <c r="AM2250"/>
    </row>
    <row r="2251" spans="3:39">
      <c r="C2251"/>
      <c r="D2251"/>
      <c r="E2251"/>
      <c r="F2251"/>
      <c r="G2251"/>
      <c r="H2251"/>
      <c r="I2251" s="740"/>
      <c r="V2251"/>
      <c r="W2251"/>
      <c r="Y2251"/>
      <c r="Z2251"/>
      <c r="AA2251"/>
      <c r="AD2251"/>
      <c r="AE2251"/>
      <c r="AF2251"/>
      <c r="AH2251"/>
      <c r="AI2251"/>
      <c r="AJ2251"/>
      <c r="AM2251"/>
    </row>
    <row r="2252" spans="3:39">
      <c r="C2252"/>
      <c r="D2252"/>
      <c r="E2252"/>
      <c r="F2252"/>
      <c r="G2252"/>
      <c r="H2252"/>
      <c r="I2252" s="740"/>
      <c r="V2252"/>
      <c r="W2252"/>
      <c r="Y2252"/>
      <c r="Z2252"/>
      <c r="AA2252"/>
      <c r="AD2252"/>
      <c r="AE2252"/>
      <c r="AF2252"/>
      <c r="AH2252"/>
      <c r="AI2252"/>
      <c r="AJ2252"/>
      <c r="AM2252"/>
    </row>
    <row r="2253" spans="3:39">
      <c r="C2253"/>
      <c r="D2253"/>
      <c r="E2253"/>
      <c r="F2253"/>
      <c r="G2253"/>
      <c r="H2253"/>
      <c r="I2253" s="740"/>
      <c r="V2253"/>
      <c r="W2253"/>
      <c r="Y2253"/>
      <c r="Z2253"/>
      <c r="AA2253"/>
      <c r="AD2253"/>
      <c r="AE2253"/>
      <c r="AF2253"/>
      <c r="AH2253"/>
      <c r="AI2253"/>
      <c r="AJ2253"/>
      <c r="AM2253"/>
    </row>
    <row r="2254" spans="3:39">
      <c r="C2254"/>
      <c r="D2254"/>
      <c r="E2254"/>
      <c r="F2254"/>
      <c r="G2254"/>
      <c r="H2254"/>
      <c r="I2254" s="740"/>
      <c r="V2254"/>
      <c r="W2254"/>
      <c r="Y2254"/>
      <c r="Z2254"/>
      <c r="AA2254"/>
      <c r="AD2254"/>
      <c r="AE2254"/>
      <c r="AF2254"/>
      <c r="AH2254"/>
      <c r="AI2254"/>
      <c r="AJ2254"/>
      <c r="AM2254"/>
    </row>
    <row r="2255" spans="3:39">
      <c r="C2255"/>
      <c r="D2255"/>
      <c r="E2255"/>
      <c r="F2255"/>
      <c r="G2255"/>
      <c r="H2255"/>
      <c r="I2255" s="740"/>
      <c r="V2255"/>
      <c r="W2255"/>
      <c r="Y2255"/>
      <c r="Z2255"/>
      <c r="AA2255"/>
      <c r="AD2255"/>
      <c r="AE2255"/>
      <c r="AF2255"/>
      <c r="AH2255"/>
      <c r="AI2255"/>
      <c r="AJ2255"/>
      <c r="AM2255"/>
    </row>
    <row r="2256" spans="3:39">
      <c r="C2256"/>
      <c r="D2256"/>
      <c r="E2256"/>
      <c r="F2256"/>
      <c r="G2256"/>
      <c r="H2256"/>
      <c r="I2256" s="740"/>
      <c r="V2256"/>
      <c r="W2256"/>
      <c r="Y2256"/>
      <c r="Z2256"/>
      <c r="AA2256"/>
      <c r="AD2256"/>
      <c r="AE2256"/>
      <c r="AF2256"/>
      <c r="AH2256"/>
      <c r="AI2256"/>
      <c r="AJ2256"/>
      <c r="AM2256"/>
    </row>
    <row r="2257" spans="3:39">
      <c r="C2257"/>
      <c r="D2257"/>
      <c r="E2257"/>
      <c r="F2257"/>
      <c r="G2257"/>
      <c r="H2257"/>
      <c r="I2257" s="740"/>
      <c r="V2257"/>
      <c r="W2257"/>
      <c r="Y2257"/>
      <c r="Z2257"/>
      <c r="AA2257"/>
      <c r="AD2257"/>
      <c r="AE2257"/>
      <c r="AF2257"/>
      <c r="AH2257"/>
      <c r="AI2257"/>
      <c r="AJ2257"/>
      <c r="AM2257"/>
    </row>
    <row r="2258" spans="3:39">
      <c r="C2258"/>
      <c r="D2258"/>
      <c r="E2258"/>
      <c r="F2258"/>
      <c r="G2258"/>
      <c r="H2258"/>
      <c r="I2258" s="740"/>
      <c r="V2258"/>
      <c r="W2258"/>
      <c r="Y2258"/>
      <c r="Z2258"/>
      <c r="AA2258"/>
      <c r="AD2258"/>
      <c r="AE2258"/>
      <c r="AF2258"/>
      <c r="AH2258"/>
      <c r="AI2258"/>
      <c r="AJ2258"/>
      <c r="AM2258"/>
    </row>
    <row r="2259" spans="3:39">
      <c r="C2259"/>
      <c r="D2259"/>
      <c r="E2259"/>
      <c r="F2259"/>
      <c r="G2259"/>
      <c r="H2259"/>
      <c r="I2259" s="740"/>
      <c r="V2259"/>
      <c r="W2259"/>
      <c r="Y2259"/>
      <c r="Z2259"/>
      <c r="AA2259"/>
      <c r="AD2259"/>
      <c r="AE2259"/>
      <c r="AF2259"/>
      <c r="AH2259"/>
      <c r="AI2259"/>
      <c r="AJ2259"/>
      <c r="AM2259"/>
    </row>
    <row r="2260" spans="3:39">
      <c r="C2260"/>
      <c r="D2260"/>
      <c r="E2260"/>
      <c r="F2260"/>
      <c r="G2260"/>
      <c r="H2260"/>
      <c r="I2260" s="740"/>
      <c r="V2260"/>
      <c r="W2260"/>
      <c r="Y2260"/>
      <c r="Z2260"/>
      <c r="AA2260"/>
      <c r="AD2260"/>
      <c r="AE2260"/>
      <c r="AF2260"/>
      <c r="AH2260"/>
      <c r="AI2260"/>
      <c r="AJ2260"/>
      <c r="AM2260"/>
    </row>
    <row r="2261" spans="3:39">
      <c r="C2261"/>
      <c r="D2261"/>
      <c r="E2261"/>
      <c r="F2261"/>
      <c r="G2261"/>
      <c r="H2261"/>
      <c r="I2261" s="740"/>
      <c r="V2261"/>
      <c r="W2261"/>
      <c r="Y2261"/>
      <c r="Z2261"/>
      <c r="AA2261"/>
      <c r="AD2261"/>
      <c r="AE2261"/>
      <c r="AF2261"/>
      <c r="AH2261"/>
      <c r="AI2261"/>
      <c r="AJ2261"/>
      <c r="AM2261"/>
    </row>
    <row r="2262" spans="3:39">
      <c r="C2262"/>
      <c r="D2262"/>
      <c r="E2262"/>
      <c r="F2262"/>
      <c r="G2262"/>
      <c r="H2262"/>
      <c r="I2262" s="740"/>
      <c r="V2262"/>
      <c r="W2262"/>
      <c r="Y2262"/>
      <c r="Z2262"/>
      <c r="AA2262"/>
      <c r="AD2262"/>
      <c r="AE2262"/>
      <c r="AF2262"/>
      <c r="AH2262"/>
      <c r="AI2262"/>
      <c r="AJ2262"/>
      <c r="AM2262"/>
    </row>
    <row r="2263" spans="3:39">
      <c r="C2263"/>
      <c r="D2263"/>
      <c r="E2263"/>
      <c r="F2263"/>
      <c r="G2263"/>
      <c r="H2263"/>
      <c r="I2263" s="740"/>
      <c r="V2263"/>
      <c r="W2263"/>
      <c r="Y2263"/>
      <c r="Z2263"/>
      <c r="AA2263"/>
      <c r="AD2263"/>
      <c r="AE2263"/>
      <c r="AF2263"/>
      <c r="AH2263"/>
      <c r="AI2263"/>
      <c r="AJ2263"/>
      <c r="AM2263"/>
    </row>
    <row r="2264" spans="3:39">
      <c r="C2264"/>
      <c r="D2264"/>
      <c r="E2264"/>
      <c r="F2264"/>
      <c r="G2264"/>
      <c r="H2264"/>
      <c r="I2264" s="740"/>
      <c r="V2264"/>
      <c r="W2264"/>
      <c r="Y2264"/>
      <c r="Z2264"/>
      <c r="AA2264"/>
      <c r="AD2264"/>
      <c r="AE2264"/>
      <c r="AF2264"/>
      <c r="AH2264"/>
      <c r="AI2264"/>
      <c r="AJ2264"/>
      <c r="AM2264"/>
    </row>
    <row r="2265" spans="3:39">
      <c r="C2265"/>
      <c r="D2265"/>
      <c r="E2265"/>
      <c r="F2265"/>
      <c r="G2265"/>
      <c r="H2265"/>
      <c r="I2265" s="740"/>
      <c r="V2265"/>
      <c r="W2265"/>
      <c r="Y2265"/>
      <c r="Z2265"/>
      <c r="AA2265"/>
      <c r="AD2265"/>
      <c r="AE2265"/>
      <c r="AF2265"/>
      <c r="AH2265"/>
      <c r="AI2265"/>
      <c r="AJ2265"/>
      <c r="AM2265"/>
    </row>
    <row r="2266" spans="3:39">
      <c r="C2266"/>
      <c r="D2266"/>
      <c r="E2266"/>
      <c r="F2266"/>
      <c r="G2266"/>
      <c r="H2266"/>
      <c r="I2266" s="740"/>
      <c r="V2266"/>
      <c r="W2266"/>
      <c r="Y2266"/>
      <c r="Z2266"/>
      <c r="AA2266"/>
      <c r="AD2266"/>
      <c r="AE2266"/>
      <c r="AF2266"/>
      <c r="AH2266"/>
      <c r="AI2266"/>
      <c r="AJ2266"/>
      <c r="AM2266"/>
    </row>
    <row r="2267" spans="3:39">
      <c r="C2267"/>
      <c r="D2267"/>
      <c r="E2267"/>
      <c r="F2267"/>
      <c r="G2267"/>
      <c r="H2267"/>
      <c r="I2267" s="740"/>
      <c r="V2267"/>
      <c r="W2267"/>
      <c r="Y2267"/>
      <c r="Z2267"/>
      <c r="AA2267"/>
      <c r="AD2267"/>
      <c r="AE2267"/>
      <c r="AF2267"/>
      <c r="AH2267"/>
      <c r="AI2267"/>
      <c r="AJ2267"/>
      <c r="AM2267"/>
    </row>
    <row r="2268" spans="3:39">
      <c r="C2268"/>
      <c r="D2268"/>
      <c r="E2268"/>
      <c r="F2268"/>
      <c r="G2268"/>
      <c r="H2268"/>
      <c r="I2268" s="740"/>
      <c r="V2268"/>
      <c r="W2268"/>
      <c r="Y2268"/>
      <c r="Z2268"/>
      <c r="AA2268"/>
      <c r="AD2268"/>
      <c r="AE2268"/>
      <c r="AF2268"/>
      <c r="AH2268"/>
      <c r="AI2268"/>
      <c r="AJ2268"/>
      <c r="AM2268"/>
    </row>
    <row r="2269" spans="3:39">
      <c r="C2269"/>
      <c r="D2269"/>
      <c r="E2269"/>
      <c r="F2269"/>
      <c r="G2269"/>
      <c r="H2269"/>
      <c r="I2269" s="740"/>
      <c r="V2269"/>
      <c r="W2269"/>
      <c r="Y2269"/>
      <c r="Z2269"/>
      <c r="AA2269"/>
      <c r="AD2269"/>
      <c r="AE2269"/>
      <c r="AF2269"/>
      <c r="AH2269"/>
      <c r="AI2269"/>
      <c r="AJ2269"/>
      <c r="AM2269"/>
    </row>
    <row r="2270" spans="3:39">
      <c r="C2270"/>
      <c r="D2270"/>
      <c r="E2270"/>
      <c r="F2270"/>
      <c r="G2270"/>
      <c r="H2270"/>
      <c r="I2270" s="740"/>
      <c r="V2270"/>
      <c r="W2270"/>
      <c r="Y2270"/>
      <c r="Z2270"/>
      <c r="AA2270"/>
      <c r="AD2270"/>
      <c r="AE2270"/>
      <c r="AF2270"/>
      <c r="AH2270"/>
      <c r="AI2270"/>
      <c r="AJ2270"/>
      <c r="AM2270"/>
    </row>
    <row r="2271" spans="3:39">
      <c r="C2271"/>
      <c r="D2271"/>
      <c r="E2271"/>
      <c r="F2271"/>
      <c r="G2271"/>
      <c r="H2271"/>
      <c r="I2271" s="740"/>
      <c r="V2271"/>
      <c r="W2271"/>
      <c r="Y2271"/>
      <c r="Z2271"/>
      <c r="AA2271"/>
      <c r="AD2271"/>
      <c r="AE2271"/>
      <c r="AF2271"/>
      <c r="AH2271"/>
      <c r="AI2271"/>
      <c r="AJ2271"/>
      <c r="AM2271"/>
    </row>
    <row r="2272" spans="3:39">
      <c r="C2272"/>
      <c r="D2272"/>
      <c r="E2272"/>
      <c r="F2272"/>
      <c r="G2272"/>
      <c r="H2272"/>
      <c r="I2272" s="740"/>
      <c r="V2272"/>
      <c r="W2272"/>
      <c r="Y2272"/>
      <c r="Z2272"/>
      <c r="AA2272"/>
      <c r="AD2272"/>
      <c r="AE2272"/>
      <c r="AF2272"/>
      <c r="AH2272"/>
      <c r="AI2272"/>
      <c r="AJ2272"/>
      <c r="AM2272"/>
    </row>
    <row r="2273" spans="3:39">
      <c r="C2273"/>
      <c r="D2273"/>
      <c r="E2273"/>
      <c r="F2273"/>
      <c r="G2273"/>
      <c r="H2273"/>
      <c r="I2273" s="740"/>
      <c r="V2273"/>
      <c r="W2273"/>
      <c r="Y2273"/>
      <c r="Z2273"/>
      <c r="AA2273"/>
      <c r="AD2273"/>
      <c r="AE2273"/>
      <c r="AF2273"/>
      <c r="AH2273"/>
      <c r="AI2273"/>
      <c r="AJ2273"/>
      <c r="AM2273"/>
    </row>
    <row r="2274" spans="3:39">
      <c r="C2274"/>
      <c r="D2274"/>
      <c r="E2274"/>
      <c r="F2274"/>
      <c r="G2274"/>
      <c r="H2274"/>
      <c r="I2274" s="740"/>
      <c r="V2274"/>
      <c r="W2274"/>
      <c r="Y2274"/>
      <c r="Z2274"/>
      <c r="AA2274"/>
      <c r="AD2274"/>
      <c r="AE2274"/>
      <c r="AF2274"/>
      <c r="AH2274"/>
      <c r="AI2274"/>
      <c r="AJ2274"/>
      <c r="AM2274"/>
    </row>
    <row r="2275" spans="3:39">
      <c r="C2275"/>
      <c r="D2275"/>
      <c r="E2275"/>
      <c r="F2275"/>
      <c r="G2275"/>
      <c r="H2275"/>
      <c r="I2275" s="740"/>
      <c r="V2275"/>
      <c r="W2275"/>
      <c r="Y2275"/>
      <c r="Z2275"/>
      <c r="AA2275"/>
      <c r="AD2275"/>
      <c r="AE2275"/>
      <c r="AF2275"/>
      <c r="AH2275"/>
      <c r="AI2275"/>
      <c r="AJ2275"/>
      <c r="AM2275"/>
    </row>
    <row r="2276" spans="3:39">
      <c r="C2276"/>
      <c r="D2276"/>
      <c r="E2276"/>
      <c r="F2276"/>
      <c r="G2276"/>
      <c r="H2276"/>
      <c r="I2276" s="740"/>
      <c r="V2276"/>
      <c r="W2276"/>
      <c r="Y2276"/>
      <c r="Z2276"/>
      <c r="AA2276"/>
      <c r="AD2276"/>
      <c r="AE2276"/>
      <c r="AF2276"/>
      <c r="AH2276"/>
      <c r="AI2276"/>
      <c r="AJ2276"/>
      <c r="AM2276"/>
    </row>
    <row r="2277" spans="3:39">
      <c r="C2277"/>
      <c r="D2277"/>
      <c r="E2277"/>
      <c r="F2277"/>
      <c r="G2277"/>
      <c r="H2277"/>
      <c r="I2277" s="740"/>
      <c r="V2277"/>
      <c r="W2277"/>
      <c r="Y2277"/>
      <c r="Z2277"/>
      <c r="AA2277"/>
      <c r="AD2277"/>
      <c r="AE2277"/>
      <c r="AF2277"/>
      <c r="AH2277"/>
      <c r="AI2277"/>
      <c r="AJ2277"/>
      <c r="AM2277"/>
    </row>
    <row r="2278" spans="3:39">
      <c r="C2278"/>
      <c r="D2278"/>
      <c r="E2278"/>
      <c r="F2278"/>
      <c r="G2278"/>
      <c r="H2278"/>
      <c r="I2278" s="740"/>
      <c r="V2278"/>
      <c r="W2278"/>
      <c r="Y2278"/>
      <c r="Z2278"/>
      <c r="AA2278"/>
      <c r="AD2278"/>
      <c r="AE2278"/>
      <c r="AF2278"/>
      <c r="AH2278"/>
      <c r="AI2278"/>
      <c r="AJ2278"/>
      <c r="AM2278"/>
    </row>
    <row r="2279" spans="3:39">
      <c r="C2279"/>
      <c r="D2279"/>
      <c r="E2279"/>
      <c r="F2279"/>
      <c r="G2279"/>
      <c r="H2279"/>
      <c r="I2279" s="740"/>
      <c r="V2279"/>
      <c r="W2279"/>
      <c r="Y2279"/>
      <c r="Z2279"/>
      <c r="AA2279"/>
      <c r="AD2279"/>
      <c r="AE2279"/>
      <c r="AF2279"/>
      <c r="AH2279"/>
      <c r="AI2279"/>
      <c r="AJ2279"/>
      <c r="AM2279"/>
    </row>
    <row r="2280" spans="3:39">
      <c r="C2280"/>
      <c r="D2280"/>
      <c r="E2280"/>
      <c r="F2280"/>
      <c r="G2280"/>
      <c r="H2280"/>
      <c r="I2280" s="740"/>
      <c r="V2280"/>
      <c r="W2280"/>
      <c r="Y2280"/>
      <c r="Z2280"/>
      <c r="AA2280"/>
      <c r="AD2280"/>
      <c r="AE2280"/>
      <c r="AF2280"/>
      <c r="AH2280"/>
      <c r="AI2280"/>
      <c r="AJ2280"/>
      <c r="AM2280"/>
    </row>
    <row r="2281" spans="3:39">
      <c r="C2281"/>
      <c r="D2281"/>
      <c r="E2281"/>
      <c r="F2281"/>
      <c r="G2281"/>
      <c r="H2281"/>
      <c r="I2281" s="740"/>
      <c r="V2281"/>
      <c r="W2281"/>
      <c r="Y2281"/>
      <c r="Z2281"/>
      <c r="AA2281"/>
      <c r="AD2281"/>
      <c r="AE2281"/>
      <c r="AF2281"/>
      <c r="AH2281"/>
      <c r="AI2281"/>
      <c r="AJ2281"/>
      <c r="AM2281"/>
    </row>
    <row r="2282" spans="3:39">
      <c r="C2282"/>
      <c r="D2282"/>
      <c r="E2282"/>
      <c r="F2282"/>
      <c r="G2282"/>
      <c r="H2282"/>
      <c r="I2282" s="740"/>
      <c r="V2282"/>
      <c r="W2282"/>
      <c r="Y2282"/>
      <c r="Z2282"/>
      <c r="AA2282"/>
      <c r="AD2282"/>
      <c r="AE2282"/>
      <c r="AF2282"/>
      <c r="AH2282"/>
      <c r="AI2282"/>
      <c r="AJ2282"/>
      <c r="AM2282"/>
    </row>
    <row r="2283" spans="3:39">
      <c r="C2283"/>
      <c r="D2283"/>
      <c r="E2283"/>
      <c r="F2283"/>
      <c r="G2283"/>
      <c r="H2283"/>
      <c r="I2283" s="740"/>
      <c r="V2283"/>
      <c r="W2283"/>
      <c r="Y2283"/>
      <c r="Z2283"/>
      <c r="AA2283"/>
      <c r="AD2283"/>
      <c r="AE2283"/>
      <c r="AF2283"/>
      <c r="AH2283"/>
      <c r="AI2283"/>
      <c r="AJ2283"/>
      <c r="AM2283"/>
    </row>
    <row r="2284" spans="3:39">
      <c r="C2284"/>
      <c r="D2284"/>
      <c r="E2284"/>
      <c r="F2284"/>
      <c r="G2284"/>
      <c r="H2284"/>
      <c r="I2284" s="740"/>
      <c r="V2284"/>
      <c r="W2284"/>
      <c r="Y2284"/>
      <c r="Z2284"/>
      <c r="AA2284"/>
      <c r="AD2284"/>
      <c r="AE2284"/>
      <c r="AF2284"/>
      <c r="AH2284"/>
      <c r="AI2284"/>
      <c r="AJ2284"/>
      <c r="AM2284"/>
    </row>
    <row r="2285" spans="3:39">
      <c r="C2285"/>
      <c r="D2285"/>
      <c r="E2285"/>
      <c r="F2285"/>
      <c r="G2285"/>
      <c r="H2285"/>
      <c r="I2285" s="740"/>
      <c r="V2285"/>
      <c r="W2285"/>
      <c r="Y2285"/>
      <c r="Z2285"/>
      <c r="AA2285"/>
      <c r="AD2285"/>
      <c r="AE2285"/>
      <c r="AF2285"/>
      <c r="AH2285"/>
      <c r="AI2285"/>
      <c r="AJ2285"/>
      <c r="AM2285"/>
    </row>
    <row r="2286" spans="3:39">
      <c r="C2286"/>
      <c r="D2286"/>
      <c r="E2286"/>
      <c r="F2286"/>
      <c r="G2286"/>
      <c r="H2286"/>
      <c r="I2286" s="740"/>
      <c r="V2286"/>
      <c r="W2286"/>
      <c r="Y2286"/>
      <c r="Z2286"/>
      <c r="AA2286"/>
      <c r="AD2286"/>
      <c r="AE2286"/>
      <c r="AF2286"/>
      <c r="AH2286"/>
      <c r="AI2286"/>
      <c r="AJ2286"/>
      <c r="AM2286"/>
    </row>
    <row r="2287" spans="3:39">
      <c r="C2287"/>
      <c r="D2287"/>
      <c r="E2287"/>
      <c r="F2287"/>
      <c r="G2287"/>
      <c r="H2287"/>
      <c r="I2287" s="740"/>
      <c r="V2287"/>
      <c r="W2287"/>
      <c r="Y2287"/>
      <c r="Z2287"/>
      <c r="AA2287"/>
      <c r="AD2287"/>
      <c r="AE2287"/>
      <c r="AF2287"/>
      <c r="AH2287"/>
      <c r="AI2287"/>
      <c r="AJ2287"/>
      <c r="AM2287"/>
    </row>
    <row r="2288" spans="3:39">
      <c r="C2288"/>
      <c r="D2288"/>
      <c r="E2288"/>
      <c r="F2288"/>
      <c r="G2288"/>
      <c r="H2288"/>
      <c r="I2288" s="740"/>
      <c r="V2288"/>
      <c r="W2288"/>
      <c r="Y2288"/>
      <c r="Z2288"/>
      <c r="AA2288"/>
      <c r="AD2288"/>
      <c r="AE2288"/>
      <c r="AF2288"/>
      <c r="AH2288"/>
      <c r="AI2288"/>
      <c r="AJ2288"/>
      <c r="AM2288"/>
    </row>
    <row r="2289" spans="3:39">
      <c r="C2289"/>
      <c r="D2289"/>
      <c r="E2289"/>
      <c r="F2289"/>
      <c r="G2289"/>
      <c r="H2289"/>
      <c r="I2289" s="740"/>
      <c r="V2289"/>
      <c r="W2289"/>
      <c r="Y2289"/>
      <c r="Z2289"/>
      <c r="AA2289"/>
      <c r="AD2289"/>
      <c r="AE2289"/>
      <c r="AF2289"/>
      <c r="AH2289"/>
      <c r="AI2289"/>
      <c r="AJ2289"/>
      <c r="AM2289"/>
    </row>
    <row r="2290" spans="3:39">
      <c r="C2290"/>
      <c r="D2290"/>
      <c r="E2290"/>
      <c r="F2290"/>
      <c r="G2290"/>
      <c r="H2290"/>
      <c r="I2290" s="740"/>
      <c r="V2290"/>
      <c r="W2290"/>
      <c r="Y2290"/>
      <c r="Z2290"/>
      <c r="AA2290"/>
      <c r="AD2290"/>
      <c r="AE2290"/>
      <c r="AF2290"/>
      <c r="AH2290"/>
      <c r="AI2290"/>
      <c r="AJ2290"/>
      <c r="AM2290"/>
    </row>
    <row r="2291" spans="3:39">
      <c r="C2291"/>
      <c r="D2291"/>
      <c r="E2291"/>
      <c r="F2291"/>
      <c r="G2291"/>
      <c r="H2291"/>
      <c r="I2291" s="740"/>
      <c r="V2291"/>
      <c r="W2291"/>
      <c r="Y2291"/>
      <c r="Z2291"/>
      <c r="AA2291"/>
      <c r="AD2291"/>
      <c r="AE2291"/>
      <c r="AF2291"/>
      <c r="AH2291"/>
      <c r="AI2291"/>
      <c r="AJ2291"/>
      <c r="AM2291"/>
    </row>
    <row r="2292" spans="3:39">
      <c r="C2292"/>
      <c r="D2292"/>
      <c r="E2292"/>
      <c r="F2292"/>
      <c r="G2292"/>
      <c r="H2292"/>
      <c r="I2292" s="740"/>
      <c r="V2292"/>
      <c r="W2292"/>
      <c r="Y2292"/>
      <c r="Z2292"/>
      <c r="AA2292"/>
      <c r="AD2292"/>
      <c r="AE2292"/>
      <c r="AF2292"/>
      <c r="AH2292"/>
      <c r="AI2292"/>
      <c r="AJ2292"/>
      <c r="AM2292"/>
    </row>
    <row r="2293" spans="3:39">
      <c r="C2293"/>
      <c r="D2293"/>
      <c r="E2293"/>
      <c r="F2293"/>
      <c r="G2293"/>
      <c r="H2293"/>
      <c r="I2293" s="740"/>
      <c r="V2293"/>
      <c r="W2293"/>
      <c r="Y2293"/>
      <c r="Z2293"/>
      <c r="AA2293"/>
      <c r="AD2293"/>
      <c r="AE2293"/>
      <c r="AF2293"/>
      <c r="AH2293"/>
      <c r="AI2293"/>
      <c r="AJ2293"/>
      <c r="AM2293"/>
    </row>
    <row r="2294" spans="3:39">
      <c r="C2294"/>
      <c r="D2294"/>
      <c r="E2294"/>
      <c r="F2294"/>
      <c r="G2294"/>
      <c r="H2294"/>
      <c r="I2294" s="740"/>
      <c r="V2294"/>
      <c r="W2294"/>
      <c r="Y2294"/>
      <c r="Z2294"/>
      <c r="AA2294"/>
      <c r="AD2294"/>
      <c r="AE2294"/>
      <c r="AF2294"/>
      <c r="AH2294"/>
      <c r="AI2294"/>
      <c r="AJ2294"/>
      <c r="AM2294"/>
    </row>
    <row r="2295" spans="3:39">
      <c r="C2295"/>
      <c r="D2295"/>
      <c r="E2295"/>
      <c r="F2295"/>
      <c r="G2295"/>
      <c r="H2295"/>
      <c r="I2295" s="740"/>
      <c r="V2295"/>
      <c r="W2295"/>
      <c r="Y2295"/>
      <c r="Z2295"/>
      <c r="AA2295"/>
      <c r="AD2295"/>
      <c r="AE2295"/>
      <c r="AF2295"/>
      <c r="AH2295"/>
      <c r="AI2295"/>
      <c r="AJ2295"/>
      <c r="AM2295"/>
    </row>
    <row r="2296" spans="3:39">
      <c r="C2296"/>
      <c r="D2296"/>
      <c r="E2296"/>
      <c r="F2296"/>
      <c r="G2296"/>
      <c r="H2296"/>
      <c r="I2296" s="740"/>
      <c r="V2296"/>
      <c r="W2296"/>
      <c r="Y2296"/>
      <c r="Z2296"/>
      <c r="AA2296"/>
      <c r="AD2296"/>
      <c r="AE2296"/>
      <c r="AF2296"/>
      <c r="AH2296"/>
      <c r="AI2296"/>
      <c r="AJ2296"/>
      <c r="AM2296"/>
    </row>
    <row r="2297" spans="3:39">
      <c r="C2297"/>
      <c r="D2297"/>
      <c r="E2297"/>
      <c r="F2297"/>
      <c r="G2297"/>
      <c r="H2297"/>
      <c r="I2297" s="740"/>
      <c r="V2297"/>
      <c r="W2297"/>
      <c r="Y2297"/>
      <c r="Z2297"/>
      <c r="AA2297"/>
      <c r="AD2297"/>
      <c r="AE2297"/>
      <c r="AF2297"/>
      <c r="AH2297"/>
      <c r="AI2297"/>
      <c r="AJ2297"/>
      <c r="AM2297"/>
    </row>
    <row r="2298" spans="3:39">
      <c r="C2298"/>
      <c r="D2298"/>
      <c r="E2298"/>
      <c r="F2298"/>
      <c r="G2298"/>
      <c r="H2298"/>
      <c r="I2298" s="740"/>
      <c r="V2298"/>
      <c r="W2298"/>
      <c r="Y2298"/>
      <c r="Z2298"/>
      <c r="AA2298"/>
      <c r="AD2298"/>
      <c r="AE2298"/>
      <c r="AF2298"/>
      <c r="AH2298"/>
      <c r="AI2298"/>
      <c r="AJ2298"/>
      <c r="AM2298"/>
    </row>
    <row r="2299" spans="3:39">
      <c r="C2299"/>
      <c r="D2299"/>
      <c r="E2299"/>
      <c r="F2299"/>
      <c r="G2299"/>
      <c r="H2299"/>
      <c r="I2299" s="740"/>
      <c r="V2299"/>
      <c r="W2299"/>
      <c r="Y2299"/>
      <c r="Z2299"/>
      <c r="AA2299"/>
      <c r="AD2299"/>
      <c r="AE2299"/>
      <c r="AF2299"/>
      <c r="AH2299"/>
      <c r="AI2299"/>
      <c r="AJ2299"/>
      <c r="AM2299"/>
    </row>
    <row r="2300" spans="3:39">
      <c r="C2300"/>
      <c r="D2300"/>
      <c r="E2300"/>
      <c r="F2300"/>
      <c r="G2300"/>
      <c r="H2300"/>
      <c r="I2300" s="740"/>
      <c r="V2300"/>
      <c r="W2300"/>
      <c r="Y2300"/>
      <c r="Z2300"/>
      <c r="AA2300"/>
      <c r="AD2300"/>
      <c r="AE2300"/>
      <c r="AF2300"/>
      <c r="AH2300"/>
      <c r="AI2300"/>
      <c r="AJ2300"/>
      <c r="AM2300"/>
    </row>
    <row r="2301" spans="3:39">
      <c r="C2301"/>
      <c r="D2301"/>
      <c r="E2301"/>
      <c r="F2301"/>
      <c r="G2301"/>
      <c r="H2301"/>
      <c r="I2301" s="740"/>
      <c r="V2301"/>
      <c r="W2301"/>
      <c r="Y2301"/>
      <c r="Z2301"/>
      <c r="AA2301"/>
      <c r="AD2301"/>
      <c r="AE2301"/>
      <c r="AF2301"/>
      <c r="AH2301"/>
      <c r="AI2301"/>
      <c r="AJ2301"/>
      <c r="AM2301"/>
    </row>
    <row r="2302" spans="3:39">
      <c r="C2302"/>
      <c r="D2302"/>
      <c r="E2302"/>
      <c r="F2302"/>
      <c r="G2302"/>
      <c r="H2302"/>
      <c r="I2302" s="740"/>
      <c r="V2302"/>
      <c r="W2302"/>
      <c r="Y2302"/>
      <c r="Z2302"/>
      <c r="AA2302"/>
      <c r="AD2302"/>
      <c r="AE2302"/>
      <c r="AF2302"/>
      <c r="AH2302"/>
      <c r="AI2302"/>
      <c r="AJ2302"/>
      <c r="AM2302"/>
    </row>
    <row r="2303" spans="3:39">
      <c r="C2303"/>
      <c r="D2303"/>
      <c r="E2303"/>
      <c r="F2303"/>
      <c r="G2303"/>
      <c r="H2303"/>
      <c r="I2303" s="740"/>
      <c r="V2303"/>
      <c r="W2303"/>
      <c r="Y2303"/>
      <c r="Z2303"/>
      <c r="AA2303"/>
      <c r="AD2303"/>
      <c r="AE2303"/>
      <c r="AF2303"/>
      <c r="AH2303"/>
      <c r="AI2303"/>
      <c r="AJ2303"/>
      <c r="AM2303"/>
    </row>
    <row r="2304" spans="3:39">
      <c r="C2304"/>
      <c r="D2304"/>
      <c r="E2304"/>
      <c r="F2304"/>
      <c r="G2304"/>
      <c r="H2304"/>
      <c r="I2304" s="740"/>
      <c r="V2304"/>
      <c r="W2304"/>
      <c r="Y2304"/>
      <c r="Z2304"/>
      <c r="AA2304"/>
      <c r="AD2304"/>
      <c r="AE2304"/>
      <c r="AF2304"/>
      <c r="AH2304"/>
      <c r="AI2304"/>
      <c r="AJ2304"/>
      <c r="AM2304"/>
    </row>
    <row r="2305" spans="3:39">
      <c r="C2305"/>
      <c r="D2305"/>
      <c r="E2305"/>
      <c r="F2305"/>
      <c r="G2305"/>
      <c r="H2305"/>
      <c r="I2305" s="740"/>
      <c r="V2305"/>
      <c r="W2305"/>
      <c r="Y2305"/>
      <c r="Z2305"/>
      <c r="AA2305"/>
      <c r="AD2305"/>
      <c r="AE2305"/>
      <c r="AF2305"/>
      <c r="AH2305"/>
      <c r="AI2305"/>
      <c r="AJ2305"/>
      <c r="AM2305"/>
    </row>
    <row r="2306" spans="3:39">
      <c r="C2306"/>
      <c r="D2306"/>
      <c r="E2306"/>
      <c r="F2306"/>
      <c r="G2306"/>
      <c r="H2306"/>
      <c r="I2306" s="740"/>
      <c r="V2306"/>
      <c r="W2306"/>
      <c r="Y2306"/>
      <c r="Z2306"/>
      <c r="AA2306"/>
      <c r="AD2306"/>
      <c r="AE2306"/>
      <c r="AF2306"/>
      <c r="AH2306"/>
      <c r="AI2306"/>
      <c r="AJ2306"/>
      <c r="AM2306"/>
    </row>
    <row r="2307" spans="3:39">
      <c r="C2307"/>
      <c r="D2307"/>
      <c r="E2307"/>
      <c r="F2307"/>
      <c r="G2307"/>
      <c r="H2307"/>
      <c r="I2307" s="740"/>
      <c r="V2307"/>
      <c r="W2307"/>
      <c r="Y2307"/>
      <c r="Z2307"/>
      <c r="AA2307"/>
      <c r="AD2307"/>
      <c r="AE2307"/>
      <c r="AF2307"/>
      <c r="AH2307"/>
      <c r="AI2307"/>
      <c r="AJ2307"/>
      <c r="AM2307"/>
    </row>
    <row r="2308" spans="3:39">
      <c r="C2308"/>
      <c r="D2308"/>
      <c r="E2308"/>
      <c r="F2308"/>
      <c r="G2308"/>
      <c r="H2308"/>
      <c r="I2308" s="740"/>
      <c r="V2308"/>
      <c r="W2308"/>
      <c r="Y2308"/>
      <c r="Z2308"/>
      <c r="AA2308"/>
      <c r="AD2308"/>
      <c r="AE2308"/>
      <c r="AF2308"/>
      <c r="AH2308"/>
      <c r="AI2308"/>
      <c r="AJ2308"/>
      <c r="AM2308"/>
    </row>
    <row r="2309" spans="3:39">
      <c r="C2309"/>
      <c r="D2309"/>
      <c r="E2309"/>
      <c r="F2309"/>
      <c r="G2309"/>
      <c r="H2309"/>
      <c r="I2309" s="740"/>
      <c r="V2309"/>
      <c r="W2309"/>
      <c r="Y2309"/>
      <c r="Z2309"/>
      <c r="AA2309"/>
      <c r="AD2309"/>
      <c r="AE2309"/>
      <c r="AF2309"/>
      <c r="AH2309"/>
      <c r="AI2309"/>
      <c r="AJ2309"/>
      <c r="AM2309"/>
    </row>
    <row r="2310" spans="3:39">
      <c r="C2310"/>
      <c r="D2310"/>
      <c r="E2310"/>
      <c r="F2310"/>
      <c r="G2310"/>
      <c r="H2310"/>
      <c r="I2310" s="740"/>
      <c r="V2310"/>
      <c r="W2310"/>
      <c r="Y2310"/>
      <c r="Z2310"/>
      <c r="AA2310"/>
      <c r="AD2310"/>
      <c r="AE2310"/>
      <c r="AF2310"/>
      <c r="AH2310"/>
      <c r="AI2310"/>
      <c r="AJ2310"/>
      <c r="AM2310"/>
    </row>
    <row r="2311" spans="3:39">
      <c r="C2311"/>
      <c r="D2311"/>
      <c r="E2311"/>
      <c r="F2311"/>
      <c r="G2311"/>
      <c r="H2311"/>
      <c r="I2311" s="740"/>
      <c r="V2311"/>
      <c r="W2311"/>
      <c r="Y2311"/>
      <c r="Z2311"/>
      <c r="AA2311"/>
      <c r="AD2311"/>
      <c r="AE2311"/>
      <c r="AF2311"/>
      <c r="AH2311"/>
      <c r="AI2311"/>
      <c r="AJ2311"/>
      <c r="AM2311"/>
    </row>
    <row r="2312" spans="3:39">
      <c r="C2312"/>
      <c r="D2312"/>
      <c r="E2312"/>
      <c r="F2312"/>
      <c r="G2312"/>
      <c r="H2312"/>
      <c r="I2312" s="740"/>
      <c r="V2312"/>
      <c r="W2312"/>
      <c r="Y2312"/>
      <c r="Z2312"/>
      <c r="AA2312"/>
      <c r="AD2312"/>
      <c r="AE2312"/>
      <c r="AF2312"/>
      <c r="AH2312"/>
      <c r="AI2312"/>
      <c r="AJ2312"/>
      <c r="AM2312"/>
    </row>
    <row r="2313" spans="3:39">
      <c r="C2313"/>
      <c r="D2313"/>
      <c r="E2313"/>
      <c r="F2313"/>
      <c r="G2313"/>
      <c r="H2313"/>
      <c r="I2313" s="740"/>
      <c r="V2313"/>
      <c r="W2313"/>
      <c r="Y2313"/>
      <c r="Z2313"/>
      <c r="AA2313"/>
      <c r="AD2313"/>
      <c r="AE2313"/>
      <c r="AF2313"/>
      <c r="AH2313"/>
      <c r="AI2313"/>
      <c r="AJ2313"/>
      <c r="AM2313"/>
    </row>
    <row r="2314" spans="3:39">
      <c r="C2314"/>
      <c r="D2314"/>
      <c r="E2314"/>
      <c r="F2314"/>
      <c r="G2314"/>
      <c r="H2314"/>
      <c r="I2314" s="740"/>
      <c r="V2314"/>
      <c r="W2314"/>
      <c r="Y2314"/>
      <c r="Z2314"/>
      <c r="AA2314"/>
      <c r="AD2314"/>
      <c r="AE2314"/>
      <c r="AF2314"/>
      <c r="AH2314"/>
      <c r="AI2314"/>
      <c r="AJ2314"/>
      <c r="AM2314"/>
    </row>
    <row r="2315" spans="3:39">
      <c r="C2315"/>
      <c r="D2315"/>
      <c r="E2315"/>
      <c r="F2315"/>
      <c r="G2315"/>
      <c r="H2315"/>
      <c r="I2315" s="740"/>
      <c r="V2315"/>
      <c r="W2315"/>
      <c r="Y2315"/>
      <c r="Z2315"/>
      <c r="AA2315"/>
      <c r="AD2315"/>
      <c r="AE2315"/>
      <c r="AF2315"/>
      <c r="AH2315"/>
      <c r="AI2315"/>
      <c r="AJ2315"/>
      <c r="AM2315"/>
    </row>
    <row r="2316" spans="3:39">
      <c r="C2316"/>
      <c r="D2316"/>
      <c r="E2316"/>
      <c r="F2316"/>
      <c r="G2316"/>
      <c r="H2316"/>
      <c r="I2316" s="740"/>
      <c r="V2316"/>
      <c r="W2316"/>
      <c r="Y2316"/>
      <c r="Z2316"/>
      <c r="AA2316"/>
      <c r="AD2316"/>
      <c r="AE2316"/>
      <c r="AF2316"/>
      <c r="AH2316"/>
      <c r="AI2316"/>
      <c r="AJ2316"/>
      <c r="AM2316"/>
    </row>
    <row r="2317" spans="3:39">
      <c r="C2317"/>
      <c r="D2317"/>
      <c r="E2317"/>
      <c r="F2317"/>
      <c r="G2317"/>
      <c r="H2317"/>
      <c r="I2317" s="740"/>
      <c r="V2317"/>
      <c r="W2317"/>
      <c r="Y2317"/>
      <c r="Z2317"/>
      <c r="AA2317"/>
      <c r="AD2317"/>
      <c r="AE2317"/>
      <c r="AF2317"/>
      <c r="AH2317"/>
      <c r="AI2317"/>
      <c r="AJ2317"/>
      <c r="AM2317"/>
    </row>
    <row r="2318" spans="3:39">
      <c r="C2318"/>
      <c r="D2318"/>
      <c r="E2318"/>
      <c r="F2318"/>
      <c r="G2318"/>
      <c r="H2318"/>
      <c r="I2318" s="740"/>
      <c r="V2318"/>
      <c r="W2318"/>
      <c r="Y2318"/>
      <c r="Z2318"/>
      <c r="AA2318"/>
      <c r="AD2318"/>
      <c r="AE2318"/>
      <c r="AF2318"/>
      <c r="AH2318"/>
      <c r="AI2318"/>
      <c r="AJ2318"/>
      <c r="AM2318"/>
    </row>
    <row r="2319" spans="3:39">
      <c r="C2319"/>
      <c r="D2319"/>
      <c r="E2319"/>
      <c r="F2319"/>
      <c r="G2319"/>
      <c r="H2319"/>
      <c r="I2319" s="740"/>
      <c r="V2319"/>
      <c r="W2319"/>
      <c r="Y2319"/>
      <c r="Z2319"/>
      <c r="AA2319"/>
      <c r="AD2319"/>
      <c r="AE2319"/>
      <c r="AF2319"/>
      <c r="AH2319"/>
      <c r="AI2319"/>
      <c r="AJ2319"/>
      <c r="AM2319"/>
    </row>
    <row r="2320" spans="3:39">
      <c r="C2320"/>
      <c r="D2320"/>
      <c r="E2320"/>
      <c r="F2320"/>
      <c r="G2320"/>
      <c r="H2320"/>
      <c r="I2320" s="740"/>
      <c r="V2320"/>
      <c r="W2320"/>
      <c r="Y2320"/>
      <c r="Z2320"/>
      <c r="AA2320"/>
      <c r="AD2320"/>
      <c r="AE2320"/>
      <c r="AF2320"/>
      <c r="AH2320"/>
      <c r="AI2320"/>
      <c r="AJ2320"/>
      <c r="AM2320"/>
    </row>
    <row r="2321" spans="3:39">
      <c r="C2321"/>
      <c r="D2321"/>
      <c r="E2321"/>
      <c r="F2321"/>
      <c r="G2321"/>
      <c r="H2321"/>
      <c r="I2321" s="740"/>
      <c r="V2321"/>
      <c r="W2321"/>
      <c r="Y2321"/>
      <c r="Z2321"/>
      <c r="AA2321"/>
      <c r="AD2321"/>
      <c r="AE2321"/>
      <c r="AF2321"/>
      <c r="AH2321"/>
      <c r="AI2321"/>
      <c r="AJ2321"/>
      <c r="AM2321"/>
    </row>
    <row r="2322" spans="3:39">
      <c r="C2322"/>
      <c r="D2322"/>
      <c r="E2322"/>
      <c r="F2322"/>
      <c r="G2322"/>
      <c r="H2322"/>
      <c r="I2322" s="740"/>
      <c r="V2322"/>
      <c r="W2322"/>
      <c r="Y2322"/>
      <c r="Z2322"/>
      <c r="AA2322"/>
      <c r="AD2322"/>
      <c r="AE2322"/>
      <c r="AF2322"/>
      <c r="AH2322"/>
      <c r="AI2322"/>
      <c r="AJ2322"/>
      <c r="AM2322"/>
    </row>
    <row r="2323" spans="3:39">
      <c r="C2323"/>
      <c r="D2323"/>
      <c r="E2323"/>
      <c r="F2323"/>
      <c r="G2323"/>
      <c r="H2323"/>
      <c r="I2323" s="740"/>
      <c r="V2323"/>
      <c r="W2323"/>
      <c r="Y2323"/>
      <c r="Z2323"/>
      <c r="AA2323"/>
      <c r="AD2323"/>
      <c r="AE2323"/>
      <c r="AF2323"/>
      <c r="AH2323"/>
      <c r="AI2323"/>
      <c r="AJ2323"/>
      <c r="AM2323"/>
    </row>
    <row r="2324" spans="3:39">
      <c r="C2324"/>
      <c r="D2324"/>
      <c r="E2324"/>
      <c r="F2324"/>
      <c r="G2324"/>
      <c r="H2324"/>
      <c r="I2324" s="740"/>
      <c r="V2324"/>
      <c r="W2324"/>
      <c r="Y2324"/>
      <c r="Z2324"/>
      <c r="AA2324"/>
      <c r="AD2324"/>
      <c r="AE2324"/>
      <c r="AF2324"/>
      <c r="AH2324"/>
      <c r="AI2324"/>
      <c r="AJ2324"/>
      <c r="AM2324"/>
    </row>
    <row r="2325" spans="3:39">
      <c r="C2325"/>
      <c r="D2325"/>
      <c r="E2325"/>
      <c r="F2325"/>
      <c r="G2325"/>
      <c r="H2325"/>
      <c r="I2325" s="740"/>
      <c r="V2325"/>
      <c r="W2325"/>
      <c r="Y2325"/>
      <c r="Z2325"/>
      <c r="AA2325"/>
      <c r="AD2325"/>
      <c r="AE2325"/>
      <c r="AF2325"/>
      <c r="AH2325"/>
      <c r="AI2325"/>
      <c r="AJ2325"/>
      <c r="AM2325"/>
    </row>
    <row r="2326" spans="3:39">
      <c r="C2326"/>
      <c r="D2326"/>
      <c r="E2326"/>
      <c r="F2326"/>
      <c r="G2326"/>
      <c r="H2326"/>
      <c r="I2326" s="740"/>
      <c r="V2326"/>
      <c r="W2326"/>
      <c r="Y2326"/>
      <c r="Z2326"/>
      <c r="AA2326"/>
      <c r="AD2326"/>
      <c r="AE2326"/>
      <c r="AF2326"/>
      <c r="AH2326"/>
      <c r="AI2326"/>
      <c r="AJ2326"/>
      <c r="AM2326"/>
    </row>
    <row r="2327" spans="3:39">
      <c r="C2327"/>
      <c r="D2327"/>
      <c r="E2327"/>
      <c r="F2327"/>
      <c r="G2327"/>
      <c r="H2327"/>
      <c r="I2327" s="740"/>
      <c r="V2327"/>
      <c r="W2327"/>
      <c r="Y2327"/>
      <c r="Z2327"/>
      <c r="AA2327"/>
      <c r="AD2327"/>
      <c r="AE2327"/>
      <c r="AF2327"/>
      <c r="AH2327"/>
      <c r="AI2327"/>
      <c r="AJ2327"/>
      <c r="AM2327"/>
    </row>
    <row r="2328" spans="3:39">
      <c r="C2328"/>
      <c r="D2328"/>
      <c r="E2328"/>
      <c r="F2328"/>
      <c r="G2328"/>
      <c r="H2328"/>
      <c r="I2328" s="740"/>
      <c r="V2328"/>
      <c r="W2328"/>
      <c r="Y2328"/>
      <c r="Z2328"/>
      <c r="AA2328"/>
      <c r="AD2328"/>
      <c r="AE2328"/>
      <c r="AF2328"/>
      <c r="AH2328"/>
      <c r="AI2328"/>
      <c r="AJ2328"/>
      <c r="AM2328"/>
    </row>
    <row r="2329" spans="3:39">
      <c r="C2329"/>
      <c r="D2329"/>
      <c r="E2329"/>
      <c r="F2329"/>
      <c r="G2329"/>
      <c r="H2329"/>
      <c r="I2329" s="740"/>
      <c r="V2329"/>
      <c r="W2329"/>
      <c r="Y2329"/>
      <c r="Z2329"/>
      <c r="AA2329"/>
      <c r="AD2329"/>
      <c r="AE2329"/>
      <c r="AF2329"/>
      <c r="AH2329"/>
      <c r="AI2329"/>
      <c r="AJ2329"/>
      <c r="AM2329"/>
    </row>
    <row r="2330" spans="3:39">
      <c r="C2330"/>
      <c r="D2330"/>
      <c r="E2330"/>
      <c r="F2330"/>
      <c r="G2330"/>
      <c r="H2330"/>
      <c r="I2330" s="740"/>
      <c r="V2330"/>
      <c r="W2330"/>
      <c r="Y2330"/>
      <c r="Z2330"/>
      <c r="AA2330"/>
      <c r="AD2330"/>
      <c r="AE2330"/>
      <c r="AF2330"/>
      <c r="AH2330"/>
      <c r="AI2330"/>
      <c r="AJ2330"/>
      <c r="AM2330"/>
    </row>
    <row r="2331" spans="3:39">
      <c r="C2331"/>
      <c r="D2331"/>
      <c r="E2331"/>
      <c r="F2331"/>
      <c r="G2331"/>
      <c r="H2331"/>
      <c r="I2331" s="740"/>
      <c r="V2331"/>
      <c r="W2331"/>
      <c r="Y2331"/>
      <c r="Z2331"/>
      <c r="AA2331"/>
      <c r="AD2331"/>
      <c r="AE2331"/>
      <c r="AF2331"/>
      <c r="AH2331"/>
      <c r="AI2331"/>
      <c r="AJ2331"/>
      <c r="AM2331"/>
    </row>
    <row r="2332" spans="3:39">
      <c r="C2332"/>
      <c r="D2332"/>
      <c r="E2332"/>
      <c r="F2332"/>
      <c r="G2332"/>
      <c r="H2332"/>
      <c r="I2332" s="740"/>
      <c r="V2332"/>
      <c r="W2332"/>
      <c r="Y2332"/>
      <c r="Z2332"/>
      <c r="AA2332"/>
      <c r="AD2332"/>
      <c r="AE2332"/>
      <c r="AF2332"/>
      <c r="AH2332"/>
      <c r="AI2332"/>
      <c r="AJ2332"/>
      <c r="AM2332"/>
    </row>
    <row r="2333" spans="3:39">
      <c r="C2333"/>
      <c r="D2333"/>
      <c r="E2333"/>
      <c r="F2333"/>
      <c r="G2333"/>
      <c r="H2333"/>
      <c r="I2333" s="740"/>
      <c r="V2333"/>
      <c r="W2333"/>
      <c r="Y2333"/>
      <c r="Z2333"/>
      <c r="AA2333"/>
      <c r="AD2333"/>
      <c r="AE2333"/>
      <c r="AF2333"/>
      <c r="AH2333"/>
      <c r="AI2333"/>
      <c r="AJ2333"/>
      <c r="AM2333"/>
    </row>
    <row r="2334" spans="3:39">
      <c r="C2334"/>
      <c r="D2334"/>
      <c r="E2334"/>
      <c r="F2334"/>
      <c r="G2334"/>
      <c r="H2334"/>
      <c r="I2334" s="740"/>
      <c r="V2334"/>
      <c r="W2334"/>
      <c r="Y2334"/>
      <c r="Z2334"/>
      <c r="AA2334"/>
      <c r="AD2334"/>
      <c r="AE2334"/>
      <c r="AF2334"/>
      <c r="AH2334"/>
      <c r="AI2334"/>
      <c r="AJ2334"/>
      <c r="AM2334"/>
    </row>
    <row r="2335" spans="3:39">
      <c r="C2335"/>
      <c r="D2335"/>
      <c r="E2335"/>
      <c r="F2335"/>
      <c r="G2335"/>
      <c r="H2335"/>
      <c r="I2335" s="740"/>
      <c r="V2335"/>
      <c r="W2335"/>
      <c r="Y2335"/>
      <c r="Z2335"/>
      <c r="AA2335"/>
      <c r="AD2335"/>
      <c r="AE2335"/>
      <c r="AF2335"/>
      <c r="AH2335"/>
      <c r="AI2335"/>
      <c r="AJ2335"/>
      <c r="AM2335"/>
    </row>
    <row r="2336" spans="3:39">
      <c r="C2336"/>
      <c r="D2336"/>
      <c r="E2336"/>
      <c r="F2336"/>
      <c r="G2336"/>
      <c r="H2336"/>
      <c r="I2336" s="740"/>
      <c r="V2336"/>
      <c r="W2336"/>
      <c r="Y2336"/>
      <c r="Z2336"/>
      <c r="AA2336"/>
      <c r="AD2336"/>
      <c r="AE2336"/>
      <c r="AF2336"/>
      <c r="AH2336"/>
      <c r="AI2336"/>
      <c r="AJ2336"/>
      <c r="AM2336"/>
    </row>
    <row r="2337" spans="3:39">
      <c r="C2337"/>
      <c r="D2337"/>
      <c r="E2337"/>
      <c r="F2337"/>
      <c r="G2337"/>
      <c r="H2337"/>
      <c r="I2337" s="740"/>
      <c r="V2337"/>
      <c r="W2337"/>
      <c r="Y2337"/>
      <c r="Z2337"/>
      <c r="AA2337"/>
      <c r="AD2337"/>
      <c r="AE2337"/>
      <c r="AF2337"/>
      <c r="AH2337"/>
      <c r="AI2337"/>
      <c r="AJ2337"/>
      <c r="AM2337"/>
    </row>
    <row r="2338" spans="3:39">
      <c r="C2338"/>
      <c r="D2338"/>
      <c r="E2338"/>
      <c r="F2338"/>
      <c r="G2338"/>
      <c r="H2338"/>
      <c r="I2338" s="740"/>
      <c r="V2338"/>
      <c r="W2338"/>
      <c r="Y2338"/>
      <c r="Z2338"/>
      <c r="AA2338"/>
      <c r="AD2338"/>
      <c r="AE2338"/>
      <c r="AF2338"/>
      <c r="AH2338"/>
      <c r="AI2338"/>
      <c r="AJ2338"/>
      <c r="AM2338"/>
    </row>
    <row r="2339" spans="3:39">
      <c r="C2339"/>
      <c r="D2339"/>
      <c r="E2339"/>
      <c r="F2339"/>
      <c r="G2339"/>
      <c r="H2339"/>
      <c r="I2339" s="740"/>
      <c r="V2339"/>
      <c r="W2339"/>
      <c r="Y2339"/>
      <c r="Z2339"/>
      <c r="AA2339"/>
      <c r="AD2339"/>
      <c r="AE2339"/>
      <c r="AF2339"/>
      <c r="AH2339"/>
      <c r="AI2339"/>
      <c r="AJ2339"/>
      <c r="AM2339"/>
    </row>
    <row r="2340" spans="3:39">
      <c r="C2340"/>
      <c r="D2340"/>
      <c r="E2340"/>
      <c r="F2340"/>
      <c r="G2340"/>
      <c r="H2340"/>
      <c r="I2340" s="740"/>
      <c r="V2340"/>
      <c r="W2340"/>
      <c r="Y2340"/>
      <c r="Z2340"/>
      <c r="AA2340"/>
      <c r="AD2340"/>
      <c r="AE2340"/>
      <c r="AF2340"/>
      <c r="AH2340"/>
      <c r="AI2340"/>
      <c r="AJ2340"/>
      <c r="AM2340"/>
    </row>
    <row r="2341" spans="3:39">
      <c r="C2341"/>
      <c r="D2341"/>
      <c r="E2341"/>
      <c r="F2341"/>
      <c r="G2341"/>
      <c r="H2341"/>
      <c r="I2341" s="740"/>
      <c r="V2341"/>
      <c r="W2341"/>
      <c r="Y2341"/>
      <c r="Z2341"/>
      <c r="AA2341"/>
      <c r="AD2341"/>
      <c r="AE2341"/>
      <c r="AF2341"/>
      <c r="AH2341"/>
      <c r="AI2341"/>
      <c r="AJ2341"/>
      <c r="AM2341"/>
    </row>
  </sheetData>
  <sheetProtection formatRows="0" insertHyperlinks="0"/>
  <mergeCells count="64">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488:G539 G530:H531 G541:G605 G574:H574 H589 G34:H35 G28:G43 C27 C42 G6:G22 G24:G25 G45:G102 G11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22:B24 B86 B95 B79">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G115:H230 A115:E319 C32:C62 C86:C89 B614:B752 A564:H564 A6:H19 H26:H42 AG43:AG44 F32:F40 D45:H62 I43:I44 F42 B26:B42 H20:H22 H24 A320:B520 C488:H520 A620:H620 C25:H25 B20:E24 G20:G24 F20:F21 F23:F24 D541:G561 H521:H561 D521:G539 A530:H531 A567:H568 H590:H605 D565:H574 A521:C574 A575:H578 H579:H588 H629:H630 H634:H725 B95 B72:B77 C92:C93 D86:H93 A86:B93 B606:B612 A94:A100 C94:H100 B98:B100 A20:A85 C59:H85 B82:B85 B79 B45:B69 A101:H102 F115:F227">
    <cfRule type="expression" dxfId="43" priority="69" stopIfTrue="1">
      <formula>IF($AF6=0,TRUE)</formula>
    </cfRule>
  </conditionalFormatting>
  <conditionalFormatting sqref="D28:E42 D355:E486 D740:E740 D743:E743 E693:E758 D754:E779 D785:E866 D6:E26 D620:E620 D488:E539 D541:E561 D563:E578 D579:D758 E579:E691 D45:E102 D11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271" yWindow="479" count="229">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75:G777 G549:G551 G557:G559 G553:G555 G722:G725 G736 G749 G762:G765 G767:G769 G771:G773">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55 G761"/>
    <dataValidation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55"/>
    <dataValidation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7 G786"/>
    <dataValidation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88"/>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Roman,Bold"&amp;22&amp;K04-035Schedule of Tasks&amp;C&amp;"Times New Roman,Regular"&amp;14&amp;K04-043Greenhouse Gas Permitting&amp;R&amp;"Times New Roman,Regular"&amp;12&amp;K04-040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4 G794:H799 G857:H864 G708:G711 H837:H841 H848:H852 H808 H833 H835 H844 G142:H145 H855 G118:H119 G129 G124:H124 G169:H170 G321:H322 G311:H315 H120 G161:H162 G189:H189 G203:H210 G263:H263 G278:H278 H283 G317:H319 G324:H328 D353 H466 G55:H56 G173:H173 G177:H177 G40:H41 G116:H116 G131:H134 G21:H21 G201:H201 G199:H199 H190 D535:D537 G191:H193 D533 G13:H13 G31 G36:H37 G17:H17 G47:H53 G196:H197 G30 G355:H356 F382:H448 F467:H470 F458:H459 D382:D449 D355:D356 H354 G736:H739 G747:H747 G785:H785 G753:H753 G763:H779 H815:H828 H18 G15:H15 G449:H449 G32 G725 G762"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61</v>
      </c>
    </row>
    <row r="2" spans="1:7" s="23" customFormat="1" ht="25.5" customHeight="1">
      <c r="A2" s="75"/>
      <c r="B2" s="1038" t="s">
        <v>40</v>
      </c>
      <c r="C2" s="1038"/>
      <c r="D2" s="75"/>
      <c r="E2" s="75"/>
      <c r="F2" s="75"/>
      <c r="G2" s="75"/>
    </row>
    <row r="3" spans="1:7" s="23" customFormat="1">
      <c r="A3" s="75"/>
      <c r="B3" s="144" t="s">
        <v>21</v>
      </c>
      <c r="C3" s="75" t="s">
        <v>44</v>
      </c>
      <c r="D3" s="146" t="s">
        <v>29</v>
      </c>
      <c r="E3" s="147" t="s">
        <v>81</v>
      </c>
      <c r="F3" s="147" t="s">
        <v>79</v>
      </c>
      <c r="G3" s="75"/>
    </row>
    <row r="4" spans="1:7" s="23" customFormat="1">
      <c r="A4" s="75"/>
      <c r="B4" s="144" t="s">
        <v>16</v>
      </c>
      <c r="C4" s="75" t="s">
        <v>72</v>
      </c>
      <c r="D4" s="148" t="s">
        <v>33</v>
      </c>
      <c r="E4" s="147" t="s">
        <v>80</v>
      </c>
      <c r="F4" s="168" t="s">
        <v>43</v>
      </c>
      <c r="G4" s="75"/>
    </row>
    <row r="5" spans="1:7" s="23" customFormat="1">
      <c r="A5" s="75"/>
      <c r="B5" s="144" t="s">
        <v>20</v>
      </c>
      <c r="C5" s="75"/>
      <c r="D5" s="143" t="s">
        <v>71</v>
      </c>
      <c r="E5" s="147" t="s">
        <v>82</v>
      </c>
      <c r="F5" s="168" t="s">
        <v>43</v>
      </c>
      <c r="G5" s="75"/>
    </row>
    <row r="6" spans="1:7" s="23" customFormat="1">
      <c r="A6" s="75"/>
      <c r="B6" s="144" t="s">
        <v>69</v>
      </c>
      <c r="C6" s="75" t="s">
        <v>70</v>
      </c>
      <c r="D6" s="143" t="s">
        <v>71</v>
      </c>
      <c r="E6" s="150" t="s">
        <v>83</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38" t="s">
        <v>41</v>
      </c>
      <c r="C9" s="1038"/>
      <c r="D9" s="154" t="s">
        <v>45</v>
      </c>
      <c r="E9" s="155" t="s">
        <v>46</v>
      </c>
      <c r="F9" s="75"/>
      <c r="G9" s="75"/>
    </row>
    <row r="10" spans="1:7">
      <c r="A10" s="75"/>
      <c r="B10" s="144"/>
      <c r="C10" s="145"/>
      <c r="D10" s="156" t="s">
        <v>37</v>
      </c>
      <c r="E10" s="147" t="s">
        <v>75</v>
      </c>
      <c r="F10" s="75" t="s">
        <v>76</v>
      </c>
      <c r="G10" s="75"/>
    </row>
    <row r="11" spans="1:7">
      <c r="A11" s="75"/>
      <c r="B11" s="144"/>
      <c r="C11" s="145"/>
      <c r="D11" s="156" t="s">
        <v>37</v>
      </c>
      <c r="E11" s="147" t="s">
        <v>78</v>
      </c>
      <c r="F11" s="75" t="s">
        <v>77</v>
      </c>
      <c r="G11" s="75"/>
    </row>
    <row r="12" spans="1:7" s="23" customFormat="1">
      <c r="A12" s="75"/>
      <c r="B12" s="144"/>
      <c r="C12" s="75"/>
      <c r="D12" s="153" t="s">
        <v>31</v>
      </c>
      <c r="E12" s="147" t="s">
        <v>38</v>
      </c>
      <c r="F12" s="75" t="s">
        <v>73</v>
      </c>
      <c r="G12" s="75"/>
    </row>
    <row r="13" spans="1:7" s="23" customFormat="1">
      <c r="A13" s="75"/>
      <c r="B13" s="144"/>
      <c r="C13" s="75"/>
      <c r="D13" s="152" t="s">
        <v>43</v>
      </c>
      <c r="E13" s="147" t="s">
        <v>36</v>
      </c>
      <c r="F13" s="75" t="s">
        <v>74</v>
      </c>
      <c r="G13" s="75"/>
    </row>
    <row r="14" spans="1:7" ht="18">
      <c r="A14" s="75"/>
      <c r="B14" s="1038" t="s">
        <v>51</v>
      </c>
      <c r="C14" s="1038"/>
      <c r="D14" s="75"/>
      <c r="E14" s="75"/>
      <c r="F14" s="75"/>
      <c r="G14" s="75"/>
    </row>
    <row r="15" spans="1:7">
      <c r="A15" s="75"/>
      <c r="B15" s="144"/>
      <c r="C15" s="75" t="s">
        <v>62</v>
      </c>
      <c r="D15" s="151" t="s">
        <v>27</v>
      </c>
      <c r="E15" s="147" t="s">
        <v>50</v>
      </c>
      <c r="F15" s="75" t="s">
        <v>53</v>
      </c>
      <c r="G15" s="75"/>
    </row>
    <row r="16" spans="1:7">
      <c r="A16" s="75"/>
      <c r="B16" s="144"/>
      <c r="C16" s="75"/>
      <c r="D16" s="25" t="s">
        <v>26</v>
      </c>
      <c r="E16" s="150" t="s">
        <v>52</v>
      </c>
      <c r="F16" s="75" t="s">
        <v>53</v>
      </c>
      <c r="G16" s="75"/>
    </row>
    <row r="17" spans="1:7">
      <c r="A17" s="75"/>
      <c r="B17" s="144"/>
      <c r="C17" s="75"/>
      <c r="D17" s="24" t="s">
        <v>25</v>
      </c>
      <c r="E17" s="150" t="s">
        <v>54</v>
      </c>
      <c r="F17" s="75" t="s">
        <v>53</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63</v>
      </c>
      <c r="F21" s="75" t="s">
        <v>0</v>
      </c>
      <c r="G21" s="75"/>
    </row>
    <row r="22" spans="1:7">
      <c r="A22" s="75"/>
      <c r="B22" s="144"/>
      <c r="C22" s="75"/>
      <c r="D22" s="75"/>
      <c r="E22" s="75" t="s">
        <v>64</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39" t="s">
        <v>139</v>
      </c>
      <c r="C2" s="1039"/>
      <c r="D2" s="1039"/>
      <c r="E2" s="1039"/>
      <c r="F2" s="1039"/>
      <c r="G2" s="1039"/>
      <c r="H2" s="1039"/>
      <c r="I2" s="1039"/>
      <c r="J2" s="1039"/>
      <c r="K2" s="1039"/>
      <c r="L2" s="1039"/>
      <c r="M2" s="1039"/>
      <c r="N2" s="1039"/>
      <c r="O2" s="1039"/>
      <c r="P2" s="399"/>
      <c r="Q2" s="75"/>
      <c r="R2" s="75"/>
      <c r="S2" s="75"/>
    </row>
    <row r="3" spans="1:19" ht="20.25">
      <c r="A3" s="75"/>
      <c r="B3" s="176"/>
      <c r="C3" s="239" t="s">
        <v>56</v>
      </c>
      <c r="D3" s="240"/>
      <c r="E3" s="241" t="s">
        <v>92</v>
      </c>
      <c r="F3" s="240"/>
      <c r="G3" s="242" t="s">
        <v>93</v>
      </c>
      <c r="H3" s="240"/>
      <c r="I3" s="243" t="s">
        <v>88</v>
      </c>
      <c r="J3" s="244"/>
      <c r="K3" s="243" t="s">
        <v>96</v>
      </c>
      <c r="L3" s="244"/>
      <c r="M3" s="243" t="s">
        <v>98</v>
      </c>
      <c r="N3" s="244"/>
      <c r="O3" s="398" t="s">
        <v>97</v>
      </c>
      <c r="P3" s="145"/>
      <c r="Q3" s="75"/>
      <c r="R3" s="75"/>
      <c r="S3" s="75"/>
    </row>
    <row r="4" spans="1:19" ht="90.75" customHeight="1">
      <c r="A4" s="75"/>
      <c r="B4" s="406" t="s">
        <v>166</v>
      </c>
      <c r="C4" s="1040" t="s">
        <v>140</v>
      </c>
      <c r="D4" s="1040"/>
      <c r="E4" s="179" t="s">
        <v>141</v>
      </c>
      <c r="F4" s="178"/>
      <c r="G4" s="179" t="s">
        <v>142</v>
      </c>
      <c r="H4" s="75"/>
      <c r="I4" s="179" t="s">
        <v>91</v>
      </c>
      <c r="J4" s="75"/>
      <c r="K4" s="179" t="s">
        <v>143</v>
      </c>
      <c r="L4" s="75"/>
      <c r="M4" s="179" t="s">
        <v>99</v>
      </c>
      <c r="N4" s="75"/>
      <c r="O4" s="179" t="s">
        <v>144</v>
      </c>
      <c r="P4" s="75"/>
      <c r="Q4" s="75"/>
      <c r="R4" s="75"/>
      <c r="S4" s="75"/>
    </row>
    <row r="5" spans="1:19" ht="17.25" customHeight="1" thickBot="1">
      <c r="A5" s="75"/>
      <c r="B5" s="238"/>
      <c r="C5" s="391" t="s">
        <v>85</v>
      </c>
      <c r="D5" s="227"/>
      <c r="E5" s="228"/>
      <c r="F5" s="178"/>
      <c r="G5" s="229" t="s">
        <v>86</v>
      </c>
      <c r="H5" s="75"/>
      <c r="I5" s="229" t="s">
        <v>87</v>
      </c>
      <c r="J5" s="75"/>
      <c r="K5" s="75"/>
      <c r="L5" s="75"/>
      <c r="M5" s="75"/>
      <c r="N5" s="75"/>
      <c r="O5" s="75"/>
      <c r="P5" s="75"/>
      <c r="Q5" s="75"/>
      <c r="R5" s="75"/>
      <c r="S5" s="75"/>
    </row>
    <row r="6" spans="1:19" ht="29.25" customHeight="1">
      <c r="A6" s="75"/>
      <c r="B6" s="238"/>
      <c r="C6" s="75"/>
      <c r="D6" s="75"/>
      <c r="E6" s="75"/>
      <c r="F6" s="75"/>
      <c r="G6" s="230" t="s">
        <v>0</v>
      </c>
      <c r="H6" s="75"/>
      <c r="I6" s="225" t="s">
        <v>95</v>
      </c>
      <c r="J6" s="75"/>
      <c r="K6" s="75"/>
      <c r="L6" s="75"/>
      <c r="M6" s="225" t="s">
        <v>95</v>
      </c>
      <c r="N6" s="75"/>
      <c r="O6" s="75"/>
      <c r="P6" s="75"/>
      <c r="Q6" s="75"/>
      <c r="R6" s="75"/>
      <c r="S6" s="75"/>
    </row>
    <row r="7" spans="1:19" ht="60" customHeight="1">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c r="A8" s="75"/>
      <c r="B8" s="405"/>
      <c r="C8" s="402" t="s">
        <v>0</v>
      </c>
      <c r="D8" s="394"/>
      <c r="E8" s="394"/>
      <c r="F8" s="394"/>
      <c r="G8" s="394"/>
      <c r="H8" s="394"/>
      <c r="I8" s="407"/>
      <c r="J8" s="394"/>
      <c r="K8" s="394"/>
      <c r="L8" s="395"/>
      <c r="M8" s="409"/>
      <c r="N8" s="395"/>
      <c r="O8" s="395"/>
      <c r="P8" s="396"/>
      <c r="Q8" s="75"/>
      <c r="R8" s="75"/>
      <c r="S8" s="75"/>
    </row>
    <row r="9" spans="1:19" ht="60" customHeight="1">
      <c r="A9" s="75"/>
      <c r="B9" s="392" t="s">
        <v>84</v>
      </c>
      <c r="C9" s="180" t="s">
        <v>147</v>
      </c>
      <c r="D9" s="393" t="s">
        <v>0</v>
      </c>
      <c r="E9" s="180" t="s">
        <v>148</v>
      </c>
      <c r="F9" s="393"/>
      <c r="G9" s="180" t="s">
        <v>89</v>
      </c>
      <c r="H9" s="393"/>
      <c r="I9" s="223" t="s">
        <v>94</v>
      </c>
      <c r="J9" s="394"/>
      <c r="K9" s="177" t="s">
        <v>165</v>
      </c>
      <c r="L9" s="395"/>
      <c r="M9" s="223" t="s">
        <v>149</v>
      </c>
      <c r="N9" s="395"/>
      <c r="O9" s="395"/>
      <c r="P9" s="396"/>
      <c r="Q9" s="75"/>
      <c r="R9" s="75"/>
      <c r="S9" s="75"/>
    </row>
    <row r="10" spans="1:19" ht="12" customHeight="1">
      <c r="A10" s="75"/>
      <c r="B10" s="397"/>
      <c r="C10" s="396"/>
      <c r="D10" s="396"/>
      <c r="E10" s="396"/>
      <c r="F10" s="396"/>
      <c r="G10" s="396"/>
      <c r="H10" s="396"/>
      <c r="I10" s="408"/>
      <c r="J10" s="396"/>
      <c r="K10" s="396"/>
      <c r="L10" s="396"/>
      <c r="M10" s="410"/>
      <c r="N10" s="396"/>
      <c r="O10" s="396"/>
      <c r="P10" s="396"/>
      <c r="Q10" s="75"/>
      <c r="R10" s="75"/>
      <c r="S10" s="75"/>
    </row>
    <row r="11" spans="1:19" ht="60" customHeight="1">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c r="A12" s="75"/>
      <c r="B12" s="403"/>
      <c r="C12" s="404"/>
      <c r="D12" s="394"/>
      <c r="E12" s="401" t="s">
        <v>0</v>
      </c>
      <c r="F12" s="394"/>
      <c r="G12" s="394"/>
      <c r="H12" s="394"/>
      <c r="I12" s="411"/>
      <c r="J12" s="394"/>
      <c r="K12" s="394"/>
      <c r="L12" s="395"/>
      <c r="M12" s="412"/>
      <c r="N12" s="395"/>
      <c r="O12" s="395"/>
      <c r="P12" s="396"/>
      <c r="Q12" s="75"/>
      <c r="R12" s="75"/>
      <c r="S12" s="75"/>
    </row>
    <row r="13" spans="1:19" ht="60" customHeight="1">
      <c r="A13" s="75"/>
      <c r="B13" s="392" t="s">
        <v>155</v>
      </c>
      <c r="C13" s="177" t="s">
        <v>156</v>
      </c>
      <c r="D13" s="393" t="s">
        <v>0</v>
      </c>
      <c r="E13" s="177" t="s">
        <v>157</v>
      </c>
      <c r="F13" s="394"/>
      <c r="G13" s="394"/>
      <c r="H13" s="394"/>
      <c r="I13" s="394"/>
      <c r="J13" s="394"/>
      <c r="K13" s="177" t="s">
        <v>158</v>
      </c>
      <c r="L13" s="395"/>
      <c r="M13" s="396"/>
      <c r="N13" s="395"/>
      <c r="O13" s="177" t="s">
        <v>159</v>
      </c>
      <c r="P13" s="396"/>
      <c r="Q13" s="75"/>
      <c r="R13" s="75"/>
      <c r="S13" s="75"/>
    </row>
    <row r="14" spans="1:19" ht="11.25" customHeight="1">
      <c r="A14" s="75"/>
      <c r="B14" s="397"/>
      <c r="C14" s="400"/>
      <c r="D14" s="394"/>
      <c r="E14" s="401" t="s">
        <v>0</v>
      </c>
      <c r="F14" s="394"/>
      <c r="G14" s="394"/>
      <c r="H14" s="394"/>
      <c r="I14" s="402"/>
      <c r="J14" s="394"/>
      <c r="K14" s="394"/>
      <c r="L14" s="395"/>
      <c r="M14" s="395"/>
      <c r="N14" s="395"/>
      <c r="O14" s="395"/>
      <c r="P14" s="396"/>
      <c r="Q14" s="75"/>
      <c r="R14" s="75"/>
      <c r="S14" s="75"/>
    </row>
    <row r="15" spans="1:19" ht="60" customHeight="1">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c r="A16" s="75"/>
      <c r="B16" s="397"/>
      <c r="C16" s="400"/>
      <c r="D16" s="394"/>
      <c r="E16" s="401" t="s">
        <v>0</v>
      </c>
      <c r="F16" s="394"/>
      <c r="G16" s="394"/>
      <c r="H16" s="394"/>
      <c r="I16" s="402"/>
      <c r="J16" s="394"/>
      <c r="K16" s="394"/>
      <c r="L16" s="395"/>
      <c r="M16" s="395"/>
      <c r="N16" s="395"/>
      <c r="O16" s="395"/>
      <c r="P16" s="396"/>
      <c r="Q16" s="75"/>
      <c r="R16" s="75"/>
      <c r="S16" s="75"/>
    </row>
    <row r="17" spans="1:19" ht="60" customHeight="1">
      <c r="A17" s="75"/>
      <c r="B17" s="392" t="s">
        <v>163</v>
      </c>
      <c r="C17" s="396"/>
      <c r="D17" s="393" t="s">
        <v>0</v>
      </c>
      <c r="E17" s="396"/>
      <c r="F17" s="394"/>
      <c r="G17" s="394"/>
      <c r="H17" s="394"/>
      <c r="I17" s="394"/>
      <c r="J17" s="394"/>
      <c r="K17" s="396"/>
      <c r="L17" s="395"/>
      <c r="M17" s="396"/>
      <c r="N17" s="395"/>
      <c r="O17" s="177" t="s">
        <v>164</v>
      </c>
      <c r="P17" s="396"/>
      <c r="Q17" s="75"/>
      <c r="R17" s="75"/>
      <c r="S17" s="75"/>
    </row>
    <row r="18" spans="1:19" ht="9.75" customHeight="1">
      <c r="A18" s="75"/>
      <c r="B18" s="396"/>
      <c r="C18" s="396"/>
      <c r="D18" s="396"/>
      <c r="E18" s="396"/>
      <c r="F18" s="396"/>
      <c r="G18" s="396"/>
      <c r="H18" s="396"/>
      <c r="I18" s="396"/>
      <c r="J18" s="396"/>
      <c r="K18" s="396"/>
      <c r="L18" s="396"/>
      <c r="M18" s="396"/>
      <c r="N18" s="396"/>
      <c r="O18" s="396"/>
      <c r="P18" s="396"/>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3" customWidth="1"/>
    <col min="13" max="17" width="3.125" customWidth="1"/>
    <col min="18" max="19" width="3.125" style="581" customWidth="1"/>
    <col min="20" max="24" width="3.125" customWidth="1"/>
    <col min="25" max="26" width="3.125" style="581" customWidth="1"/>
    <col min="27" max="31" width="3.125" customWidth="1"/>
    <col min="32" max="33" width="3.125" style="581" customWidth="1"/>
    <col min="34" max="38" width="3.125" style="23" customWidth="1"/>
    <col min="39" max="40" width="3.125" style="581" customWidth="1"/>
    <col min="41" max="45" width="3.125" style="23" customWidth="1"/>
    <col min="46" max="47" width="3.125" style="581" customWidth="1"/>
    <col min="48" max="52" width="3.125" style="23" customWidth="1"/>
    <col min="53" max="54" width="3.125" style="581" customWidth="1"/>
    <col min="55" max="59" width="3.125" style="23" customWidth="1"/>
    <col min="60" max="61" width="3.125" style="581" customWidth="1"/>
  </cols>
  <sheetData>
    <row r="1" spans="1:61" s="23" customFormat="1" ht="37.5" customHeight="1">
      <c r="A1" s="1045" t="str">
        <f>S.General.RulemakingTitle</f>
        <v>Greenhouse gas permitting</v>
      </c>
      <c r="B1" s="1045"/>
      <c r="C1" s="1045"/>
      <c r="D1" s="632"/>
      <c r="E1" s="75"/>
      <c r="F1" s="1042" t="str">
        <f>S.General.CodeName</f>
        <v>GHGTemp</v>
      </c>
      <c r="G1" s="1042"/>
      <c r="H1" s="1042"/>
      <c r="I1" s="1042"/>
      <c r="J1" s="1042"/>
      <c r="K1" s="75"/>
      <c r="L1" s="75"/>
      <c r="M1" s="75"/>
      <c r="N1" s="1048" t="s">
        <v>0</v>
      </c>
      <c r="O1" s="1048"/>
      <c r="P1" s="1048"/>
      <c r="Q1" s="1048"/>
      <c r="R1" s="1048"/>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46" t="s">
        <v>356</v>
      </c>
      <c r="B2" s="1046"/>
      <c r="C2" s="1046"/>
      <c r="D2" s="633"/>
      <c r="E2" s="591"/>
      <c r="F2" s="1041">
        <f ca="1">A3</f>
        <v>41892</v>
      </c>
      <c r="G2" s="1041"/>
      <c r="H2" s="1041"/>
      <c r="I2" s="1041"/>
      <c r="J2" s="1041"/>
      <c r="K2" s="1041"/>
      <c r="L2" s="1041"/>
      <c r="M2" s="1041">
        <f ca="1">M4</f>
        <v>41897</v>
      </c>
      <c r="N2" s="1041"/>
      <c r="O2" s="1041"/>
      <c r="P2" s="1041"/>
      <c r="Q2" s="1041"/>
      <c r="R2" s="1041"/>
      <c r="S2" s="1041"/>
      <c r="T2" s="1041">
        <f ca="1">T4</f>
        <v>41904</v>
      </c>
      <c r="U2" s="1041"/>
      <c r="V2" s="1041"/>
      <c r="W2" s="1041"/>
      <c r="X2" s="1041"/>
      <c r="Y2" s="1041"/>
      <c r="Z2" s="1041"/>
      <c r="AA2" s="1041">
        <f ca="1">AA4</f>
        <v>41911</v>
      </c>
      <c r="AB2" s="1041"/>
      <c r="AC2" s="1041"/>
      <c r="AD2" s="1041"/>
      <c r="AE2" s="1041"/>
      <c r="AF2" s="1041"/>
      <c r="AG2" s="1041"/>
      <c r="AH2" s="1041">
        <f ca="1">AH4</f>
        <v>41918</v>
      </c>
      <c r="AI2" s="1041"/>
      <c r="AJ2" s="1041"/>
      <c r="AK2" s="1041"/>
      <c r="AL2" s="1041"/>
      <c r="AM2" s="1041"/>
      <c r="AN2" s="1041"/>
      <c r="AO2" s="1041">
        <f ca="1">AO4</f>
        <v>41925</v>
      </c>
      <c r="AP2" s="1041"/>
      <c r="AQ2" s="1041"/>
      <c r="AR2" s="1041"/>
      <c r="AS2" s="1041"/>
      <c r="AT2" s="1041"/>
      <c r="AU2" s="1041"/>
      <c r="AV2" s="1041">
        <f ca="1">AV4</f>
        <v>41932</v>
      </c>
      <c r="AW2" s="1041"/>
      <c r="AX2" s="1041"/>
      <c r="AY2" s="1041"/>
      <c r="AZ2" s="1041"/>
      <c r="BA2" s="1041"/>
      <c r="BB2" s="1041"/>
      <c r="BC2" s="1041">
        <f ca="1">BC4</f>
        <v>41939</v>
      </c>
      <c r="BD2" s="1041"/>
      <c r="BE2" s="1041"/>
      <c r="BF2" s="1041"/>
      <c r="BG2" s="1041"/>
      <c r="BH2" s="1041"/>
      <c r="BI2" s="1041"/>
    </row>
    <row r="3" spans="1:61" ht="18.75" thickBot="1">
      <c r="A3" s="1047">
        <f ca="1">TODAY()+E4</f>
        <v>41892</v>
      </c>
      <c r="B3" s="1047"/>
      <c r="C3" s="1047"/>
      <c r="D3" s="634"/>
      <c r="F3" s="580" t="s">
        <v>352</v>
      </c>
      <c r="G3" s="580" t="s">
        <v>21</v>
      </c>
      <c r="H3" s="580" t="s">
        <v>20</v>
      </c>
      <c r="I3" s="580" t="s">
        <v>21</v>
      </c>
      <c r="J3" s="580" t="s">
        <v>353</v>
      </c>
      <c r="K3" s="584" t="s">
        <v>354</v>
      </c>
      <c r="L3" s="584" t="s">
        <v>354</v>
      </c>
      <c r="M3" s="580" t="s">
        <v>352</v>
      </c>
      <c r="N3" s="580" t="s">
        <v>21</v>
      </c>
      <c r="O3" s="580" t="s">
        <v>20</v>
      </c>
      <c r="P3" s="580" t="s">
        <v>21</v>
      </c>
      <c r="Q3" s="580" t="s">
        <v>353</v>
      </c>
      <c r="R3" s="582" t="s">
        <v>354</v>
      </c>
      <c r="S3" s="582" t="s">
        <v>354</v>
      </c>
      <c r="T3" s="580" t="s">
        <v>352</v>
      </c>
      <c r="U3" s="580" t="s">
        <v>21</v>
      </c>
      <c r="V3" s="580" t="s">
        <v>20</v>
      </c>
      <c r="W3" s="580" t="s">
        <v>21</v>
      </c>
      <c r="X3" s="580" t="s">
        <v>353</v>
      </c>
      <c r="Y3" s="582" t="s">
        <v>354</v>
      </c>
      <c r="Z3" s="582" t="s">
        <v>354</v>
      </c>
      <c r="AA3" s="580" t="s">
        <v>352</v>
      </c>
      <c r="AB3" s="580" t="s">
        <v>21</v>
      </c>
      <c r="AC3" s="580" t="s">
        <v>20</v>
      </c>
      <c r="AD3" s="580" t="s">
        <v>21</v>
      </c>
      <c r="AE3" s="580" t="s">
        <v>353</v>
      </c>
      <c r="AF3" s="582" t="s">
        <v>354</v>
      </c>
      <c r="AG3" s="582" t="s">
        <v>354</v>
      </c>
      <c r="AH3" s="580" t="s">
        <v>352</v>
      </c>
      <c r="AI3" s="580" t="s">
        <v>21</v>
      </c>
      <c r="AJ3" s="580" t="s">
        <v>20</v>
      </c>
      <c r="AK3" s="580" t="s">
        <v>21</v>
      </c>
      <c r="AL3" s="580" t="s">
        <v>353</v>
      </c>
      <c r="AM3" s="582" t="s">
        <v>354</v>
      </c>
      <c r="AN3" s="582" t="s">
        <v>354</v>
      </c>
      <c r="AO3" s="580" t="s">
        <v>352</v>
      </c>
      <c r="AP3" s="580" t="s">
        <v>21</v>
      </c>
      <c r="AQ3" s="580" t="s">
        <v>20</v>
      </c>
      <c r="AR3" s="580" t="s">
        <v>21</v>
      </c>
      <c r="AS3" s="580" t="s">
        <v>353</v>
      </c>
      <c r="AT3" s="582" t="s">
        <v>354</v>
      </c>
      <c r="AU3" s="582" t="s">
        <v>354</v>
      </c>
      <c r="AV3" s="580" t="s">
        <v>352</v>
      </c>
      <c r="AW3" s="580" t="s">
        <v>21</v>
      </c>
      <c r="AX3" s="580" t="s">
        <v>20</v>
      </c>
      <c r="AY3" s="580" t="s">
        <v>21</v>
      </c>
      <c r="AZ3" s="580" t="s">
        <v>353</v>
      </c>
      <c r="BA3" s="582" t="s">
        <v>354</v>
      </c>
      <c r="BB3" s="582" t="s">
        <v>354</v>
      </c>
      <c r="BC3" s="580" t="s">
        <v>352</v>
      </c>
      <c r="BD3" s="580" t="s">
        <v>21</v>
      </c>
      <c r="BE3" s="580" t="s">
        <v>20</v>
      </c>
      <c r="BF3" s="580" t="s">
        <v>21</v>
      </c>
      <c r="BG3" s="580" t="s">
        <v>353</v>
      </c>
      <c r="BH3" s="582" t="s">
        <v>354</v>
      </c>
      <c r="BI3" s="582" t="s">
        <v>354</v>
      </c>
    </row>
    <row r="4" spans="1:61" s="23" customFormat="1" ht="16.5" thickBot="1">
      <c r="A4" s="1043" t="s">
        <v>355</v>
      </c>
      <c r="B4" s="1043"/>
      <c r="C4" s="1044"/>
      <c r="D4" s="631"/>
      <c r="E4" s="585">
        <v>0</v>
      </c>
      <c r="F4" s="586" t="str">
        <f ca="1">IF(WEEKDAY($A$3,3)&lt;&gt;0,"-",$A$3)</f>
        <v>-</v>
      </c>
      <c r="G4" s="586" t="str">
        <f ca="1">IF(WEEKDAY($A$3,3)=1,$A$3,IF(WEEKDAY($A$3,3)&lt;1,F4+1,"-"))</f>
        <v>-</v>
      </c>
      <c r="H4" s="586">
        <f ca="1">IF(WEEKDAY($A$3,3)=2,$A$3,IF(WEEKDAY($A$3,3)&lt;2,G4+1,"-"))</f>
        <v>41892</v>
      </c>
      <c r="I4" s="586">
        <f ca="1">IF(WEEKDAY($A$3,3)=3,$A$3,IF(WEEKDAY($A$3,3)&lt;3,H4+1,"-"))</f>
        <v>41893</v>
      </c>
      <c r="J4" s="586">
        <f ca="1">IF(WEEKDAY($A$3,3)=4,$A$3,IF(WEEKDAY($A$3,3)&lt;4,I4+1,"-"))</f>
        <v>41894</v>
      </c>
      <c r="K4" s="587">
        <f ca="1">IF(WEEKDAY($A$3,3)=5,$A$3,IF(WEEKDAY($A$3,3)&lt;5,J4+1,"-"))</f>
        <v>41895</v>
      </c>
      <c r="L4" s="587">
        <f ca="1">IF(WEEKDAY($A$3,3)=6,$A$3,IF(WEEKDAY($A$3,3)&lt;6,K4+1,"-"))</f>
        <v>41896</v>
      </c>
      <c r="M4" s="588">
        <f ca="1">L4+1</f>
        <v>41897</v>
      </c>
      <c r="N4" s="588">
        <f t="shared" ref="N4:AG4" ca="1" si="0">M4+1</f>
        <v>41898</v>
      </c>
      <c r="O4" s="588">
        <f t="shared" ca="1" si="0"/>
        <v>41899</v>
      </c>
      <c r="P4" s="588">
        <f t="shared" ca="1" si="0"/>
        <v>41900</v>
      </c>
      <c r="Q4" s="588">
        <f t="shared" ca="1" si="0"/>
        <v>41901</v>
      </c>
      <c r="R4" s="589">
        <f t="shared" ca="1" si="0"/>
        <v>41902</v>
      </c>
      <c r="S4" s="589">
        <f t="shared" ca="1" si="0"/>
        <v>41903</v>
      </c>
      <c r="T4" s="588">
        <f t="shared" ca="1" si="0"/>
        <v>41904</v>
      </c>
      <c r="U4" s="588">
        <f t="shared" ca="1" si="0"/>
        <v>41905</v>
      </c>
      <c r="V4" s="588">
        <f t="shared" ca="1" si="0"/>
        <v>41906</v>
      </c>
      <c r="W4" s="588">
        <f t="shared" ca="1" si="0"/>
        <v>41907</v>
      </c>
      <c r="X4" s="588">
        <f t="shared" ca="1" si="0"/>
        <v>41908</v>
      </c>
      <c r="Y4" s="589">
        <f t="shared" ca="1" si="0"/>
        <v>41909</v>
      </c>
      <c r="Z4" s="589">
        <f t="shared" ca="1" si="0"/>
        <v>41910</v>
      </c>
      <c r="AA4" s="588">
        <f t="shared" ca="1" si="0"/>
        <v>41911</v>
      </c>
      <c r="AB4" s="588">
        <f t="shared" ca="1" si="0"/>
        <v>41912</v>
      </c>
      <c r="AC4" s="588">
        <f t="shared" ca="1" si="0"/>
        <v>41913</v>
      </c>
      <c r="AD4" s="588">
        <f t="shared" ca="1" si="0"/>
        <v>41914</v>
      </c>
      <c r="AE4" s="588">
        <f t="shared" ca="1" si="0"/>
        <v>41915</v>
      </c>
      <c r="AF4" s="589">
        <f t="shared" ca="1" si="0"/>
        <v>41916</v>
      </c>
      <c r="AG4" s="589">
        <f t="shared" ca="1" si="0"/>
        <v>41917</v>
      </c>
      <c r="AH4" s="588">
        <f t="shared" ref="AH4:BI4" ca="1" si="1">AG4+1</f>
        <v>41918</v>
      </c>
      <c r="AI4" s="588">
        <f t="shared" ca="1" si="1"/>
        <v>41919</v>
      </c>
      <c r="AJ4" s="588">
        <f t="shared" ca="1" si="1"/>
        <v>41920</v>
      </c>
      <c r="AK4" s="588">
        <f t="shared" ca="1" si="1"/>
        <v>41921</v>
      </c>
      <c r="AL4" s="588">
        <f t="shared" ca="1" si="1"/>
        <v>41922</v>
      </c>
      <c r="AM4" s="589">
        <f t="shared" ca="1" si="1"/>
        <v>41923</v>
      </c>
      <c r="AN4" s="589">
        <f t="shared" ca="1" si="1"/>
        <v>41924</v>
      </c>
      <c r="AO4" s="588">
        <f t="shared" ca="1" si="1"/>
        <v>41925</v>
      </c>
      <c r="AP4" s="588">
        <f t="shared" ca="1" si="1"/>
        <v>41926</v>
      </c>
      <c r="AQ4" s="588">
        <f t="shared" ca="1" si="1"/>
        <v>41927</v>
      </c>
      <c r="AR4" s="588">
        <f t="shared" ca="1" si="1"/>
        <v>41928</v>
      </c>
      <c r="AS4" s="588">
        <f t="shared" ca="1" si="1"/>
        <v>41929</v>
      </c>
      <c r="AT4" s="589">
        <f t="shared" ca="1" si="1"/>
        <v>41930</v>
      </c>
      <c r="AU4" s="589">
        <f t="shared" ca="1" si="1"/>
        <v>41931</v>
      </c>
      <c r="AV4" s="588">
        <f t="shared" ca="1" si="1"/>
        <v>41932</v>
      </c>
      <c r="AW4" s="588">
        <f t="shared" ca="1" si="1"/>
        <v>41933</v>
      </c>
      <c r="AX4" s="588">
        <f t="shared" ca="1" si="1"/>
        <v>41934</v>
      </c>
      <c r="AY4" s="588">
        <f t="shared" ca="1" si="1"/>
        <v>41935</v>
      </c>
      <c r="AZ4" s="588">
        <f t="shared" ca="1" si="1"/>
        <v>41936</v>
      </c>
      <c r="BA4" s="589">
        <f t="shared" ca="1" si="1"/>
        <v>41937</v>
      </c>
      <c r="BB4" s="589">
        <f t="shared" ca="1" si="1"/>
        <v>41938</v>
      </c>
      <c r="BC4" s="588">
        <f t="shared" ca="1" si="1"/>
        <v>41939</v>
      </c>
      <c r="BD4" s="588">
        <f t="shared" ca="1" si="1"/>
        <v>41940</v>
      </c>
      <c r="BE4" s="588">
        <f t="shared" ca="1" si="1"/>
        <v>41941</v>
      </c>
      <c r="BF4" s="588">
        <f t="shared" ca="1" si="1"/>
        <v>41942</v>
      </c>
      <c r="BG4" s="588">
        <f t="shared" ca="1" si="1"/>
        <v>41943</v>
      </c>
      <c r="BH4" s="589">
        <f t="shared" ca="1" si="1"/>
        <v>41944</v>
      </c>
      <c r="BI4" s="589">
        <f t="shared" ca="1" si="1"/>
        <v>41945</v>
      </c>
    </row>
    <row r="5" spans="1:61" ht="15.75">
      <c r="A5" s="599" t="s">
        <v>0</v>
      </c>
      <c r="B5" s="600" t="s">
        <v>56</v>
      </c>
      <c r="C5" s="600" t="s">
        <v>171</v>
      </c>
      <c r="D5" s="600"/>
      <c r="E5" s="75"/>
      <c r="F5" s="75"/>
      <c r="G5" s="75"/>
      <c r="H5" s="75"/>
      <c r="I5" s="75"/>
      <c r="J5" s="75"/>
      <c r="K5" s="592"/>
      <c r="L5" s="592"/>
      <c r="M5" s="75"/>
      <c r="N5" s="75"/>
      <c r="O5" s="75"/>
      <c r="P5" s="75"/>
      <c r="Q5" s="75"/>
      <c r="R5" s="593"/>
      <c r="S5" s="593"/>
      <c r="T5" s="75"/>
      <c r="U5" s="75"/>
      <c r="V5" s="75"/>
      <c r="W5" s="75"/>
      <c r="X5" s="75"/>
      <c r="Y5" s="593"/>
      <c r="Z5" s="593"/>
      <c r="AA5" s="75"/>
      <c r="AB5" s="75"/>
      <c r="AC5" s="75"/>
      <c r="AD5" s="75"/>
      <c r="AE5" s="75"/>
      <c r="AF5" s="593"/>
      <c r="AG5" s="593"/>
      <c r="AH5" s="75"/>
      <c r="AI5" s="75"/>
      <c r="AJ5" s="75"/>
      <c r="AK5" s="75"/>
      <c r="AL5" s="75"/>
      <c r="AM5" s="593"/>
      <c r="AN5" s="593"/>
      <c r="AO5" s="75"/>
      <c r="AP5" s="75"/>
      <c r="AQ5" s="75"/>
      <c r="AR5" s="75"/>
      <c r="AS5" s="75"/>
      <c r="AT5" s="593"/>
      <c r="AU5" s="593"/>
      <c r="AV5" s="75"/>
      <c r="AW5" s="75"/>
      <c r="AX5" s="75"/>
      <c r="AY5" s="75"/>
      <c r="AZ5" s="75"/>
      <c r="BA5" s="593"/>
      <c r="BB5" s="593"/>
      <c r="BC5" s="75"/>
      <c r="BD5" s="75"/>
      <c r="BE5" s="75"/>
      <c r="BF5" s="75"/>
      <c r="BG5" s="75"/>
      <c r="BH5" s="593"/>
      <c r="BI5" s="593"/>
    </row>
    <row r="6" spans="1:61" ht="15.75">
      <c r="A6" s="601" t="s">
        <v>466</v>
      </c>
      <c r="B6" s="602" t="s">
        <v>0</v>
      </c>
      <c r="C6" s="602" t="s">
        <v>0</v>
      </c>
      <c r="D6" s="602"/>
      <c r="E6" s="597">
        <f ca="1">IF($C6&gt;=$A$3,0,1)</f>
        <v>0</v>
      </c>
      <c r="F6" s="145" t="s">
        <v>0</v>
      </c>
      <c r="G6" s="40"/>
      <c r="H6" s="40"/>
      <c r="I6" s="40"/>
      <c r="J6" s="40"/>
      <c r="K6" s="594"/>
      <c r="L6" s="594"/>
      <c r="M6" s="40"/>
      <c r="N6" s="40"/>
      <c r="O6" s="40"/>
      <c r="P6" s="40"/>
      <c r="Q6" s="40"/>
      <c r="R6" s="595"/>
      <c r="S6" s="595"/>
      <c r="T6" s="40"/>
      <c r="U6" s="40"/>
      <c r="V6" s="40"/>
      <c r="W6" s="40"/>
      <c r="X6" s="40"/>
      <c r="Y6" s="595"/>
      <c r="Z6" s="595"/>
      <c r="AA6" s="40"/>
      <c r="AB6" s="40"/>
      <c r="AC6" s="40"/>
      <c r="AD6" s="40"/>
      <c r="AE6" s="40"/>
      <c r="AF6" s="595"/>
      <c r="AG6" s="595"/>
      <c r="AH6" s="40"/>
      <c r="AI6" s="40"/>
      <c r="AJ6" s="40"/>
      <c r="AK6" s="40"/>
      <c r="AL6" s="40"/>
      <c r="AM6" s="595"/>
      <c r="AN6" s="595"/>
      <c r="AO6" s="40"/>
      <c r="AP6" s="40"/>
      <c r="AQ6" s="40"/>
      <c r="AR6" s="40"/>
      <c r="AS6" s="40"/>
      <c r="AT6" s="595"/>
      <c r="AU6" s="595"/>
      <c r="AV6" s="40"/>
      <c r="AW6" s="40"/>
      <c r="AX6" s="40"/>
      <c r="AY6" s="40"/>
      <c r="AZ6" s="40"/>
      <c r="BA6" s="595"/>
      <c r="BB6" s="595"/>
      <c r="BC6" s="40"/>
      <c r="BD6" s="40"/>
      <c r="BE6" s="40"/>
      <c r="BF6" s="40"/>
      <c r="BG6" s="40"/>
      <c r="BH6" s="595"/>
      <c r="BI6" s="595"/>
    </row>
    <row r="7" spans="1:61" s="23" customFormat="1" ht="15.75">
      <c r="A7" s="644" t="s">
        <v>426</v>
      </c>
      <c r="B7" s="603">
        <f>S.QtimeStart</f>
        <v>0</v>
      </c>
      <c r="C7" s="603">
        <f>S.QtimeEnd</f>
        <v>0</v>
      </c>
      <c r="D7" s="603"/>
      <c r="E7" s="597">
        <f t="shared" ref="E7:E57" ca="1" si="2">IF($C7&gt;=$A$3,0,1)</f>
        <v>1</v>
      </c>
      <c r="F7" s="40"/>
      <c r="G7" s="40"/>
      <c r="H7" s="40"/>
      <c r="I7" s="40"/>
      <c r="J7" s="40"/>
      <c r="K7" s="594"/>
      <c r="L7" s="594"/>
      <c r="M7" s="40"/>
      <c r="N7" s="40"/>
      <c r="O7" s="40"/>
      <c r="P7" s="40"/>
      <c r="Q7" s="40"/>
      <c r="R7" s="595"/>
      <c r="S7" s="595"/>
      <c r="T7" s="40"/>
      <c r="U7" s="40"/>
      <c r="V7" s="40"/>
      <c r="W7" s="40"/>
      <c r="X7" s="40"/>
      <c r="Y7" s="595"/>
      <c r="Z7" s="595"/>
      <c r="AA7" s="40"/>
      <c r="AB7" s="40"/>
      <c r="AC7" s="40"/>
      <c r="AD7" s="40"/>
      <c r="AE7" s="40"/>
      <c r="AF7" s="595"/>
      <c r="AG7" s="595"/>
      <c r="AH7" s="40"/>
      <c r="AI7" s="40"/>
      <c r="AJ7" s="40"/>
      <c r="AK7" s="40"/>
      <c r="AL7" s="40"/>
      <c r="AM7" s="595"/>
      <c r="AN7" s="595"/>
      <c r="AO7" s="40"/>
      <c r="AP7" s="40"/>
      <c r="AQ7" s="40"/>
      <c r="AR7" s="40"/>
      <c r="AS7" s="40"/>
      <c r="AT7" s="595"/>
      <c r="AU7" s="595"/>
      <c r="AV7" s="40"/>
      <c r="AW7" s="40"/>
      <c r="AX7" s="40"/>
      <c r="AY7" s="40"/>
      <c r="AZ7" s="40"/>
      <c r="BA7" s="595"/>
      <c r="BB7" s="595"/>
      <c r="BC7" s="40"/>
      <c r="BD7" s="40"/>
      <c r="BE7" s="40"/>
      <c r="BF7" s="40"/>
      <c r="BG7" s="40"/>
      <c r="BH7" s="595"/>
      <c r="BI7" s="595"/>
    </row>
    <row r="8" spans="1:61" s="23" customFormat="1" ht="15.75">
      <c r="A8" s="644" t="s">
        <v>427</v>
      </c>
      <c r="B8" s="603">
        <f>S.Planning.AddConceptToPlanDate</f>
        <v>0</v>
      </c>
      <c r="C8" s="603">
        <f>B8</f>
        <v>0</v>
      </c>
      <c r="D8" s="603"/>
      <c r="E8" s="597">
        <f t="shared" ca="1" si="2"/>
        <v>1</v>
      </c>
      <c r="F8" s="40"/>
      <c r="G8" s="40"/>
      <c r="H8" s="40"/>
      <c r="I8" s="40"/>
      <c r="J8" s="40"/>
      <c r="K8" s="594"/>
      <c r="L8" s="594"/>
      <c r="M8" s="40"/>
      <c r="N8" s="40"/>
      <c r="O8" s="40"/>
      <c r="P8" s="40"/>
      <c r="Q8" s="40"/>
      <c r="R8" s="595"/>
      <c r="S8" s="595"/>
      <c r="T8" s="40"/>
      <c r="U8" s="40"/>
      <c r="V8" s="40"/>
      <c r="W8" s="40"/>
      <c r="X8" s="40"/>
      <c r="Y8" s="595"/>
      <c r="Z8" s="595"/>
      <c r="AA8" s="40"/>
      <c r="AB8" s="40"/>
      <c r="AC8" s="40"/>
      <c r="AD8" s="40"/>
      <c r="AE8" s="40"/>
      <c r="AF8" s="595"/>
      <c r="AG8" s="595"/>
      <c r="AH8" s="40"/>
      <c r="AI8" s="40"/>
      <c r="AJ8" s="40"/>
      <c r="AK8" s="40"/>
      <c r="AL8" s="40"/>
      <c r="AM8" s="595"/>
      <c r="AN8" s="595"/>
      <c r="AO8" s="40"/>
      <c r="AP8" s="40"/>
      <c r="AQ8" s="40"/>
      <c r="AR8" s="40"/>
      <c r="AS8" s="40"/>
      <c r="AT8" s="595"/>
      <c r="AU8" s="595"/>
      <c r="AV8" s="40"/>
      <c r="AW8" s="40"/>
      <c r="AX8" s="40"/>
      <c r="AY8" s="40"/>
      <c r="AZ8" s="40"/>
      <c r="BA8" s="595"/>
      <c r="BB8" s="595"/>
      <c r="BC8" s="40"/>
      <c r="BD8" s="40"/>
      <c r="BE8" s="40"/>
      <c r="BF8" s="40"/>
      <c r="BG8" s="40"/>
      <c r="BH8" s="595"/>
      <c r="BI8" s="595"/>
    </row>
    <row r="9" spans="1:61" ht="15.75">
      <c r="A9" s="644" t="s">
        <v>428</v>
      </c>
      <c r="B9" s="603">
        <f>S.PlanningKickoff</f>
        <v>0</v>
      </c>
      <c r="C9" s="603">
        <f>B9</f>
        <v>0</v>
      </c>
      <c r="D9" s="603"/>
      <c r="E9" s="597">
        <f t="shared" ca="1" si="2"/>
        <v>1</v>
      </c>
      <c r="F9" s="40"/>
      <c r="G9" s="40"/>
      <c r="H9" s="40"/>
      <c r="I9" s="40"/>
      <c r="J9" s="40"/>
      <c r="K9" s="594"/>
      <c r="L9" s="594"/>
      <c r="M9" s="40"/>
      <c r="N9" s="40"/>
      <c r="O9" s="40"/>
      <c r="P9" s="40"/>
      <c r="Q9" s="40"/>
      <c r="R9" s="595"/>
      <c r="S9" s="595"/>
      <c r="T9" s="40"/>
      <c r="U9" s="40"/>
      <c r="V9" s="40"/>
      <c r="W9" s="40"/>
      <c r="X9" s="40"/>
      <c r="Y9" s="595"/>
      <c r="Z9" s="595"/>
      <c r="AA9" s="40"/>
      <c r="AB9" s="40"/>
      <c r="AC9" s="40"/>
      <c r="AD9" s="40"/>
      <c r="AE9" s="40"/>
      <c r="AF9" s="595"/>
      <c r="AG9" s="595"/>
      <c r="AH9" s="40"/>
      <c r="AI9" s="40"/>
      <c r="AJ9" s="40"/>
      <c r="AK9" s="40"/>
      <c r="AL9" s="40"/>
      <c r="AM9" s="595"/>
      <c r="AN9" s="595"/>
      <c r="AO9" s="40"/>
      <c r="AP9" s="40"/>
      <c r="AQ9" s="40"/>
      <c r="AR9" s="40"/>
      <c r="AS9" s="40"/>
      <c r="AT9" s="595"/>
      <c r="AU9" s="595"/>
      <c r="AV9" s="40"/>
      <c r="AW9" s="40"/>
      <c r="AX9" s="40"/>
      <c r="AY9" s="40"/>
      <c r="AZ9" s="40"/>
      <c r="BA9" s="595"/>
      <c r="BB9" s="595"/>
      <c r="BC9" s="40"/>
      <c r="BD9" s="40"/>
      <c r="BE9" s="40"/>
      <c r="BF9" s="40"/>
      <c r="BG9" s="40"/>
      <c r="BH9" s="595"/>
      <c r="BI9" s="595"/>
    </row>
    <row r="10" spans="1:61" ht="15.75">
      <c r="A10" s="604" t="s">
        <v>429</v>
      </c>
      <c r="B10" s="603" t="s">
        <v>0</v>
      </c>
      <c r="C10" s="603" t="s">
        <v>0</v>
      </c>
      <c r="D10" s="603"/>
      <c r="E10" s="597">
        <f t="shared" ca="1" si="2"/>
        <v>0</v>
      </c>
      <c r="F10" s="40"/>
      <c r="G10" s="40"/>
      <c r="H10" s="40"/>
      <c r="I10" s="40"/>
      <c r="J10" s="596"/>
      <c r="K10" s="594"/>
      <c r="L10" s="594"/>
      <c r="M10" s="40"/>
      <c r="N10" s="40"/>
      <c r="O10" s="40"/>
      <c r="P10" s="40"/>
      <c r="Q10" s="40"/>
      <c r="R10" s="595"/>
      <c r="S10" s="595"/>
      <c r="T10" s="40"/>
      <c r="U10" s="40"/>
      <c r="V10" s="40"/>
      <c r="W10" s="40"/>
      <c r="X10" s="40"/>
      <c r="Y10" s="595"/>
      <c r="Z10" s="595"/>
      <c r="AA10" s="40"/>
      <c r="AB10" s="40"/>
      <c r="AC10" s="40"/>
      <c r="AD10" s="40"/>
      <c r="AE10" s="40"/>
      <c r="AF10" s="595"/>
      <c r="AG10" s="595"/>
      <c r="AH10" s="40"/>
      <c r="AI10" s="40"/>
      <c r="AJ10" s="40"/>
      <c r="AK10" s="40"/>
      <c r="AL10" s="40"/>
      <c r="AM10" s="595"/>
      <c r="AN10" s="595"/>
      <c r="AO10" s="40"/>
      <c r="AP10" s="40"/>
      <c r="AQ10" s="40"/>
      <c r="AR10" s="40"/>
      <c r="AS10" s="40"/>
      <c r="AT10" s="595"/>
      <c r="AU10" s="595"/>
      <c r="AV10" s="40"/>
      <c r="AW10" s="40"/>
      <c r="AX10" s="40"/>
      <c r="AY10" s="40"/>
      <c r="AZ10" s="40"/>
      <c r="BA10" s="595"/>
      <c r="BB10" s="595"/>
      <c r="BC10" s="40"/>
      <c r="BD10" s="40"/>
      <c r="BE10" s="40"/>
      <c r="BF10" s="40"/>
      <c r="BG10" s="40"/>
      <c r="BH10" s="595"/>
      <c r="BI10" s="595"/>
    </row>
    <row r="11" spans="1:61" s="23" customFormat="1" ht="15.75">
      <c r="A11" s="644" t="s">
        <v>430</v>
      </c>
      <c r="B11" s="603">
        <f>S.Planning.DraftWorkbooksStart</f>
        <v>0</v>
      </c>
      <c r="C11" s="603">
        <f>S.Planning.DraftWorkbooksEnd</f>
        <v>0</v>
      </c>
      <c r="D11" s="603"/>
      <c r="E11" s="597">
        <f t="shared" ca="1" si="2"/>
        <v>1</v>
      </c>
      <c r="F11" s="40"/>
      <c r="G11" s="40"/>
      <c r="H11" s="40"/>
      <c r="I11" s="40"/>
      <c r="J11" s="40"/>
      <c r="K11" s="594"/>
      <c r="L11" s="594"/>
      <c r="M11" s="40"/>
      <c r="N11" s="40"/>
      <c r="O11" s="40"/>
      <c r="P11" s="40"/>
      <c r="Q11" s="40"/>
      <c r="R11" s="595"/>
      <c r="S11" s="595"/>
      <c r="T11" s="40"/>
      <c r="U11" s="40"/>
      <c r="V11" s="40"/>
      <c r="W11" s="40"/>
      <c r="X11" s="40"/>
      <c r="Y11" s="595"/>
      <c r="Z11" s="595"/>
      <c r="AA11" s="40"/>
      <c r="AB11" s="40"/>
      <c r="AC11" s="40"/>
      <c r="AD11" s="40"/>
      <c r="AE11" s="40"/>
      <c r="AF11" s="595"/>
      <c r="AG11" s="595"/>
      <c r="AH11" s="40"/>
      <c r="AI11" s="40"/>
      <c r="AJ11" s="40"/>
      <c r="AK11" s="40"/>
      <c r="AL11" s="40"/>
      <c r="AM11" s="595"/>
      <c r="AN11" s="595"/>
      <c r="AO11" s="40"/>
      <c r="AP11" s="40"/>
      <c r="AQ11" s="40"/>
      <c r="AR11" s="40"/>
      <c r="AS11" s="40"/>
      <c r="AT11" s="595"/>
      <c r="AU11" s="595"/>
      <c r="AV11" s="40"/>
      <c r="AW11" s="40"/>
      <c r="AX11" s="40"/>
      <c r="AY11" s="40"/>
      <c r="AZ11" s="40"/>
      <c r="BA11" s="595"/>
      <c r="BB11" s="595"/>
      <c r="BC11" s="40"/>
      <c r="BD11" s="40"/>
      <c r="BE11" s="40"/>
      <c r="BF11" s="40"/>
      <c r="BG11" s="40"/>
      <c r="BH11" s="595"/>
      <c r="BI11" s="595"/>
    </row>
    <row r="12" spans="1:61" ht="15.75">
      <c r="A12" s="644" t="s">
        <v>431</v>
      </c>
      <c r="B12" s="603">
        <f>S.Planning.CommunicationMeeting</f>
        <v>0</v>
      </c>
      <c r="C12" s="603">
        <f>B12</f>
        <v>0</v>
      </c>
      <c r="D12" s="603"/>
      <c r="E12" s="597">
        <f t="shared" ca="1" si="2"/>
        <v>1</v>
      </c>
      <c r="F12" s="40"/>
      <c r="G12" s="40"/>
      <c r="H12" s="40"/>
      <c r="I12" s="40"/>
      <c r="J12" s="40"/>
      <c r="K12" s="594"/>
      <c r="L12" s="594"/>
      <c r="M12" s="40"/>
      <c r="N12" s="40"/>
      <c r="O12" s="40"/>
      <c r="P12" s="40"/>
      <c r="Q12" s="40"/>
      <c r="R12" s="595"/>
      <c r="S12" s="595"/>
      <c r="T12" s="40"/>
      <c r="U12" s="40"/>
      <c r="V12" s="40"/>
      <c r="W12" s="40"/>
      <c r="X12" s="40"/>
      <c r="Y12" s="595"/>
      <c r="Z12" s="595"/>
      <c r="AA12" s="40"/>
      <c r="AB12" s="40"/>
      <c r="AC12" s="40"/>
      <c r="AD12" s="40"/>
      <c r="AE12" s="40"/>
      <c r="AF12" s="595"/>
      <c r="AG12" s="595"/>
      <c r="AH12" s="40"/>
      <c r="AI12" s="40"/>
      <c r="AJ12" s="40"/>
      <c r="AK12" s="40"/>
      <c r="AL12" s="40"/>
      <c r="AM12" s="595"/>
      <c r="AN12" s="595"/>
      <c r="AO12" s="40"/>
      <c r="AP12" s="40"/>
      <c r="AQ12" s="40"/>
      <c r="AR12" s="40"/>
      <c r="AS12" s="40"/>
      <c r="AT12" s="595"/>
      <c r="AU12" s="595"/>
      <c r="AV12" s="40"/>
      <c r="AW12" s="40"/>
      <c r="AX12" s="40"/>
      <c r="AY12" s="40"/>
      <c r="AZ12" s="40"/>
      <c r="BA12" s="595"/>
      <c r="BB12" s="595"/>
      <c r="BC12" s="40"/>
      <c r="BD12" s="40"/>
      <c r="BE12" s="40"/>
      <c r="BF12" s="40"/>
      <c r="BG12" s="40"/>
      <c r="BH12" s="595"/>
      <c r="BI12" s="595"/>
    </row>
    <row r="13" spans="1:61" s="23" customFormat="1" ht="15.75">
      <c r="A13" s="601" t="s">
        <v>468</v>
      </c>
      <c r="B13" s="603">
        <f>S.DIRECTOR.Approves.ForDEQRulemakingPlan</f>
        <v>0</v>
      </c>
      <c r="C13" s="603">
        <f>S.Overview.BANNER.End</f>
        <v>42038</v>
      </c>
      <c r="D13" s="603"/>
      <c r="E13" s="597">
        <f t="shared" ca="1" si="2"/>
        <v>0</v>
      </c>
      <c r="F13" s="40"/>
      <c r="G13" s="40"/>
      <c r="H13" s="40"/>
      <c r="I13" s="40"/>
      <c r="J13" s="40"/>
      <c r="K13" s="594"/>
      <c r="L13" s="594"/>
      <c r="M13" s="40"/>
      <c r="N13" s="40"/>
      <c r="O13" s="40"/>
      <c r="P13" s="40"/>
      <c r="Q13" s="40"/>
      <c r="R13" s="595"/>
      <c r="S13" s="595"/>
      <c r="T13" s="40"/>
      <c r="U13" s="40"/>
      <c r="V13" s="40"/>
      <c r="W13" s="40"/>
      <c r="X13" s="40"/>
      <c r="Y13" s="595"/>
      <c r="Z13" s="595"/>
      <c r="AA13" s="40"/>
      <c r="AB13" s="40"/>
      <c r="AC13" s="40"/>
      <c r="AD13" s="40"/>
      <c r="AE13" s="40"/>
      <c r="AF13" s="595"/>
      <c r="AG13" s="595"/>
      <c r="AH13" s="40"/>
      <c r="AI13" s="40"/>
      <c r="AJ13" s="40"/>
      <c r="AK13" s="40"/>
      <c r="AL13" s="40"/>
      <c r="AM13" s="595"/>
      <c r="AN13" s="595"/>
      <c r="AO13" s="40"/>
      <c r="AP13" s="40"/>
      <c r="AQ13" s="40"/>
      <c r="AR13" s="40"/>
      <c r="AS13" s="40"/>
      <c r="AT13" s="595"/>
      <c r="AU13" s="595"/>
      <c r="AV13" s="40"/>
      <c r="AW13" s="40"/>
      <c r="AX13" s="40"/>
      <c r="AY13" s="40"/>
      <c r="AZ13" s="40"/>
      <c r="BA13" s="595"/>
      <c r="BB13" s="595"/>
      <c r="BC13" s="40"/>
      <c r="BD13" s="40"/>
      <c r="BE13" s="40"/>
      <c r="BF13" s="40"/>
      <c r="BG13" s="40"/>
      <c r="BH13" s="595"/>
      <c r="BI13" s="595"/>
    </row>
    <row r="14" spans="1:61" s="23" customFormat="1" ht="15.75">
      <c r="A14" s="644" t="s">
        <v>469</v>
      </c>
      <c r="B14" s="603">
        <f>CodeName.ScheduleOfTasks!G272</f>
        <v>0</v>
      </c>
      <c r="C14" s="603">
        <f>CodeName.ScheduleOfTasks!H272</f>
        <v>0</v>
      </c>
      <c r="D14" s="603"/>
      <c r="E14" s="597">
        <f t="shared" ca="1" si="2"/>
        <v>1</v>
      </c>
      <c r="F14" s="40"/>
      <c r="G14" s="40"/>
      <c r="H14" s="40"/>
      <c r="I14" s="40"/>
      <c r="J14" s="40"/>
      <c r="K14" s="594"/>
      <c r="L14" s="594"/>
      <c r="M14" s="40"/>
      <c r="N14" s="40"/>
      <c r="O14" s="40"/>
      <c r="P14" s="40"/>
      <c r="Q14" s="40"/>
      <c r="R14" s="595"/>
      <c r="S14" s="595"/>
      <c r="T14" s="40"/>
      <c r="U14" s="40"/>
      <c r="V14" s="40"/>
      <c r="W14" s="40"/>
      <c r="X14" s="40"/>
      <c r="Y14" s="595"/>
      <c r="Z14" s="595"/>
      <c r="AA14" s="40"/>
      <c r="AB14" s="40"/>
      <c r="AC14" s="40"/>
      <c r="AD14" s="40"/>
      <c r="AE14" s="40"/>
      <c r="AF14" s="595"/>
      <c r="AG14" s="595"/>
      <c r="AH14" s="40"/>
      <c r="AI14" s="40"/>
      <c r="AJ14" s="40"/>
      <c r="AK14" s="40"/>
      <c r="AL14" s="40"/>
      <c r="AM14" s="595"/>
      <c r="AN14" s="595"/>
      <c r="AO14" s="40"/>
      <c r="AP14" s="40"/>
      <c r="AQ14" s="40"/>
      <c r="AR14" s="40"/>
      <c r="AS14" s="40"/>
      <c r="AT14" s="595"/>
      <c r="AU14" s="595"/>
      <c r="AV14" s="40"/>
      <c r="AW14" s="40"/>
      <c r="AX14" s="40"/>
      <c r="AY14" s="40"/>
      <c r="AZ14" s="40"/>
      <c r="BA14" s="595"/>
      <c r="BB14" s="595"/>
      <c r="BC14" s="40"/>
      <c r="BD14" s="40"/>
      <c r="BE14" s="40"/>
      <c r="BF14" s="40"/>
      <c r="BG14" s="40"/>
      <c r="BH14" s="595"/>
      <c r="BI14" s="595"/>
    </row>
    <row r="15" spans="1:61" s="23" customFormat="1" ht="15.75">
      <c r="A15" s="644" t="s">
        <v>470</v>
      </c>
      <c r="B15" s="603">
        <f>S.Notice.StartDraft</f>
        <v>0</v>
      </c>
      <c r="C15" s="603">
        <f>CodeName.ScheduleOfTasks!H600</f>
        <v>0</v>
      </c>
      <c r="D15" s="603"/>
      <c r="E15" s="597">
        <f t="shared" ca="1" si="2"/>
        <v>1</v>
      </c>
      <c r="F15" s="40"/>
      <c r="G15" s="40"/>
      <c r="H15" s="40"/>
      <c r="I15" s="40"/>
      <c r="J15" s="40"/>
      <c r="K15" s="594"/>
      <c r="L15" s="594"/>
      <c r="M15" s="40"/>
      <c r="N15" s="40"/>
      <c r="O15" s="40"/>
      <c r="P15" s="40"/>
      <c r="Q15" s="40"/>
      <c r="R15" s="595"/>
      <c r="S15" s="595"/>
      <c r="T15" s="40"/>
      <c r="U15" s="40"/>
      <c r="V15" s="40"/>
      <c r="W15" s="40"/>
      <c r="X15" s="40"/>
      <c r="Y15" s="595"/>
      <c r="Z15" s="595"/>
      <c r="AA15" s="40"/>
      <c r="AB15" s="40"/>
      <c r="AC15" s="40"/>
      <c r="AD15" s="40"/>
      <c r="AE15" s="40"/>
      <c r="AF15" s="595"/>
      <c r="AG15" s="595"/>
      <c r="AH15" s="40"/>
      <c r="AI15" s="40"/>
      <c r="AJ15" s="40"/>
      <c r="AK15" s="40"/>
      <c r="AL15" s="40"/>
      <c r="AM15" s="595"/>
      <c r="AN15" s="595"/>
      <c r="AO15" s="40"/>
      <c r="AP15" s="40"/>
      <c r="AQ15" s="40"/>
      <c r="AR15" s="40"/>
      <c r="AS15" s="40"/>
      <c r="AT15" s="595"/>
      <c r="AU15" s="595"/>
      <c r="AV15" s="40"/>
      <c r="AW15" s="40"/>
      <c r="AX15" s="40"/>
      <c r="AY15" s="40"/>
      <c r="AZ15" s="40"/>
      <c r="BA15" s="595"/>
      <c r="BB15" s="595"/>
      <c r="BC15" s="40"/>
      <c r="BD15" s="40"/>
      <c r="BE15" s="40"/>
      <c r="BF15" s="40"/>
      <c r="BG15" s="40"/>
      <c r="BH15" s="595"/>
      <c r="BI15" s="595"/>
    </row>
    <row r="16" spans="1:61" s="23" customFormat="1" ht="15.75">
      <c r="A16" s="644" t="s">
        <v>471</v>
      </c>
      <c r="B16" s="603">
        <f>CodeName.ScheduleOfTasks!G751</f>
        <v>0</v>
      </c>
      <c r="C16" s="603">
        <f>CodeName.ScheduleOfTasks!H751</f>
        <v>0</v>
      </c>
      <c r="D16" s="603"/>
      <c r="E16" s="597">
        <f t="shared" ca="1" si="2"/>
        <v>1</v>
      </c>
      <c r="F16" s="40"/>
      <c r="G16" s="40"/>
      <c r="H16" s="40"/>
      <c r="I16" s="40"/>
      <c r="J16" s="40"/>
      <c r="K16" s="594"/>
      <c r="L16" s="594"/>
      <c r="M16" s="40"/>
      <c r="N16" s="40"/>
      <c r="O16" s="40"/>
      <c r="P16" s="40"/>
      <c r="Q16" s="40"/>
      <c r="R16" s="595"/>
      <c r="S16" s="595"/>
      <c r="T16" s="40"/>
      <c r="U16" s="40"/>
      <c r="V16" s="40"/>
      <c r="W16" s="40"/>
      <c r="X16" s="40"/>
      <c r="Y16" s="595"/>
      <c r="Z16" s="595"/>
      <c r="AA16" s="40"/>
      <c r="AB16" s="40"/>
      <c r="AC16" s="40"/>
      <c r="AD16" s="40"/>
      <c r="AE16" s="40"/>
      <c r="AF16" s="595"/>
      <c r="AG16" s="595"/>
      <c r="AH16" s="40"/>
      <c r="AI16" s="40"/>
      <c r="AJ16" s="40"/>
      <c r="AK16" s="40"/>
      <c r="AL16" s="40"/>
      <c r="AM16" s="595"/>
      <c r="AN16" s="595"/>
      <c r="AO16" s="40"/>
      <c r="AP16" s="40"/>
      <c r="AQ16" s="40"/>
      <c r="AR16" s="40"/>
      <c r="AS16" s="40"/>
      <c r="AT16" s="595"/>
      <c r="AU16" s="595"/>
      <c r="AV16" s="40"/>
      <c r="AW16" s="40"/>
      <c r="AX16" s="40"/>
      <c r="AY16" s="40"/>
      <c r="AZ16" s="40"/>
      <c r="BA16" s="595"/>
      <c r="BB16" s="595"/>
      <c r="BC16" s="40"/>
      <c r="BD16" s="40"/>
      <c r="BE16" s="40"/>
      <c r="BF16" s="40"/>
      <c r="BG16" s="40"/>
      <c r="BH16" s="595"/>
      <c r="BI16" s="595"/>
    </row>
    <row r="17" spans="1:61" s="23" customFormat="1" ht="15.75">
      <c r="A17" s="644" t="s">
        <v>472</v>
      </c>
      <c r="B17" s="603">
        <f>CodeName.ScheduleOfTasks!H810</f>
        <v>0</v>
      </c>
      <c r="C17" s="603">
        <f>B17</f>
        <v>0</v>
      </c>
      <c r="D17" s="603"/>
      <c r="E17" s="597">
        <f t="shared" ca="1" si="2"/>
        <v>1</v>
      </c>
      <c r="F17" s="40"/>
      <c r="G17" s="40"/>
      <c r="H17" s="40"/>
      <c r="I17" s="40"/>
      <c r="J17" s="40"/>
      <c r="K17" s="594"/>
      <c r="L17" s="594"/>
      <c r="M17" s="40"/>
      <c r="N17" s="40"/>
      <c r="O17" s="40"/>
      <c r="P17" s="40"/>
      <c r="Q17" s="40"/>
      <c r="R17" s="595"/>
      <c r="S17" s="595"/>
      <c r="T17" s="40"/>
      <c r="U17" s="40"/>
      <c r="V17" s="40"/>
      <c r="W17" s="40"/>
      <c r="X17" s="40"/>
      <c r="Y17" s="595"/>
      <c r="Z17" s="595"/>
      <c r="AA17" s="40"/>
      <c r="AB17" s="40"/>
      <c r="AC17" s="40"/>
      <c r="AD17" s="40"/>
      <c r="AE17" s="40"/>
      <c r="AF17" s="595"/>
      <c r="AG17" s="595"/>
      <c r="AH17" s="40"/>
      <c r="AI17" s="40"/>
      <c r="AJ17" s="40"/>
      <c r="AK17" s="40"/>
      <c r="AL17" s="40"/>
      <c r="AM17" s="595"/>
      <c r="AN17" s="595"/>
      <c r="AO17" s="40"/>
      <c r="AP17" s="40"/>
      <c r="AQ17" s="40"/>
      <c r="AR17" s="40"/>
      <c r="AS17" s="40"/>
      <c r="AT17" s="595"/>
      <c r="AU17" s="595"/>
      <c r="AV17" s="40"/>
      <c r="AW17" s="40"/>
      <c r="AX17" s="40"/>
      <c r="AY17" s="40"/>
      <c r="AZ17" s="40"/>
      <c r="BA17" s="595"/>
      <c r="BB17" s="595"/>
      <c r="BC17" s="40"/>
      <c r="BD17" s="40"/>
      <c r="BE17" s="40"/>
      <c r="BF17" s="40"/>
      <c r="BG17" s="40"/>
      <c r="BH17" s="595"/>
      <c r="BI17" s="595"/>
    </row>
    <row r="18" spans="1:61" ht="15.75">
      <c r="A18" s="601" t="s">
        <v>432</v>
      </c>
      <c r="B18"/>
      <c r="C18"/>
      <c r="E18" s="597">
        <f t="shared" ca="1" si="2"/>
        <v>1</v>
      </c>
      <c r="F18" s="40"/>
      <c r="G18" s="40"/>
      <c r="H18" s="40"/>
      <c r="I18" s="40"/>
      <c r="J18" s="40"/>
      <c r="K18" s="594"/>
      <c r="L18" s="594"/>
      <c r="M18" s="40"/>
      <c r="N18" s="40"/>
      <c r="O18" s="40"/>
      <c r="P18" s="40"/>
      <c r="Q18" s="40"/>
      <c r="R18" s="595"/>
      <c r="S18" s="595"/>
      <c r="T18" s="40"/>
      <c r="U18" s="40"/>
      <c r="V18" s="40"/>
      <c r="W18" s="40"/>
      <c r="X18" s="40"/>
      <c r="Y18" s="595"/>
      <c r="Z18" s="595"/>
      <c r="AA18" s="40"/>
      <c r="AB18" s="40"/>
      <c r="AC18" s="40"/>
      <c r="AD18" s="40"/>
      <c r="AE18" s="40"/>
      <c r="AF18" s="595"/>
      <c r="AG18" s="595"/>
      <c r="AH18" s="40"/>
      <c r="AI18" s="40"/>
      <c r="AJ18" s="40"/>
      <c r="AK18" s="40"/>
      <c r="AL18" s="40"/>
      <c r="AM18" s="595"/>
      <c r="AN18" s="595"/>
      <c r="AO18" s="40"/>
      <c r="AP18" s="40"/>
      <c r="AQ18" s="40"/>
      <c r="AR18" s="40"/>
      <c r="AS18" s="40"/>
      <c r="AT18" s="595"/>
      <c r="AU18" s="595"/>
      <c r="AV18" s="40"/>
      <c r="AW18" s="40"/>
      <c r="AX18" s="40"/>
      <c r="AY18" s="40"/>
      <c r="AZ18" s="40"/>
      <c r="BA18" s="595"/>
      <c r="BB18" s="595"/>
      <c r="BC18" s="40"/>
      <c r="BD18" s="40"/>
      <c r="BE18" s="40"/>
      <c r="BF18" s="40"/>
      <c r="BG18" s="40"/>
      <c r="BH18" s="595"/>
      <c r="BI18" s="595"/>
    </row>
    <row r="19" spans="1:61" ht="15.75">
      <c r="A19" s="644" t="s">
        <v>433</v>
      </c>
      <c r="B19" s="603">
        <f>S.Notice.EPA.180days</f>
        <v>0</v>
      </c>
      <c r="C19" s="603">
        <f>B19</f>
        <v>0</v>
      </c>
      <c r="D19" s="647"/>
      <c r="E19" s="597">
        <f t="shared" ca="1" si="2"/>
        <v>1</v>
      </c>
      <c r="F19" s="40"/>
      <c r="G19" s="40"/>
      <c r="H19" s="40"/>
      <c r="I19" s="40"/>
      <c r="J19" s="40"/>
      <c r="K19" s="594"/>
      <c r="L19" s="594"/>
      <c r="M19" s="40"/>
      <c r="N19" s="40"/>
      <c r="O19" s="40"/>
      <c r="P19" s="40"/>
      <c r="Q19" s="40"/>
      <c r="R19" s="595"/>
      <c r="S19" s="595"/>
      <c r="T19" s="40"/>
      <c r="U19" s="40"/>
      <c r="V19" s="40"/>
      <c r="W19" s="40"/>
      <c r="X19" s="40"/>
      <c r="Y19" s="595"/>
      <c r="Z19" s="595"/>
      <c r="AA19" s="40"/>
      <c r="AB19" s="40"/>
      <c r="AC19" s="40"/>
      <c r="AD19" s="40"/>
      <c r="AE19" s="40"/>
      <c r="AF19" s="595"/>
      <c r="AG19" s="595"/>
      <c r="AH19" s="40"/>
      <c r="AI19" s="40"/>
      <c r="AJ19" s="40"/>
      <c r="AK19" s="40"/>
      <c r="AL19" s="40"/>
      <c r="AM19" s="595"/>
      <c r="AN19" s="595"/>
      <c r="AO19" s="40"/>
      <c r="AP19" s="40"/>
      <c r="AQ19" s="40"/>
      <c r="AR19" s="40"/>
      <c r="AS19" s="40"/>
      <c r="AT19" s="595"/>
      <c r="AU19" s="595"/>
      <c r="AV19" s="40"/>
      <c r="AW19" s="40"/>
      <c r="AX19" s="40"/>
      <c r="AY19" s="40"/>
      <c r="AZ19" s="40"/>
      <c r="BA19" s="595"/>
      <c r="BB19" s="595"/>
      <c r="BC19" s="40"/>
      <c r="BD19" s="40"/>
      <c r="BE19" s="40"/>
      <c r="BF19" s="40"/>
      <c r="BG19" s="40"/>
      <c r="BH19" s="595"/>
      <c r="BI19" s="595"/>
    </row>
    <row r="20" spans="1:61" ht="15.75">
      <c r="A20" s="644" t="s">
        <v>434</v>
      </c>
      <c r="B20" s="603" t="e">
        <f>S.Notice.EPA.45day</f>
        <v>#NAME?</v>
      </c>
      <c r="C20" s="603" t="e">
        <f>B20</f>
        <v>#NAME?</v>
      </c>
      <c r="D20" s="603"/>
      <c r="E20" s="597" t="e">
        <f t="shared" ca="1" si="2"/>
        <v>#NAME?</v>
      </c>
      <c r="F20" s="40"/>
      <c r="G20" s="40"/>
      <c r="H20" s="40"/>
      <c r="I20" s="40"/>
      <c r="J20" s="40"/>
      <c r="K20" s="594"/>
      <c r="L20" s="594"/>
      <c r="M20" s="40"/>
      <c r="N20" s="40"/>
      <c r="O20" s="40"/>
      <c r="P20" s="40"/>
      <c r="Q20" s="40"/>
      <c r="R20" s="595"/>
      <c r="S20" s="595"/>
      <c r="T20" s="40"/>
      <c r="U20" s="40"/>
      <c r="V20" s="40"/>
      <c r="W20" s="40"/>
      <c r="X20" s="40"/>
      <c r="Y20" s="595"/>
      <c r="Z20" s="595"/>
      <c r="AA20" s="40"/>
      <c r="AB20" s="40"/>
      <c r="AC20" s="40"/>
      <c r="AD20" s="40"/>
      <c r="AE20" s="40"/>
      <c r="AF20" s="595"/>
      <c r="AG20" s="595"/>
      <c r="AH20" s="40"/>
      <c r="AI20" s="40"/>
      <c r="AJ20" s="40"/>
      <c r="AK20" s="40"/>
      <c r="AL20" s="40"/>
      <c r="AM20" s="595"/>
      <c r="AN20" s="595"/>
      <c r="AO20" s="40"/>
      <c r="AP20" s="40"/>
      <c r="AQ20" s="40"/>
      <c r="AR20" s="40"/>
      <c r="AS20" s="40"/>
      <c r="AT20" s="595"/>
      <c r="AU20" s="595"/>
      <c r="AV20" s="40"/>
      <c r="AW20" s="40"/>
      <c r="AX20" s="40"/>
      <c r="AY20" s="40"/>
      <c r="AZ20" s="40"/>
      <c r="BA20" s="595"/>
      <c r="BB20" s="595"/>
      <c r="BC20" s="40"/>
      <c r="BD20" s="40"/>
      <c r="BE20" s="40"/>
      <c r="BF20" s="40"/>
      <c r="BG20" s="40"/>
      <c r="BH20" s="595"/>
      <c r="BI20" s="595"/>
    </row>
    <row r="21" spans="1:61" ht="15.75">
      <c r="A21" s="644" t="s">
        <v>435</v>
      </c>
      <c r="B21" s="603">
        <f>S.PostEQC.SubmitSIPToEPA</f>
        <v>0</v>
      </c>
      <c r="C21" s="603">
        <f>B21</f>
        <v>0</v>
      </c>
      <c r="D21" s="603"/>
      <c r="E21" s="597">
        <f t="shared" ca="1" si="2"/>
        <v>1</v>
      </c>
      <c r="F21" s="40"/>
      <c r="G21" s="40"/>
      <c r="H21" s="40"/>
      <c r="I21" s="40"/>
      <c r="J21" s="40"/>
      <c r="K21" s="594"/>
      <c r="L21" s="594"/>
      <c r="M21" s="40"/>
      <c r="N21" s="40"/>
      <c r="O21" s="40"/>
      <c r="P21" s="40"/>
      <c r="Q21" s="40"/>
      <c r="R21" s="595"/>
      <c r="S21" s="595"/>
      <c r="T21" s="40"/>
      <c r="U21" s="40"/>
      <c r="V21" s="40"/>
      <c r="W21" s="40"/>
      <c r="X21" s="40"/>
      <c r="Y21" s="595"/>
      <c r="Z21" s="595"/>
      <c r="AA21" s="40"/>
      <c r="AB21" s="40"/>
      <c r="AC21" s="40"/>
      <c r="AD21" s="40"/>
      <c r="AE21" s="40"/>
      <c r="AF21" s="595"/>
      <c r="AG21" s="595"/>
      <c r="AH21" s="40"/>
      <c r="AI21" s="40"/>
      <c r="AJ21" s="40"/>
      <c r="AK21" s="40"/>
      <c r="AL21" s="40"/>
      <c r="AM21" s="595"/>
      <c r="AN21" s="595"/>
      <c r="AO21" s="40"/>
      <c r="AP21" s="40"/>
      <c r="AQ21" s="40"/>
      <c r="AR21" s="40"/>
      <c r="AS21" s="40"/>
      <c r="AT21" s="595"/>
      <c r="AU21" s="595"/>
      <c r="AV21" s="40"/>
      <c r="AW21" s="40"/>
      <c r="AX21" s="40"/>
      <c r="AY21" s="40"/>
      <c r="AZ21" s="40"/>
      <c r="BA21" s="595"/>
      <c r="BB21" s="595"/>
      <c r="BC21" s="40"/>
      <c r="BD21" s="40"/>
      <c r="BE21" s="40"/>
      <c r="BF21" s="40"/>
      <c r="BG21" s="40"/>
      <c r="BH21" s="595"/>
      <c r="BI21" s="595"/>
    </row>
    <row r="22" spans="1:61" ht="15.75">
      <c r="A22" s="601" t="s">
        <v>436</v>
      </c>
      <c r="B22" s="603" t="s">
        <v>0</v>
      </c>
      <c r="C22" s="603" t="s">
        <v>0</v>
      </c>
      <c r="D22" s="603"/>
      <c r="E22" s="597">
        <f t="shared" ca="1" si="2"/>
        <v>0</v>
      </c>
      <c r="F22" s="40"/>
      <c r="G22" s="40"/>
      <c r="H22" s="40"/>
      <c r="I22" s="40"/>
      <c r="J22" s="40"/>
      <c r="K22" s="594"/>
      <c r="L22" s="594"/>
      <c r="M22" s="40"/>
      <c r="N22" s="40"/>
      <c r="O22" s="40"/>
      <c r="P22" s="40"/>
      <c r="Q22" s="40"/>
      <c r="R22" s="595"/>
      <c r="S22" s="595"/>
      <c r="T22" s="40"/>
      <c r="U22" s="40"/>
      <c r="V22" s="40"/>
      <c r="W22" s="40"/>
      <c r="X22" s="40"/>
      <c r="Y22" s="595"/>
      <c r="Z22" s="595"/>
      <c r="AA22" s="40"/>
      <c r="AB22" s="40"/>
      <c r="AC22" s="40"/>
      <c r="AD22" s="40"/>
      <c r="AE22" s="40"/>
      <c r="AF22" s="595"/>
      <c r="AG22" s="595"/>
      <c r="AH22" s="40"/>
      <c r="AI22" s="40"/>
      <c r="AJ22" s="40"/>
      <c r="AK22" s="40"/>
      <c r="AL22" s="40"/>
      <c r="AM22" s="595"/>
      <c r="AN22" s="595"/>
      <c r="AO22" s="40"/>
      <c r="AP22" s="40"/>
      <c r="AQ22" s="40"/>
      <c r="AR22" s="40"/>
      <c r="AS22" s="40"/>
      <c r="AT22" s="595"/>
      <c r="AU22" s="595"/>
      <c r="AV22" s="40"/>
      <c r="AW22" s="40"/>
      <c r="AX22" s="40"/>
      <c r="AY22" s="40"/>
      <c r="AZ22" s="40"/>
      <c r="BA22" s="595"/>
      <c r="BB22" s="595"/>
      <c r="BC22" s="40"/>
      <c r="BD22" s="40"/>
      <c r="BE22" s="40"/>
      <c r="BF22" s="40"/>
      <c r="BG22" s="40"/>
      <c r="BH22" s="595"/>
      <c r="BI22" s="595"/>
    </row>
    <row r="23" spans="1:61" ht="15.75">
      <c r="A23" s="644" t="s">
        <v>437</v>
      </c>
      <c r="B23" s="603">
        <f>S.Fee.SubmitToDAS</f>
        <v>0</v>
      </c>
      <c r="C23" s="603">
        <f>B23</f>
        <v>0</v>
      </c>
      <c r="D23" s="603"/>
      <c r="E23" s="597">
        <f t="shared" ca="1" si="2"/>
        <v>1</v>
      </c>
      <c r="F23" s="40"/>
      <c r="G23" s="40"/>
      <c r="H23" s="40"/>
      <c r="I23" s="40"/>
      <c r="J23" s="40"/>
      <c r="K23" s="594"/>
      <c r="L23" s="594"/>
      <c r="M23" s="40"/>
      <c r="N23" s="40"/>
      <c r="O23" s="40"/>
      <c r="P23" s="40"/>
      <c r="Q23" s="40"/>
      <c r="R23" s="595"/>
      <c r="S23" s="595"/>
      <c r="T23" s="40"/>
      <c r="U23" s="40"/>
      <c r="V23" s="40"/>
      <c r="W23" s="40"/>
      <c r="X23" s="40"/>
      <c r="Y23" s="595"/>
      <c r="Z23" s="595"/>
      <c r="AA23" s="40"/>
      <c r="AB23" s="40"/>
      <c r="AC23" s="40"/>
      <c r="AD23" s="40"/>
      <c r="AE23" s="40"/>
      <c r="AF23" s="595"/>
      <c r="AG23" s="595"/>
      <c r="AH23" s="40"/>
      <c r="AI23" s="40"/>
      <c r="AJ23" s="40"/>
      <c r="AK23" s="40"/>
      <c r="AL23" s="40"/>
      <c r="AM23" s="595"/>
      <c r="AN23" s="595"/>
      <c r="AO23" s="40"/>
      <c r="AP23" s="40"/>
      <c r="AQ23" s="40"/>
      <c r="AR23" s="40"/>
      <c r="AS23" s="40"/>
      <c r="AT23" s="595"/>
      <c r="AU23" s="595"/>
      <c r="AV23" s="40"/>
      <c r="AW23" s="40"/>
      <c r="AX23" s="40"/>
      <c r="AY23" s="40"/>
      <c r="AZ23" s="40"/>
      <c r="BA23" s="595"/>
      <c r="BB23" s="595"/>
      <c r="BC23" s="40"/>
      <c r="BD23" s="40"/>
      <c r="BE23" s="40"/>
      <c r="BF23" s="40"/>
      <c r="BG23" s="40"/>
      <c r="BH23" s="595"/>
      <c r="BI23" s="595"/>
    </row>
    <row r="24" spans="1:61" ht="15.75">
      <c r="A24" s="644" t="s">
        <v>467</v>
      </c>
      <c r="B24" s="603">
        <f>S.PostEQC.SubmitDASPart2</f>
        <v>41953</v>
      </c>
      <c r="C24" s="603">
        <f>B24</f>
        <v>41953</v>
      </c>
      <c r="D24" s="603"/>
      <c r="E24" s="597">
        <f t="shared" ca="1" si="2"/>
        <v>0</v>
      </c>
      <c r="F24" s="40"/>
      <c r="G24" s="40"/>
      <c r="H24" s="40"/>
      <c r="I24" s="40"/>
      <c r="J24" s="40"/>
      <c r="K24" s="594"/>
      <c r="L24" s="594"/>
      <c r="M24" s="40"/>
      <c r="N24" s="40"/>
      <c r="O24" s="40"/>
      <c r="P24" s="40"/>
      <c r="Q24" s="40"/>
      <c r="R24" s="595"/>
      <c r="S24" s="595"/>
      <c r="T24" s="40"/>
      <c r="U24" s="40"/>
      <c r="V24" s="40"/>
      <c r="W24" s="40"/>
      <c r="X24" s="40"/>
      <c r="Y24" s="595"/>
      <c r="Z24" s="595"/>
      <c r="AA24" s="40"/>
      <c r="AB24" s="40"/>
      <c r="AC24" s="40"/>
      <c r="AD24" s="40"/>
      <c r="AE24" s="40"/>
      <c r="AF24" s="595"/>
      <c r="AG24" s="595"/>
      <c r="AH24" s="40"/>
      <c r="AI24" s="40"/>
      <c r="AJ24" s="40"/>
      <c r="AK24" s="40"/>
      <c r="AL24" s="40"/>
      <c r="AM24" s="595"/>
      <c r="AN24" s="595"/>
      <c r="AO24" s="40"/>
      <c r="AP24" s="40"/>
      <c r="AQ24" s="40"/>
      <c r="AR24" s="40"/>
      <c r="AS24" s="40"/>
      <c r="AT24" s="595"/>
      <c r="AU24" s="595"/>
      <c r="AV24" s="40"/>
      <c r="AW24" s="40"/>
      <c r="AX24" s="40"/>
      <c r="AY24" s="40"/>
      <c r="AZ24" s="40"/>
      <c r="BA24" s="595"/>
      <c r="BB24" s="595"/>
      <c r="BC24" s="40"/>
      <c r="BD24" s="40"/>
      <c r="BE24" s="40"/>
      <c r="BF24" s="40"/>
      <c r="BG24" s="40"/>
      <c r="BH24" s="595"/>
      <c r="BI24" s="595"/>
    </row>
    <row r="25" spans="1:61" ht="15.75">
      <c r="A25" s="644" t="s">
        <v>438</v>
      </c>
      <c r="B25" s="603">
        <f>S.Notice.DASNotification</f>
        <v>0</v>
      </c>
      <c r="C25" s="603">
        <f>B25</f>
        <v>0</v>
      </c>
      <c r="D25" s="603"/>
      <c r="E25" s="597">
        <f t="shared" ca="1" si="2"/>
        <v>1</v>
      </c>
      <c r="F25" s="40"/>
      <c r="G25" s="40"/>
      <c r="H25" s="40"/>
      <c r="I25" s="40"/>
      <c r="J25" s="40"/>
      <c r="K25" s="594"/>
      <c r="L25" s="594"/>
      <c r="M25" s="40"/>
      <c r="N25" s="40"/>
      <c r="O25" s="40"/>
      <c r="P25" s="40"/>
      <c r="Q25" s="40"/>
      <c r="R25" s="595"/>
      <c r="S25" s="595"/>
      <c r="T25" s="40"/>
      <c r="U25" s="40"/>
      <c r="V25" s="40"/>
      <c r="W25" s="40"/>
      <c r="X25" s="40"/>
      <c r="Y25" s="595"/>
      <c r="Z25" s="595"/>
      <c r="AA25" s="40"/>
      <c r="AB25" s="40"/>
      <c r="AC25" s="40"/>
      <c r="AD25" s="40"/>
      <c r="AE25" s="40"/>
      <c r="AF25" s="595"/>
      <c r="AG25" s="595"/>
      <c r="AH25" s="40"/>
      <c r="AI25" s="40"/>
      <c r="AJ25" s="40"/>
      <c r="AK25" s="40"/>
      <c r="AL25" s="40"/>
      <c r="AM25" s="595"/>
      <c r="AN25" s="595"/>
      <c r="AO25" s="40"/>
      <c r="AP25" s="40"/>
      <c r="AQ25" s="40"/>
      <c r="AR25" s="40"/>
      <c r="AS25" s="40"/>
      <c r="AT25" s="595"/>
      <c r="AU25" s="595"/>
      <c r="AV25" s="40"/>
      <c r="AW25" s="40"/>
      <c r="AX25" s="40"/>
      <c r="AY25" s="40"/>
      <c r="AZ25" s="40"/>
      <c r="BA25" s="595"/>
      <c r="BB25" s="595"/>
      <c r="BC25" s="40"/>
      <c r="BD25" s="40"/>
      <c r="BE25" s="40"/>
      <c r="BF25" s="40"/>
      <c r="BG25" s="40"/>
      <c r="BH25" s="595"/>
      <c r="BI25" s="595"/>
    </row>
    <row r="26" spans="1:61" ht="15.75">
      <c r="A26" s="601" t="s">
        <v>439</v>
      </c>
      <c r="B26" s="602" t="s">
        <v>0</v>
      </c>
      <c r="C26" s="602" t="s">
        <v>0</v>
      </c>
      <c r="D26" s="602"/>
      <c r="E26" s="597">
        <f t="shared" ca="1" si="2"/>
        <v>0</v>
      </c>
      <c r="F26" s="40"/>
      <c r="G26" s="40"/>
      <c r="H26" s="40"/>
      <c r="I26" s="40"/>
      <c r="J26" s="40"/>
      <c r="K26" s="594"/>
      <c r="L26" s="594"/>
      <c r="M26" s="40"/>
      <c r="N26" s="40"/>
      <c r="O26" s="40"/>
      <c r="P26" s="40"/>
      <c r="Q26" s="40"/>
      <c r="R26" s="595"/>
      <c r="S26" s="595"/>
      <c r="T26" s="40"/>
      <c r="U26" s="40"/>
      <c r="V26" s="40"/>
      <c r="W26" s="40"/>
      <c r="X26" s="40"/>
      <c r="Y26" s="595"/>
      <c r="Z26" s="595"/>
      <c r="AA26" s="40"/>
      <c r="AB26" s="40"/>
      <c r="AC26" s="40"/>
      <c r="AD26" s="40"/>
      <c r="AE26" s="40"/>
      <c r="AF26" s="595"/>
      <c r="AG26" s="595"/>
      <c r="AH26" s="40"/>
      <c r="AI26" s="40"/>
      <c r="AJ26" s="40"/>
      <c r="AK26" s="40"/>
      <c r="AL26" s="40"/>
      <c r="AM26" s="595"/>
      <c r="AN26" s="595"/>
      <c r="AO26" s="40"/>
      <c r="AP26" s="40"/>
      <c r="AQ26" s="40"/>
      <c r="AR26" s="40"/>
      <c r="AS26" s="40"/>
      <c r="AT26" s="595"/>
      <c r="AU26" s="595"/>
      <c r="AV26" s="40"/>
      <c r="AW26" s="40"/>
      <c r="AX26" s="40"/>
      <c r="AY26" s="40"/>
      <c r="AZ26" s="40"/>
      <c r="BA26" s="595"/>
      <c r="BB26" s="595"/>
      <c r="BC26" s="40"/>
      <c r="BD26" s="40"/>
      <c r="BE26" s="40"/>
      <c r="BF26" s="40"/>
      <c r="BG26" s="40"/>
      <c r="BH26" s="595"/>
      <c r="BI26" s="595"/>
    </row>
    <row r="27" spans="1:61" ht="15.75">
      <c r="A27" s="645" t="s">
        <v>464</v>
      </c>
      <c r="B27" s="603">
        <f>S.AC.SendInvitation</f>
        <v>41761</v>
      </c>
      <c r="C27" s="603">
        <f t="shared" ref="C27:C32" si="3">B27</f>
        <v>41761</v>
      </c>
      <c r="D27" s="603"/>
      <c r="E27" s="597">
        <f ca="1">IF($C27&gt;=$A$3,0,1)</f>
        <v>1</v>
      </c>
      <c r="F27" s="40"/>
      <c r="G27" s="40"/>
      <c r="H27" s="40"/>
      <c r="I27" s="40"/>
      <c r="J27" s="40"/>
      <c r="K27" s="594"/>
      <c r="L27" s="594"/>
      <c r="M27" s="40"/>
      <c r="N27" s="40"/>
      <c r="O27" s="40"/>
      <c r="P27" s="40"/>
      <c r="Q27" s="40"/>
      <c r="R27" s="595"/>
      <c r="S27" s="595"/>
      <c r="T27" s="40"/>
      <c r="U27" s="40"/>
      <c r="V27" s="40"/>
      <c r="W27" s="40"/>
      <c r="X27" s="40"/>
      <c r="Y27" s="595"/>
      <c r="Z27" s="595"/>
      <c r="AA27" s="40"/>
      <c r="AB27" s="40"/>
      <c r="AC27" s="40"/>
      <c r="AD27" s="40"/>
      <c r="AE27" s="40"/>
      <c r="AF27" s="595"/>
      <c r="AG27" s="595"/>
      <c r="AH27" s="40"/>
      <c r="AI27" s="40"/>
      <c r="AJ27" s="40"/>
      <c r="AK27" s="40"/>
      <c r="AL27" s="40"/>
      <c r="AM27" s="595"/>
      <c r="AN27" s="595"/>
      <c r="AO27" s="40"/>
      <c r="AP27" s="40"/>
      <c r="AQ27" s="40"/>
      <c r="AR27" s="40"/>
      <c r="AS27" s="40"/>
      <c r="AT27" s="595"/>
      <c r="AU27" s="595"/>
      <c r="AV27" s="40"/>
      <c r="AW27" s="40"/>
      <c r="AX27" s="40"/>
      <c r="AY27" s="40"/>
      <c r="AZ27" s="40"/>
      <c r="BA27" s="595"/>
      <c r="BB27" s="595"/>
      <c r="BC27" s="40"/>
      <c r="BD27" s="40"/>
      <c r="BE27" s="40"/>
      <c r="BF27" s="40"/>
      <c r="BG27" s="40"/>
      <c r="BH27" s="595"/>
      <c r="BI27" s="595"/>
    </row>
    <row r="28" spans="1:61" ht="15.75">
      <c r="A28" s="645" t="s">
        <v>24</v>
      </c>
      <c r="B28" s="603">
        <f>S.AC.DateMeeting1</f>
        <v>41795</v>
      </c>
      <c r="C28" s="603">
        <f t="shared" si="3"/>
        <v>41795</v>
      </c>
      <c r="D28" s="603"/>
      <c r="E28" s="597">
        <f t="shared" ca="1" si="2"/>
        <v>1</v>
      </c>
      <c r="F28" s="40"/>
      <c r="G28" s="40"/>
      <c r="H28" s="40"/>
      <c r="I28" s="40"/>
      <c r="J28" s="40"/>
      <c r="K28" s="594"/>
      <c r="L28" s="594"/>
      <c r="M28" s="40"/>
      <c r="N28" s="40"/>
      <c r="O28" s="40"/>
      <c r="P28" s="40"/>
      <c r="Q28" s="40"/>
      <c r="R28" s="595"/>
      <c r="S28" s="595"/>
      <c r="T28" s="40"/>
      <c r="U28" s="40"/>
      <c r="V28" s="40"/>
      <c r="W28" s="40"/>
      <c r="X28" s="40"/>
      <c r="Y28" s="595"/>
      <c r="Z28" s="595"/>
      <c r="AA28" s="40"/>
      <c r="AB28" s="40"/>
      <c r="AC28" s="40"/>
      <c r="AD28" s="40"/>
      <c r="AE28" s="40"/>
      <c r="AF28" s="595"/>
      <c r="AG28" s="595"/>
      <c r="AH28" s="40"/>
      <c r="AI28" s="40"/>
      <c r="AJ28" s="40"/>
      <c r="AK28" s="40"/>
      <c r="AL28" s="40"/>
      <c r="AM28" s="595"/>
      <c r="AN28" s="595"/>
      <c r="AO28" s="40"/>
      <c r="AP28" s="40"/>
      <c r="AQ28" s="40"/>
      <c r="AR28" s="40"/>
      <c r="AS28" s="40"/>
      <c r="AT28" s="595"/>
      <c r="AU28" s="595"/>
      <c r="AV28" s="40"/>
      <c r="AW28" s="40"/>
      <c r="AX28" s="40"/>
      <c r="AY28" s="40"/>
      <c r="AZ28" s="40"/>
      <c r="BA28" s="595"/>
      <c r="BB28" s="595"/>
      <c r="BC28" s="40"/>
      <c r="BD28" s="40"/>
      <c r="BE28" s="40"/>
      <c r="BF28" s="40"/>
      <c r="BG28" s="40"/>
      <c r="BH28" s="595"/>
      <c r="BI28" s="595"/>
    </row>
    <row r="29" spans="1:61" ht="15.75">
      <c r="A29" s="645" t="s">
        <v>23</v>
      </c>
      <c r="B29" s="603">
        <f>S.AC.DateMeeting2</f>
        <v>41816</v>
      </c>
      <c r="C29" s="603">
        <f t="shared" si="3"/>
        <v>41816</v>
      </c>
      <c r="D29" s="603"/>
      <c r="E29" s="597">
        <f t="shared" ca="1" si="2"/>
        <v>1</v>
      </c>
      <c r="F29" s="40"/>
      <c r="G29" s="40"/>
      <c r="H29" s="40"/>
      <c r="I29" s="40"/>
      <c r="J29" s="40"/>
      <c r="K29" s="594"/>
      <c r="L29" s="594"/>
      <c r="M29" s="40"/>
      <c r="N29" s="40"/>
      <c r="O29" s="40"/>
      <c r="P29" s="40"/>
      <c r="Q29" s="40"/>
      <c r="R29" s="595"/>
      <c r="S29" s="595"/>
      <c r="T29" s="40"/>
      <c r="U29" s="40"/>
      <c r="V29" s="40"/>
      <c r="W29" s="40"/>
      <c r="X29" s="40"/>
      <c r="Y29" s="595"/>
      <c r="Z29" s="595"/>
      <c r="AA29" s="40"/>
      <c r="AB29" s="40"/>
      <c r="AC29" s="40"/>
      <c r="AD29" s="40"/>
      <c r="AE29" s="40"/>
      <c r="AF29" s="595"/>
      <c r="AG29" s="595"/>
      <c r="AH29" s="40"/>
      <c r="AI29" s="40"/>
      <c r="AJ29" s="40"/>
      <c r="AK29" s="40"/>
      <c r="AL29" s="40"/>
      <c r="AM29" s="595"/>
      <c r="AN29" s="595"/>
      <c r="AO29" s="40"/>
      <c r="AP29" s="40"/>
      <c r="AQ29" s="40"/>
      <c r="AR29" s="40"/>
      <c r="AS29" s="40"/>
      <c r="AT29" s="595"/>
      <c r="AU29" s="595"/>
      <c r="AV29" s="40"/>
      <c r="AW29" s="40"/>
      <c r="AX29" s="40"/>
      <c r="AY29" s="40"/>
      <c r="AZ29" s="40"/>
      <c r="BA29" s="595"/>
      <c r="BB29" s="595"/>
      <c r="BC29" s="40"/>
      <c r="BD29" s="40"/>
      <c r="BE29" s="40"/>
      <c r="BF29" s="40"/>
      <c r="BG29" s="40"/>
      <c r="BH29" s="595"/>
      <c r="BI29" s="595"/>
    </row>
    <row r="30" spans="1:61" ht="15.75">
      <c r="A30" s="645" t="s">
        <v>22</v>
      </c>
      <c r="B30" s="603">
        <f>S.AC.DateMeeting3</f>
        <v>41850</v>
      </c>
      <c r="C30" s="603">
        <f t="shared" si="3"/>
        <v>41850</v>
      </c>
      <c r="D30" s="603"/>
      <c r="E30" s="597">
        <f t="shared" ca="1" si="2"/>
        <v>1</v>
      </c>
      <c r="F30" s="40"/>
      <c r="G30" s="40"/>
      <c r="H30" s="40"/>
      <c r="I30" s="40"/>
      <c r="J30" s="40"/>
      <c r="K30" s="594"/>
      <c r="L30" s="594"/>
      <c r="M30" s="40"/>
      <c r="N30" s="40"/>
      <c r="O30" s="40"/>
      <c r="P30" s="40"/>
      <c r="Q30" s="40"/>
      <c r="R30" s="595"/>
      <c r="S30" s="595"/>
      <c r="T30" s="40"/>
      <c r="U30" s="40"/>
      <c r="V30" s="40"/>
      <c r="W30" s="40"/>
      <c r="X30" s="40"/>
      <c r="Y30" s="595"/>
      <c r="Z30" s="595"/>
      <c r="AA30" s="40"/>
      <c r="AB30" s="40"/>
      <c r="AC30" s="40"/>
      <c r="AD30" s="40"/>
      <c r="AE30" s="40"/>
      <c r="AF30" s="595"/>
      <c r="AG30" s="595"/>
      <c r="AH30" s="40"/>
      <c r="AI30" s="40"/>
      <c r="AJ30" s="40"/>
      <c r="AK30" s="40"/>
      <c r="AL30" s="40"/>
      <c r="AM30" s="595"/>
      <c r="AN30" s="595"/>
      <c r="AO30" s="40"/>
      <c r="AP30" s="40"/>
      <c r="AQ30" s="40"/>
      <c r="AR30" s="40"/>
      <c r="AS30" s="40"/>
      <c r="AT30" s="595"/>
      <c r="AU30" s="595"/>
      <c r="AV30" s="40"/>
      <c r="AW30" s="40"/>
      <c r="AX30" s="40"/>
      <c r="AY30" s="40"/>
      <c r="AZ30" s="40"/>
      <c r="BA30" s="595"/>
      <c r="BB30" s="595"/>
      <c r="BC30" s="40"/>
      <c r="BD30" s="40"/>
      <c r="BE30" s="40"/>
      <c r="BF30" s="40"/>
      <c r="BG30" s="40"/>
      <c r="BH30" s="595"/>
      <c r="BI30" s="595"/>
    </row>
    <row r="31" spans="1:61" ht="15.75">
      <c r="A31" s="645" t="s">
        <v>30</v>
      </c>
      <c r="B31" s="603">
        <f>S.AC.DateMeeting4</f>
        <v>41850</v>
      </c>
      <c r="C31" s="603">
        <f t="shared" si="3"/>
        <v>41850</v>
      </c>
      <c r="D31" s="603"/>
      <c r="E31" s="597">
        <f t="shared" ca="1" si="2"/>
        <v>1</v>
      </c>
      <c r="F31" s="40"/>
      <c r="G31" s="40"/>
      <c r="H31" s="40"/>
      <c r="I31" s="40"/>
      <c r="J31" s="40"/>
      <c r="K31" s="594"/>
      <c r="L31" s="594"/>
      <c r="M31" s="40"/>
      <c r="N31" s="40"/>
      <c r="O31" s="40"/>
      <c r="P31" s="40"/>
      <c r="Q31" s="40"/>
      <c r="R31" s="595"/>
      <c r="S31" s="595"/>
      <c r="T31" s="40"/>
      <c r="U31" s="40"/>
      <c r="V31" s="40"/>
      <c r="W31" s="40"/>
      <c r="X31" s="40"/>
      <c r="Y31" s="595"/>
      <c r="Z31" s="595"/>
      <c r="AA31" s="40"/>
      <c r="AB31" s="40"/>
      <c r="AC31" s="40"/>
      <c r="AD31" s="40"/>
      <c r="AE31" s="40"/>
      <c r="AF31" s="595"/>
      <c r="AG31" s="595"/>
      <c r="AH31" s="40"/>
      <c r="AI31" s="40"/>
      <c r="AJ31" s="40"/>
      <c r="AK31" s="40"/>
      <c r="AL31" s="40"/>
      <c r="AM31" s="595"/>
      <c r="AN31" s="595"/>
      <c r="AO31" s="40"/>
      <c r="AP31" s="40"/>
      <c r="AQ31" s="40"/>
      <c r="AR31" s="40"/>
      <c r="AS31" s="40"/>
      <c r="AT31" s="595"/>
      <c r="AU31" s="595"/>
      <c r="AV31" s="40"/>
      <c r="AW31" s="40"/>
      <c r="AX31" s="40"/>
      <c r="AY31" s="40"/>
      <c r="AZ31" s="40"/>
      <c r="BA31" s="595"/>
      <c r="BB31" s="595"/>
      <c r="BC31" s="40"/>
      <c r="BD31" s="40"/>
      <c r="BE31" s="40"/>
      <c r="BF31" s="40"/>
      <c r="BG31" s="40"/>
      <c r="BH31" s="595"/>
      <c r="BI31" s="595"/>
    </row>
    <row r="32" spans="1:61" ht="15.75">
      <c r="A32" s="645" t="s">
        <v>463</v>
      </c>
      <c r="B32" s="603">
        <f>S.AC.DateMeeting5</f>
        <v>41850</v>
      </c>
      <c r="C32" s="603">
        <f t="shared" si="3"/>
        <v>41850</v>
      </c>
      <c r="D32" s="603"/>
      <c r="E32" s="597">
        <f t="shared" ca="1" si="2"/>
        <v>1</v>
      </c>
      <c r="F32" s="40"/>
      <c r="G32" s="40"/>
      <c r="H32" s="40"/>
      <c r="I32" s="40"/>
      <c r="J32" s="40"/>
      <c r="K32" s="594"/>
      <c r="L32" s="594"/>
      <c r="M32" s="40"/>
      <c r="N32" s="40"/>
      <c r="O32" s="40"/>
      <c r="P32" s="40"/>
      <c r="Q32" s="40"/>
      <c r="R32" s="595"/>
      <c r="S32" s="595"/>
      <c r="T32" s="40"/>
      <c r="U32" s="40"/>
      <c r="V32" s="40"/>
      <c r="W32" s="40"/>
      <c r="X32" s="40"/>
      <c r="Y32" s="595"/>
      <c r="Z32" s="595"/>
      <c r="AA32" s="40"/>
      <c r="AB32" s="40"/>
      <c r="AC32" s="40"/>
      <c r="AD32" s="40"/>
      <c r="AE32" s="40"/>
      <c r="AF32" s="595"/>
      <c r="AG32" s="595"/>
      <c r="AH32" s="40"/>
      <c r="AI32" s="40"/>
      <c r="AJ32" s="40"/>
      <c r="AK32" s="40"/>
      <c r="AL32" s="40"/>
      <c r="AM32" s="595"/>
      <c r="AN32" s="595"/>
      <c r="AO32" s="40"/>
      <c r="AP32" s="40"/>
      <c r="AQ32" s="40"/>
      <c r="AR32" s="40"/>
      <c r="AS32" s="40"/>
      <c r="AT32" s="595"/>
      <c r="AU32" s="595"/>
      <c r="AV32" s="40"/>
      <c r="AW32" s="40"/>
      <c r="AX32" s="40"/>
      <c r="AY32" s="40"/>
      <c r="AZ32" s="40"/>
      <c r="BA32" s="595"/>
      <c r="BB32" s="595"/>
      <c r="BC32" s="40"/>
      <c r="BD32" s="40"/>
      <c r="BE32" s="40"/>
      <c r="BF32" s="40"/>
      <c r="BG32" s="40"/>
      <c r="BH32" s="595"/>
      <c r="BI32" s="595"/>
    </row>
    <row r="33" spans="1:61" ht="15.75">
      <c r="A33" s="604" t="s">
        <v>440</v>
      </c>
      <c r="B33" s="603" t="s">
        <v>0</v>
      </c>
      <c r="C33" s="603" t="s">
        <v>0</v>
      </c>
      <c r="D33" s="603"/>
      <c r="E33" s="597">
        <f t="shared" ca="1" si="2"/>
        <v>0</v>
      </c>
      <c r="F33" s="40"/>
      <c r="G33" s="40"/>
      <c r="H33" s="40"/>
      <c r="I33" s="40"/>
      <c r="J33" s="40"/>
      <c r="K33" s="594"/>
      <c r="L33" s="594"/>
      <c r="M33" s="40"/>
      <c r="N33" s="40"/>
      <c r="O33" s="40"/>
      <c r="P33" s="40"/>
      <c r="Q33" s="40"/>
      <c r="R33" s="595"/>
      <c r="S33" s="595"/>
      <c r="T33" s="40"/>
      <c r="U33" s="40"/>
      <c r="V33" s="40"/>
      <c r="W33" s="40"/>
      <c r="X33" s="40"/>
      <c r="Y33" s="595"/>
      <c r="Z33" s="595"/>
      <c r="AA33" s="40"/>
      <c r="AB33" s="40"/>
      <c r="AC33" s="40"/>
      <c r="AD33" s="40"/>
      <c r="AE33" s="40"/>
      <c r="AF33" s="595"/>
      <c r="AG33" s="595"/>
      <c r="AH33" s="40"/>
      <c r="AI33" s="40"/>
      <c r="AJ33" s="40"/>
      <c r="AK33" s="40"/>
      <c r="AL33" s="40"/>
      <c r="AM33" s="595"/>
      <c r="AN33" s="595"/>
      <c r="AO33" s="40"/>
      <c r="AP33" s="40"/>
      <c r="AQ33" s="40"/>
      <c r="AR33" s="40"/>
      <c r="AS33" s="40"/>
      <c r="AT33" s="595"/>
      <c r="AU33" s="595"/>
      <c r="AV33" s="40"/>
      <c r="AW33" s="40"/>
      <c r="AX33" s="40"/>
      <c r="AY33" s="40"/>
      <c r="AZ33" s="40"/>
      <c r="BA33" s="595"/>
      <c r="BB33" s="595"/>
      <c r="BC33" s="40"/>
      <c r="BD33" s="40"/>
      <c r="BE33" s="40"/>
      <c r="BF33" s="40"/>
      <c r="BG33" s="40"/>
      <c r="BH33" s="595"/>
      <c r="BI33" s="595"/>
    </row>
    <row r="34" spans="1:61" ht="15.75">
      <c r="A34" s="644" t="s">
        <v>441</v>
      </c>
      <c r="B34" s="603">
        <f>S.EQC.DirectorsReport1</f>
        <v>0</v>
      </c>
      <c r="C34" s="603">
        <f>B34</f>
        <v>0</v>
      </c>
      <c r="D34" s="603"/>
      <c r="E34" s="597">
        <f t="shared" ca="1" si="2"/>
        <v>1</v>
      </c>
      <c r="F34" s="40"/>
      <c r="G34" s="40"/>
      <c r="H34" s="40"/>
      <c r="I34" s="40"/>
      <c r="J34" s="40"/>
      <c r="K34" s="594"/>
      <c r="L34" s="594"/>
      <c r="M34" s="40"/>
      <c r="N34" s="40"/>
      <c r="O34" s="40"/>
      <c r="P34" s="40"/>
      <c r="Q34" s="40"/>
      <c r="R34" s="595"/>
      <c r="S34" s="595"/>
      <c r="T34" s="40"/>
      <c r="U34" s="40"/>
      <c r="V34" s="40"/>
      <c r="W34" s="40"/>
      <c r="X34" s="40"/>
      <c r="Y34" s="595"/>
      <c r="Z34" s="595"/>
      <c r="AA34" s="40"/>
      <c r="AB34" s="40"/>
      <c r="AC34" s="40"/>
      <c r="AD34" s="40"/>
      <c r="AE34" s="40"/>
      <c r="AF34" s="595"/>
      <c r="AG34" s="595"/>
      <c r="AH34" s="40"/>
      <c r="AI34" s="40"/>
      <c r="AJ34" s="40"/>
      <c r="AK34" s="40"/>
      <c r="AL34" s="40"/>
      <c r="AM34" s="595"/>
      <c r="AN34" s="595"/>
      <c r="AO34" s="40"/>
      <c r="AP34" s="40"/>
      <c r="AQ34" s="40"/>
      <c r="AR34" s="40"/>
      <c r="AS34" s="40"/>
      <c r="AT34" s="595"/>
      <c r="AU34" s="595"/>
      <c r="AV34" s="40"/>
      <c r="AW34" s="40"/>
      <c r="AX34" s="40"/>
      <c r="AY34" s="40"/>
      <c r="AZ34" s="40"/>
      <c r="BA34" s="595"/>
      <c r="BB34" s="595"/>
      <c r="BC34" s="40"/>
      <c r="BD34" s="40"/>
      <c r="BE34" s="40"/>
      <c r="BF34" s="40"/>
      <c r="BG34" s="40"/>
      <c r="BH34" s="595"/>
      <c r="BI34" s="595"/>
    </row>
    <row r="35" spans="1:61" ht="15.75">
      <c r="A35" s="644" t="s">
        <v>442</v>
      </c>
      <c r="B35" s="603">
        <f>S.EQC.DirectorsReport2</f>
        <v>0</v>
      </c>
      <c r="C35" s="603">
        <f>B35</f>
        <v>0</v>
      </c>
      <c r="D35" s="603"/>
      <c r="E35" s="597">
        <f t="shared" ca="1" si="2"/>
        <v>1</v>
      </c>
      <c r="F35" s="40"/>
      <c r="G35" s="40"/>
      <c r="H35" s="40"/>
      <c r="I35" s="40"/>
      <c r="J35" s="40"/>
      <c r="K35" s="594"/>
      <c r="L35" s="594"/>
      <c r="M35" s="40"/>
      <c r="N35" s="40"/>
      <c r="O35" s="40"/>
      <c r="P35" s="40"/>
      <c r="Q35" s="40"/>
      <c r="R35" s="595"/>
      <c r="S35" s="595"/>
      <c r="T35" s="40"/>
      <c r="U35" s="40"/>
      <c r="V35" s="40"/>
      <c r="W35" s="40"/>
      <c r="X35" s="40"/>
      <c r="Y35" s="595"/>
      <c r="Z35" s="595"/>
      <c r="AA35" s="40"/>
      <c r="AB35" s="40"/>
      <c r="AC35" s="40"/>
      <c r="AD35" s="40"/>
      <c r="AE35" s="40"/>
      <c r="AF35" s="595"/>
      <c r="AG35" s="595"/>
      <c r="AH35" s="40"/>
      <c r="AI35" s="40"/>
      <c r="AJ35" s="40"/>
      <c r="AK35" s="40"/>
      <c r="AL35" s="40"/>
      <c r="AM35" s="595"/>
      <c r="AN35" s="595"/>
      <c r="AO35" s="40"/>
      <c r="AP35" s="40"/>
      <c r="AQ35" s="40"/>
      <c r="AR35" s="40"/>
      <c r="AS35" s="40"/>
      <c r="AT35" s="595"/>
      <c r="AU35" s="595"/>
      <c r="AV35" s="40"/>
      <c r="AW35" s="40"/>
      <c r="AX35" s="40"/>
      <c r="AY35" s="40"/>
      <c r="AZ35" s="40"/>
      <c r="BA35" s="595"/>
      <c r="BB35" s="595"/>
      <c r="BC35" s="40"/>
      <c r="BD35" s="40"/>
      <c r="BE35" s="40"/>
      <c r="BF35" s="40"/>
      <c r="BG35" s="40"/>
      <c r="BH35" s="595"/>
      <c r="BI35" s="595"/>
    </row>
    <row r="36" spans="1:61" ht="15.75">
      <c r="A36" s="644" t="s">
        <v>443</v>
      </c>
      <c r="B36" s="603">
        <f>S.EQC.InfoItem1</f>
        <v>0</v>
      </c>
      <c r="C36" s="603">
        <f>B36</f>
        <v>0</v>
      </c>
      <c r="D36" s="603"/>
      <c r="E36" s="597">
        <f t="shared" ca="1" si="2"/>
        <v>1</v>
      </c>
      <c r="F36" s="40"/>
      <c r="G36" s="40"/>
      <c r="H36" s="40"/>
      <c r="I36" s="40"/>
      <c r="J36" s="40"/>
      <c r="K36" s="594"/>
      <c r="L36" s="594"/>
      <c r="M36" s="40"/>
      <c r="N36" s="40"/>
      <c r="O36" s="40"/>
      <c r="P36" s="40"/>
      <c r="Q36" s="40"/>
      <c r="R36" s="595"/>
      <c r="S36" s="595"/>
      <c r="T36" s="40"/>
      <c r="U36" s="40"/>
      <c r="V36" s="40"/>
      <c r="W36" s="40"/>
      <c r="X36" s="40"/>
      <c r="Y36" s="595"/>
      <c r="Z36" s="595"/>
      <c r="AA36" s="40"/>
      <c r="AB36" s="40"/>
      <c r="AC36" s="40"/>
      <c r="AD36" s="40"/>
      <c r="AE36" s="40"/>
      <c r="AF36" s="595"/>
      <c r="AG36" s="595"/>
      <c r="AH36" s="40"/>
      <c r="AI36" s="40"/>
      <c r="AJ36" s="40"/>
      <c r="AK36" s="40"/>
      <c r="AL36" s="40"/>
      <c r="AM36" s="595"/>
      <c r="AN36" s="595"/>
      <c r="AO36" s="40"/>
      <c r="AP36" s="40"/>
      <c r="AQ36" s="40"/>
      <c r="AR36" s="40"/>
      <c r="AS36" s="40"/>
      <c r="AT36" s="595"/>
      <c r="AU36" s="595"/>
      <c r="AV36" s="40"/>
      <c r="AW36" s="40"/>
      <c r="AX36" s="40"/>
      <c r="AY36" s="40"/>
      <c r="AZ36" s="40"/>
      <c r="BA36" s="595"/>
      <c r="BB36" s="595"/>
      <c r="BC36" s="40"/>
      <c r="BD36" s="40"/>
      <c r="BE36" s="40"/>
      <c r="BF36" s="40"/>
      <c r="BG36" s="40"/>
      <c r="BH36" s="595"/>
      <c r="BI36" s="595"/>
    </row>
    <row r="37" spans="1:61" ht="15.75">
      <c r="A37" s="644" t="s">
        <v>444</v>
      </c>
      <c r="B37" s="603">
        <f>S.EQC.InfoItem2</f>
        <v>0</v>
      </c>
      <c r="C37" s="603">
        <f>B37</f>
        <v>0</v>
      </c>
      <c r="D37" s="603"/>
      <c r="E37" s="597">
        <f t="shared" ca="1" si="2"/>
        <v>1</v>
      </c>
      <c r="F37" s="40"/>
      <c r="G37" s="40"/>
      <c r="H37" s="40"/>
      <c r="I37" s="40"/>
      <c r="J37" s="40"/>
      <c r="K37" s="594"/>
      <c r="L37" s="594"/>
      <c r="M37" s="40"/>
      <c r="N37" s="40"/>
      <c r="O37" s="40"/>
      <c r="P37" s="40"/>
      <c r="Q37" s="40"/>
      <c r="R37" s="595"/>
      <c r="S37" s="595"/>
      <c r="T37" s="40"/>
      <c r="U37" s="40"/>
      <c r="V37" s="40"/>
      <c r="W37" s="40"/>
      <c r="X37" s="40"/>
      <c r="Y37" s="595"/>
      <c r="Z37" s="595"/>
      <c r="AA37" s="40"/>
      <c r="AB37" s="40"/>
      <c r="AC37" s="40"/>
      <c r="AD37" s="40"/>
      <c r="AE37" s="40"/>
      <c r="AF37" s="595"/>
      <c r="AG37" s="595"/>
      <c r="AH37" s="40"/>
      <c r="AI37" s="40"/>
      <c r="AJ37" s="40"/>
      <c r="AK37" s="40"/>
      <c r="AL37" s="40"/>
      <c r="AM37" s="595"/>
      <c r="AN37" s="595"/>
      <c r="AO37" s="40"/>
      <c r="AP37" s="40"/>
      <c r="AQ37" s="40"/>
      <c r="AR37" s="40"/>
      <c r="AS37" s="40"/>
      <c r="AT37" s="595"/>
      <c r="AU37" s="595"/>
      <c r="AV37" s="40"/>
      <c r="AW37" s="40"/>
      <c r="AX37" s="40"/>
      <c r="AY37" s="40"/>
      <c r="AZ37" s="40"/>
      <c r="BA37" s="595"/>
      <c r="BB37" s="595"/>
      <c r="BC37" s="40"/>
      <c r="BD37" s="40"/>
      <c r="BE37" s="40"/>
      <c r="BF37" s="40"/>
      <c r="BG37" s="40"/>
      <c r="BH37" s="595"/>
      <c r="BI37" s="595"/>
    </row>
    <row r="38" spans="1:61" ht="15.75">
      <c r="A38" s="604" t="s">
        <v>445</v>
      </c>
      <c r="B38" s="603" t="s">
        <v>0</v>
      </c>
      <c r="C38" s="603" t="s">
        <v>0</v>
      </c>
      <c r="D38" s="603"/>
      <c r="E38" s="597">
        <f t="shared" ca="1" si="2"/>
        <v>0</v>
      </c>
      <c r="F38" s="40"/>
      <c r="G38" s="40"/>
      <c r="H38" s="40"/>
      <c r="I38" s="40"/>
      <c r="J38" s="40"/>
      <c r="K38" s="594"/>
      <c r="L38" s="594"/>
      <c r="M38" s="40"/>
      <c r="N38" s="40"/>
      <c r="O38" s="40"/>
      <c r="P38" s="40"/>
      <c r="Q38" s="40"/>
      <c r="R38" s="595"/>
      <c r="S38" s="595"/>
      <c r="T38" s="40"/>
      <c r="U38" s="40"/>
      <c r="V38" s="40"/>
      <c r="W38" s="40"/>
      <c r="X38" s="40"/>
      <c r="Y38" s="595"/>
      <c r="Z38" s="595"/>
      <c r="AA38" s="40"/>
      <c r="AB38" s="40"/>
      <c r="AC38" s="40"/>
      <c r="AD38" s="40"/>
      <c r="AE38" s="40"/>
      <c r="AF38" s="595"/>
      <c r="AG38" s="595"/>
      <c r="AH38" s="40"/>
      <c r="AI38" s="40"/>
      <c r="AJ38" s="40"/>
      <c r="AK38" s="40"/>
      <c r="AL38" s="40"/>
      <c r="AM38" s="595"/>
      <c r="AN38" s="595"/>
      <c r="AO38" s="40"/>
      <c r="AP38" s="40"/>
      <c r="AQ38" s="40"/>
      <c r="AR38" s="40"/>
      <c r="AS38" s="40"/>
      <c r="AT38" s="595"/>
      <c r="AU38" s="595"/>
      <c r="AV38" s="40"/>
      <c r="AW38" s="40"/>
      <c r="AX38" s="40"/>
      <c r="AY38" s="40"/>
      <c r="AZ38" s="40"/>
      <c r="BA38" s="595"/>
      <c r="BB38" s="595"/>
      <c r="BC38" s="40"/>
      <c r="BD38" s="40"/>
      <c r="BE38" s="40"/>
      <c r="BF38" s="40"/>
      <c r="BG38" s="40"/>
      <c r="BH38" s="595"/>
      <c r="BI38" s="595"/>
    </row>
    <row r="39" spans="1:61" ht="15.75">
      <c r="A39" s="644" t="s">
        <v>446</v>
      </c>
      <c r="B39" s="603">
        <f>S.Notice.EPA.180days</f>
        <v>0</v>
      </c>
      <c r="C39" s="603">
        <f>B39</f>
        <v>0</v>
      </c>
      <c r="D39" s="603"/>
      <c r="E39" s="597">
        <f t="shared" ca="1" si="2"/>
        <v>1</v>
      </c>
      <c r="F39" s="40"/>
      <c r="G39" s="40"/>
      <c r="H39" s="40"/>
      <c r="I39" s="40"/>
      <c r="J39" s="40"/>
      <c r="K39" s="594"/>
      <c r="L39" s="594"/>
      <c r="M39" s="40"/>
      <c r="N39" s="40"/>
      <c r="O39" s="40"/>
      <c r="P39" s="40"/>
      <c r="Q39" s="40"/>
      <c r="R39" s="595"/>
      <c r="S39" s="595"/>
      <c r="T39" s="40"/>
      <c r="U39" s="40"/>
      <c r="V39" s="40"/>
      <c r="W39" s="40"/>
      <c r="X39" s="40"/>
      <c r="Y39" s="595"/>
      <c r="Z39" s="595"/>
      <c r="AA39" s="40"/>
      <c r="AB39" s="40"/>
      <c r="AC39" s="40"/>
      <c r="AD39" s="40"/>
      <c r="AE39" s="40"/>
      <c r="AF39" s="595"/>
      <c r="AG39" s="595"/>
      <c r="AH39" s="40"/>
      <c r="AI39" s="40"/>
      <c r="AJ39" s="40"/>
      <c r="AK39" s="40"/>
      <c r="AL39" s="40"/>
      <c r="AM39" s="595"/>
      <c r="AN39" s="595"/>
      <c r="AO39" s="40"/>
      <c r="AP39" s="40"/>
      <c r="AQ39" s="40"/>
      <c r="AR39" s="40"/>
      <c r="AS39" s="40"/>
      <c r="AT39" s="595"/>
      <c r="AU39" s="595"/>
      <c r="AV39" s="40"/>
      <c r="AW39" s="40"/>
      <c r="AX39" s="40"/>
      <c r="AY39" s="40"/>
      <c r="AZ39" s="40"/>
      <c r="BA39" s="595"/>
      <c r="BB39" s="595"/>
      <c r="BC39" s="40"/>
      <c r="BD39" s="40"/>
      <c r="BE39" s="40"/>
      <c r="BF39" s="40"/>
      <c r="BG39" s="40"/>
      <c r="BH39" s="595"/>
      <c r="BI39" s="595"/>
    </row>
    <row r="40" spans="1:61" ht="15.75">
      <c r="A40" s="644" t="s">
        <v>447</v>
      </c>
      <c r="B40" s="603" t="e">
        <f>S.Notice.EPA.45day</f>
        <v>#NAME?</v>
      </c>
      <c r="C40" s="603" t="e">
        <f>B40</f>
        <v>#NAME?</v>
      </c>
      <c r="D40" s="603"/>
      <c r="E40" s="597" t="e">
        <f t="shared" ca="1" si="2"/>
        <v>#NAME?</v>
      </c>
      <c r="F40" s="40"/>
      <c r="G40" s="40"/>
      <c r="H40" s="40"/>
      <c r="I40" s="40"/>
      <c r="J40" s="40"/>
      <c r="K40" s="594"/>
      <c r="L40" s="594"/>
      <c r="M40" s="40"/>
      <c r="N40" s="40"/>
      <c r="O40" s="40"/>
      <c r="P40" s="40"/>
      <c r="Q40" s="40"/>
      <c r="R40" s="595"/>
      <c r="S40" s="595"/>
      <c r="T40" s="40"/>
      <c r="U40" s="40"/>
      <c r="V40" s="40"/>
      <c r="W40" s="40"/>
      <c r="X40" s="40"/>
      <c r="Y40" s="595"/>
      <c r="Z40" s="595"/>
      <c r="AA40" s="40"/>
      <c r="AB40" s="40"/>
      <c r="AC40" s="40"/>
      <c r="AD40" s="40"/>
      <c r="AE40" s="40"/>
      <c r="AF40" s="595"/>
      <c r="AG40" s="595"/>
      <c r="AH40" s="40"/>
      <c r="AI40" s="40"/>
      <c r="AJ40" s="40"/>
      <c r="AK40" s="40"/>
      <c r="AL40" s="40"/>
      <c r="AM40" s="595"/>
      <c r="AN40" s="595"/>
      <c r="AO40" s="40"/>
      <c r="AP40" s="40"/>
      <c r="AQ40" s="40"/>
      <c r="AR40" s="40"/>
      <c r="AS40" s="40"/>
      <c r="AT40" s="595"/>
      <c r="AU40" s="595"/>
      <c r="AV40" s="40"/>
      <c r="AW40" s="40"/>
      <c r="AX40" s="40"/>
      <c r="AY40" s="40"/>
      <c r="AZ40" s="40"/>
      <c r="BA40" s="595"/>
      <c r="BB40" s="595"/>
      <c r="BC40" s="40"/>
      <c r="BD40" s="40"/>
      <c r="BE40" s="40"/>
      <c r="BF40" s="40"/>
      <c r="BG40" s="40"/>
      <c r="BH40" s="595"/>
      <c r="BI40" s="595"/>
    </row>
    <row r="41" spans="1:61" s="23" customFormat="1" ht="15.75">
      <c r="A41" s="644" t="s">
        <v>448</v>
      </c>
      <c r="B41" s="603" t="e">
        <f>S.Notice.StartInvolveResources</f>
        <v>#REF!</v>
      </c>
      <c r="C41" s="603" t="e">
        <f>S.Notice.EndInvolveResources</f>
        <v>#REF!</v>
      </c>
      <c r="D41" s="603"/>
      <c r="E41" s="597" t="e">
        <f t="shared" ca="1" si="2"/>
        <v>#REF!</v>
      </c>
      <c r="F41" s="40"/>
      <c r="G41" s="40"/>
      <c r="H41" s="40"/>
      <c r="I41" s="40"/>
      <c r="J41" s="40"/>
      <c r="K41" s="594"/>
      <c r="L41" s="594"/>
      <c r="M41" s="40"/>
      <c r="N41" s="40"/>
      <c r="O41" s="40"/>
      <c r="P41" s="40"/>
      <c r="Q41" s="40"/>
      <c r="R41" s="595"/>
      <c r="S41" s="595"/>
      <c r="T41" s="40"/>
      <c r="U41" s="40"/>
      <c r="V41" s="40"/>
      <c r="W41" s="40"/>
      <c r="X41" s="40"/>
      <c r="Y41" s="595"/>
      <c r="Z41" s="595"/>
      <c r="AA41" s="40"/>
      <c r="AB41" s="40"/>
      <c r="AC41" s="40"/>
      <c r="AD41" s="40"/>
      <c r="AE41" s="40"/>
      <c r="AF41" s="595"/>
      <c r="AG41" s="595"/>
      <c r="AH41" s="40"/>
      <c r="AI41" s="40"/>
      <c r="AJ41" s="40"/>
      <c r="AK41" s="40"/>
      <c r="AL41" s="40"/>
      <c r="AM41" s="595"/>
      <c r="AN41" s="595"/>
      <c r="AO41" s="40"/>
      <c r="AP41" s="40"/>
      <c r="AQ41" s="40"/>
      <c r="AR41" s="40"/>
      <c r="AS41" s="40"/>
      <c r="AT41" s="595"/>
      <c r="AU41" s="595"/>
      <c r="AV41" s="40"/>
      <c r="AW41" s="40"/>
      <c r="AX41" s="40"/>
      <c r="AY41" s="40"/>
      <c r="AZ41" s="40"/>
      <c r="BA41" s="595"/>
      <c r="BB41" s="595"/>
      <c r="BC41" s="40"/>
      <c r="BD41" s="40"/>
      <c r="BE41" s="40"/>
      <c r="BF41" s="40"/>
      <c r="BG41" s="40"/>
      <c r="BH41" s="595"/>
      <c r="BI41" s="595"/>
    </row>
    <row r="42" spans="1:61" ht="15.75">
      <c r="A42" s="644" t="s">
        <v>449</v>
      </c>
      <c r="B42" s="603">
        <f>S.Notice.AD.ToContractServices</f>
        <v>0</v>
      </c>
      <c r="C42" s="603">
        <f>B42</f>
        <v>0</v>
      </c>
      <c r="D42" s="603"/>
      <c r="E42" s="597">
        <f t="shared" ca="1" si="2"/>
        <v>1</v>
      </c>
      <c r="F42" s="40"/>
      <c r="G42" s="40"/>
      <c r="H42" s="40"/>
      <c r="I42" s="40"/>
      <c r="J42" s="40"/>
      <c r="K42" s="594"/>
      <c r="L42" s="594"/>
      <c r="M42" s="40"/>
      <c r="N42" s="40"/>
      <c r="O42" s="40"/>
      <c r="P42" s="40"/>
      <c r="Q42" s="40"/>
      <c r="R42" s="595"/>
      <c r="S42" s="595"/>
      <c r="T42" s="40"/>
      <c r="U42" s="40"/>
      <c r="V42" s="40"/>
      <c r="W42" s="40"/>
      <c r="X42" s="40"/>
      <c r="Y42" s="595"/>
      <c r="Z42" s="595"/>
      <c r="AA42" s="40"/>
      <c r="AB42" s="40"/>
      <c r="AC42" s="40"/>
      <c r="AD42" s="40"/>
      <c r="AE42" s="40"/>
      <c r="AF42" s="595"/>
      <c r="AG42" s="595"/>
      <c r="AH42" s="40"/>
      <c r="AI42" s="40"/>
      <c r="AJ42" s="40"/>
      <c r="AK42" s="40"/>
      <c r="AL42" s="40"/>
      <c r="AM42" s="595"/>
      <c r="AN42" s="595"/>
      <c r="AO42" s="40"/>
      <c r="AP42" s="40"/>
      <c r="AQ42" s="40"/>
      <c r="AR42" s="40"/>
      <c r="AS42" s="40"/>
      <c r="AT42" s="595"/>
      <c r="AU42" s="595"/>
      <c r="AV42" s="40"/>
      <c r="AW42" s="40"/>
      <c r="AX42" s="40"/>
      <c r="AY42" s="40"/>
      <c r="AZ42" s="40"/>
      <c r="BA42" s="595"/>
      <c r="BB42" s="595"/>
      <c r="BC42" s="40"/>
      <c r="BD42" s="40"/>
      <c r="BE42" s="40"/>
      <c r="BF42" s="40"/>
      <c r="BG42" s="40"/>
      <c r="BH42" s="595"/>
      <c r="BI42" s="595"/>
    </row>
    <row r="43" spans="1:61" ht="15.75">
      <c r="A43" s="644" t="s">
        <v>450</v>
      </c>
      <c r="B43" s="603" t="e">
        <f>S.Notice.MgrNoticeApproval</f>
        <v>#NUM!</v>
      </c>
      <c r="C43" s="603" t="e">
        <f>B43</f>
        <v>#NUM!</v>
      </c>
      <c r="D43" s="603"/>
      <c r="E43" s="597" t="e">
        <f t="shared" ca="1" si="2"/>
        <v>#NUM!</v>
      </c>
      <c r="F43" s="40"/>
      <c r="G43" s="40"/>
      <c r="H43" s="40"/>
      <c r="I43" s="40"/>
      <c r="J43" s="40"/>
      <c r="K43" s="594"/>
      <c r="L43" s="594"/>
      <c r="M43" s="40"/>
      <c r="N43" s="40"/>
      <c r="O43" s="40"/>
      <c r="P43" s="40"/>
      <c r="Q43" s="40"/>
      <c r="R43" s="595"/>
      <c r="S43" s="595"/>
      <c r="T43" s="40"/>
      <c r="U43" s="40"/>
      <c r="V43" s="40"/>
      <c r="W43" s="40"/>
      <c r="X43" s="40"/>
      <c r="Y43" s="595"/>
      <c r="Z43" s="595"/>
      <c r="AA43" s="40"/>
      <c r="AB43" s="40"/>
      <c r="AC43" s="40"/>
      <c r="AD43" s="40"/>
      <c r="AE43" s="40"/>
      <c r="AF43" s="595"/>
      <c r="AG43" s="595"/>
      <c r="AH43" s="40"/>
      <c r="AI43" s="40"/>
      <c r="AJ43" s="40"/>
      <c r="AK43" s="40"/>
      <c r="AL43" s="40"/>
      <c r="AM43" s="595"/>
      <c r="AN43" s="595"/>
      <c r="AO43" s="40"/>
      <c r="AP43" s="40"/>
      <c r="AQ43" s="40"/>
      <c r="AR43" s="40"/>
      <c r="AS43" s="40"/>
      <c r="AT43" s="595"/>
      <c r="AU43" s="595"/>
      <c r="AV43" s="40"/>
      <c r="AW43" s="40"/>
      <c r="AX43" s="40"/>
      <c r="AY43" s="40"/>
      <c r="AZ43" s="40"/>
      <c r="BA43" s="595"/>
      <c r="BB43" s="595"/>
      <c r="BC43" s="40"/>
      <c r="BD43" s="40"/>
      <c r="BE43" s="40"/>
      <c r="BF43" s="40"/>
      <c r="BG43" s="40"/>
      <c r="BH43" s="595"/>
      <c r="BI43" s="595"/>
    </row>
    <row r="44" spans="1:61" ht="15.75">
      <c r="A44" s="644" t="s">
        <v>451</v>
      </c>
      <c r="B44" s="603">
        <f>S.Notice.OpenComment</f>
        <v>2</v>
      </c>
      <c r="C44" s="603">
        <f>S.Notice.CloseComment</f>
        <v>0</v>
      </c>
      <c r="D44" s="603"/>
      <c r="E44" s="597">
        <f t="shared" ca="1" si="2"/>
        <v>1</v>
      </c>
      <c r="F44" s="40"/>
      <c r="G44" s="40"/>
      <c r="H44" s="40"/>
      <c r="I44" s="40"/>
      <c r="J44" s="40"/>
      <c r="K44" s="594"/>
      <c r="L44" s="594"/>
      <c r="M44" s="40"/>
      <c r="N44" s="40"/>
      <c r="O44" s="40"/>
      <c r="P44" s="40"/>
      <c r="Q44" s="40"/>
      <c r="R44" s="595"/>
      <c r="S44" s="595"/>
      <c r="T44" s="40"/>
      <c r="U44" s="40"/>
      <c r="V44" s="40"/>
      <c r="W44" s="40"/>
      <c r="X44" s="40"/>
      <c r="Y44" s="595"/>
      <c r="Z44" s="595"/>
      <c r="AA44" s="40"/>
      <c r="AB44" s="40"/>
      <c r="AC44" s="40"/>
      <c r="AD44" s="40"/>
      <c r="AE44" s="40"/>
      <c r="AF44" s="595"/>
      <c r="AG44" s="595"/>
      <c r="AH44" s="40"/>
      <c r="AI44" s="40"/>
      <c r="AJ44" s="40"/>
      <c r="AK44" s="40"/>
      <c r="AL44" s="40"/>
      <c r="AM44" s="595"/>
      <c r="AN44" s="595"/>
      <c r="AO44" s="40"/>
      <c r="AP44" s="40"/>
      <c r="AQ44" s="40"/>
      <c r="AR44" s="40"/>
      <c r="AS44" s="40"/>
      <c r="AT44" s="595"/>
      <c r="AU44" s="595"/>
      <c r="AV44" s="40"/>
      <c r="AW44" s="40"/>
      <c r="AX44" s="40"/>
      <c r="AY44" s="40"/>
      <c r="AZ44" s="40"/>
      <c r="BA44" s="595"/>
      <c r="BB44" s="595"/>
      <c r="BC44" s="40"/>
      <c r="BD44" s="40"/>
      <c r="BE44" s="40"/>
      <c r="BF44" s="40"/>
      <c r="BG44" s="40"/>
      <c r="BH44" s="595"/>
      <c r="BI44" s="595"/>
    </row>
    <row r="45" spans="1:61" ht="15.75">
      <c r="A45" s="644" t="s">
        <v>452</v>
      </c>
      <c r="B45" s="603">
        <f>C45</f>
        <v>0</v>
      </c>
      <c r="C45" s="603">
        <f>S.Notice.ADABriefing</f>
        <v>0</v>
      </c>
      <c r="D45" s="603"/>
      <c r="E45" s="597">
        <f t="shared" ca="1" si="2"/>
        <v>1</v>
      </c>
      <c r="F45" s="40"/>
      <c r="G45" s="40"/>
      <c r="H45" s="40"/>
      <c r="I45" s="40"/>
      <c r="J45" s="40"/>
      <c r="K45" s="594"/>
      <c r="L45" s="594"/>
      <c r="M45" s="40"/>
      <c r="N45" s="40"/>
      <c r="O45" s="40"/>
      <c r="P45" s="40"/>
      <c r="Q45" s="40"/>
      <c r="R45" s="595"/>
      <c r="S45" s="595"/>
      <c r="T45" s="40"/>
      <c r="U45" s="40"/>
      <c r="V45" s="40"/>
      <c r="W45" s="40"/>
      <c r="X45" s="40"/>
      <c r="Y45" s="595"/>
      <c r="Z45" s="595"/>
      <c r="AA45" s="40"/>
      <c r="AB45" s="40"/>
      <c r="AC45" s="40"/>
      <c r="AD45" s="40"/>
      <c r="AE45" s="40"/>
      <c r="AF45" s="595"/>
      <c r="AG45" s="595"/>
      <c r="AH45" s="40"/>
      <c r="AI45" s="40"/>
      <c r="AJ45" s="40"/>
      <c r="AK45" s="40"/>
      <c r="AL45" s="40"/>
      <c r="AM45" s="595"/>
      <c r="AN45" s="595"/>
      <c r="AO45" s="40"/>
      <c r="AP45" s="40"/>
      <c r="AQ45" s="40"/>
      <c r="AR45" s="40"/>
      <c r="AS45" s="40"/>
      <c r="AT45" s="595"/>
      <c r="AU45" s="595"/>
      <c r="AV45" s="40"/>
      <c r="AW45" s="40"/>
      <c r="AX45" s="40"/>
      <c r="AY45" s="40"/>
      <c r="AZ45" s="40"/>
      <c r="BA45" s="595"/>
      <c r="BB45" s="595"/>
      <c r="BC45" s="40"/>
      <c r="BD45" s="40"/>
      <c r="BE45" s="40"/>
      <c r="BF45" s="40"/>
      <c r="BG45" s="40"/>
      <c r="BH45" s="595"/>
      <c r="BI45" s="595"/>
    </row>
    <row r="46" spans="1:61" ht="15.75">
      <c r="A46" s="644" t="s">
        <v>453</v>
      </c>
      <c r="B46" s="603">
        <f>S.Notice.DASNotification</f>
        <v>0</v>
      </c>
      <c r="C46" s="603">
        <f>B46</f>
        <v>0</v>
      </c>
      <c r="D46" s="603"/>
      <c r="E46" s="597">
        <f t="shared" ca="1" si="2"/>
        <v>1</v>
      </c>
      <c r="F46" s="40"/>
      <c r="G46" s="40"/>
      <c r="H46" s="40"/>
      <c r="I46" s="40"/>
      <c r="J46" s="40"/>
      <c r="K46" s="594"/>
      <c r="L46" s="594"/>
      <c r="M46" s="40"/>
      <c r="N46" s="40"/>
      <c r="O46" s="40"/>
      <c r="P46" s="40"/>
      <c r="Q46" s="40"/>
      <c r="R46" s="595"/>
      <c r="S46" s="595"/>
      <c r="T46" s="40"/>
      <c r="U46" s="40"/>
      <c r="V46" s="40"/>
      <c r="W46" s="40"/>
      <c r="X46" s="40"/>
      <c r="Y46" s="595"/>
      <c r="Z46" s="595"/>
      <c r="AA46" s="40"/>
      <c r="AB46" s="40"/>
      <c r="AC46" s="40"/>
      <c r="AD46" s="40"/>
      <c r="AE46" s="40"/>
      <c r="AF46" s="595"/>
      <c r="AG46" s="595"/>
      <c r="AH46" s="40"/>
      <c r="AI46" s="40"/>
      <c r="AJ46" s="40"/>
      <c r="AK46" s="40"/>
      <c r="AL46" s="40"/>
      <c r="AM46" s="595"/>
      <c r="AN46" s="595"/>
      <c r="AO46" s="40"/>
      <c r="AP46" s="40"/>
      <c r="AQ46" s="40"/>
      <c r="AR46" s="40"/>
      <c r="AS46" s="40"/>
      <c r="AT46" s="595"/>
      <c r="AU46" s="595"/>
      <c r="AV46" s="40"/>
      <c r="AW46" s="40"/>
      <c r="AX46" s="40"/>
      <c r="AY46" s="40"/>
      <c r="AZ46" s="40"/>
      <c r="BA46" s="595"/>
      <c r="BB46" s="595"/>
      <c r="BC46" s="40"/>
      <c r="BD46" s="40"/>
      <c r="BE46" s="40"/>
      <c r="BF46" s="40"/>
      <c r="BG46" s="40"/>
      <c r="BH46" s="595"/>
      <c r="BI46" s="595"/>
    </row>
    <row r="47" spans="1:61" ht="15.75">
      <c r="A47" s="644" t="s">
        <v>454</v>
      </c>
      <c r="B47" s="603">
        <f>S.Notice.PreviewBegin</f>
        <v>0</v>
      </c>
      <c r="C47" s="603">
        <f>S.Notice.PreviewEnd</f>
        <v>0</v>
      </c>
      <c r="D47" s="603"/>
      <c r="E47" s="597">
        <f t="shared" ca="1" si="2"/>
        <v>1</v>
      </c>
      <c r="F47" s="40"/>
      <c r="G47" s="40"/>
      <c r="H47" s="40"/>
      <c r="I47" s="40"/>
      <c r="J47" s="40"/>
      <c r="K47" s="594"/>
      <c r="L47" s="594"/>
      <c r="M47" s="40"/>
      <c r="N47" s="40"/>
      <c r="O47" s="40"/>
      <c r="P47" s="40"/>
      <c r="Q47" s="40"/>
      <c r="R47" s="595"/>
      <c r="S47" s="595"/>
      <c r="T47" s="40"/>
      <c r="U47" s="40"/>
      <c r="V47" s="40"/>
      <c r="W47" s="40"/>
      <c r="X47" s="40"/>
      <c r="Y47" s="595"/>
      <c r="Z47" s="595"/>
      <c r="AA47" s="40"/>
      <c r="AB47" s="40"/>
      <c r="AC47" s="40"/>
      <c r="AD47" s="40"/>
      <c r="AE47" s="40"/>
      <c r="AF47" s="595"/>
      <c r="AG47" s="595"/>
      <c r="AH47" s="40"/>
      <c r="AI47" s="40"/>
      <c r="AJ47" s="40"/>
      <c r="AK47" s="40"/>
      <c r="AL47" s="40"/>
      <c r="AM47" s="595"/>
      <c r="AN47" s="595"/>
      <c r="AO47" s="40"/>
      <c r="AP47" s="40"/>
      <c r="AQ47" s="40"/>
      <c r="AR47" s="40"/>
      <c r="AS47" s="40"/>
      <c r="AT47" s="595"/>
      <c r="AU47" s="595"/>
      <c r="AV47" s="40"/>
      <c r="AW47" s="40"/>
      <c r="AX47" s="40"/>
      <c r="AY47" s="40"/>
      <c r="AZ47" s="40"/>
      <c r="BA47" s="595"/>
      <c r="BB47" s="595"/>
      <c r="BC47" s="40"/>
      <c r="BD47" s="40"/>
      <c r="BE47" s="40"/>
      <c r="BF47" s="40"/>
      <c r="BG47" s="40"/>
      <c r="BH47" s="595"/>
      <c r="BI47" s="595"/>
    </row>
    <row r="48" spans="1:61" ht="15.75">
      <c r="A48" s="644" t="s">
        <v>455</v>
      </c>
      <c r="B48" s="603">
        <f>S.Notice.SubmitToSOS</f>
        <v>0</v>
      </c>
      <c r="C48" s="603">
        <f>S.Notice.InOregonBulletin</f>
        <v>41913</v>
      </c>
      <c r="D48" s="603"/>
      <c r="E48" s="597">
        <f t="shared" ca="1" si="2"/>
        <v>0</v>
      </c>
      <c r="F48" s="40"/>
      <c r="G48" s="40"/>
      <c r="H48" s="40"/>
      <c r="I48" s="40"/>
      <c r="J48" s="40"/>
      <c r="K48" s="594"/>
      <c r="L48" s="594"/>
      <c r="M48" s="40"/>
      <c r="N48" s="40"/>
      <c r="O48" s="40"/>
      <c r="P48" s="40"/>
      <c r="Q48" s="40"/>
      <c r="R48" s="595"/>
      <c r="S48" s="595"/>
      <c r="T48" s="40"/>
      <c r="U48" s="40"/>
      <c r="V48" s="40"/>
      <c r="W48" s="40"/>
      <c r="X48" s="40"/>
      <c r="Y48" s="595"/>
      <c r="Z48" s="595"/>
      <c r="AA48" s="40"/>
      <c r="AB48" s="40"/>
      <c r="AC48" s="40"/>
      <c r="AD48" s="40"/>
      <c r="AE48" s="40"/>
      <c r="AF48" s="595"/>
      <c r="AG48" s="595"/>
      <c r="AH48" s="40"/>
      <c r="AI48" s="40"/>
      <c r="AJ48" s="40"/>
      <c r="AK48" s="40"/>
      <c r="AL48" s="40"/>
      <c r="AM48" s="595"/>
      <c r="AN48" s="595"/>
      <c r="AO48" s="40"/>
      <c r="AP48" s="40"/>
      <c r="AQ48" s="40"/>
      <c r="AR48" s="40"/>
      <c r="AS48" s="40"/>
      <c r="AT48" s="595"/>
      <c r="AU48" s="595"/>
      <c r="AV48" s="40"/>
      <c r="AW48" s="40"/>
      <c r="AX48" s="40"/>
      <c r="AY48" s="40"/>
      <c r="AZ48" s="40"/>
      <c r="BA48" s="595"/>
      <c r="BB48" s="595"/>
      <c r="BC48" s="40"/>
      <c r="BD48" s="40"/>
      <c r="BE48" s="40"/>
      <c r="BF48" s="40"/>
      <c r="BG48" s="40"/>
      <c r="BH48" s="595"/>
      <c r="BI48" s="595"/>
    </row>
    <row r="49" spans="1:61" ht="15.75">
      <c r="A49" s="644" t="s">
        <v>456</v>
      </c>
      <c r="B49" s="603">
        <f>S.Hearing.1stDate</f>
        <v>0</v>
      </c>
      <c r="C49" s="603">
        <f>S.Notice.LastHearingDate</f>
        <v>0</v>
      </c>
      <c r="D49" s="603"/>
      <c r="E49" s="597">
        <f t="shared" ca="1" si="2"/>
        <v>1</v>
      </c>
      <c r="F49" s="40"/>
      <c r="G49" s="40"/>
      <c r="H49" s="40"/>
      <c r="I49" s="40"/>
      <c r="J49" s="40"/>
      <c r="K49" s="594"/>
      <c r="L49" s="594"/>
      <c r="M49" s="40"/>
      <c r="N49" s="40"/>
      <c r="O49" s="40"/>
      <c r="P49" s="40"/>
      <c r="Q49" s="40"/>
      <c r="R49" s="595"/>
      <c r="S49" s="595"/>
      <c r="T49" s="40"/>
      <c r="U49" s="40"/>
      <c r="V49" s="40"/>
      <c r="W49" s="40"/>
      <c r="X49" s="40"/>
      <c r="Y49" s="595"/>
      <c r="Z49" s="595"/>
      <c r="AA49" s="40"/>
      <c r="AB49" s="40"/>
      <c r="AC49" s="40"/>
      <c r="AD49" s="40"/>
      <c r="AE49" s="40"/>
      <c r="AF49" s="595"/>
      <c r="AG49" s="595"/>
      <c r="AH49" s="40"/>
      <c r="AI49" s="40"/>
      <c r="AJ49" s="40"/>
      <c r="AK49" s="40"/>
      <c r="AL49" s="40"/>
      <c r="AM49" s="595"/>
      <c r="AN49" s="595"/>
      <c r="AO49" s="40"/>
      <c r="AP49" s="40"/>
      <c r="AQ49" s="40"/>
      <c r="AR49" s="40"/>
      <c r="AS49" s="40"/>
      <c r="AT49" s="595"/>
      <c r="AU49" s="595"/>
      <c r="AV49" s="40"/>
      <c r="AW49" s="40"/>
      <c r="AX49" s="40"/>
      <c r="AY49" s="40"/>
      <c r="AZ49" s="40"/>
      <c r="BA49" s="595"/>
      <c r="BB49" s="595"/>
      <c r="BC49" s="40"/>
      <c r="BD49" s="40"/>
      <c r="BE49" s="40"/>
      <c r="BF49" s="40"/>
      <c r="BG49" s="40"/>
      <c r="BH49" s="595"/>
      <c r="BI49" s="595"/>
    </row>
    <row r="50" spans="1:61" ht="15.75">
      <c r="A50" s="601" t="s">
        <v>457</v>
      </c>
      <c r="B50" s="603" t="s">
        <v>0</v>
      </c>
      <c r="C50" s="603" t="s">
        <v>0</v>
      </c>
      <c r="D50" s="603"/>
      <c r="E50" s="597">
        <f t="shared" ca="1" si="2"/>
        <v>0</v>
      </c>
      <c r="F50" s="40"/>
      <c r="G50" s="40"/>
      <c r="H50" s="40"/>
      <c r="I50" s="40"/>
      <c r="J50" s="40"/>
      <c r="K50" s="594"/>
      <c r="L50" s="594"/>
      <c r="M50" s="40"/>
      <c r="N50" s="40"/>
      <c r="O50" s="40"/>
      <c r="P50" s="40"/>
      <c r="Q50" s="40"/>
      <c r="R50" s="595"/>
      <c r="S50" s="595"/>
      <c r="T50" s="40"/>
      <c r="U50" s="40"/>
      <c r="V50" s="40"/>
      <c r="W50" s="40"/>
      <c r="X50" s="40"/>
      <c r="Y50" s="595"/>
      <c r="Z50" s="595"/>
      <c r="AA50" s="40"/>
      <c r="AB50" s="40"/>
      <c r="AC50" s="40"/>
      <c r="AD50" s="40"/>
      <c r="AE50" s="40"/>
      <c r="AF50" s="595"/>
      <c r="AG50" s="595"/>
      <c r="AH50" s="40"/>
      <c r="AI50" s="40"/>
      <c r="AJ50" s="40"/>
      <c r="AK50" s="40"/>
      <c r="AL50" s="40"/>
      <c r="AM50" s="595"/>
      <c r="AN50" s="595"/>
      <c r="AO50" s="40"/>
      <c r="AP50" s="40"/>
      <c r="AQ50" s="40"/>
      <c r="AR50" s="40"/>
      <c r="AS50" s="40"/>
      <c r="AT50" s="595"/>
      <c r="AU50" s="595"/>
      <c r="AV50" s="40"/>
      <c r="AW50" s="40"/>
      <c r="AX50" s="40"/>
      <c r="AY50" s="40"/>
      <c r="AZ50" s="40"/>
      <c r="BA50" s="595"/>
      <c r="BB50" s="595"/>
      <c r="BC50" s="40"/>
      <c r="BD50" s="40"/>
      <c r="BE50" s="40"/>
      <c r="BF50" s="40"/>
      <c r="BG50" s="40"/>
      <c r="BH50" s="595"/>
      <c r="BI50" s="595"/>
    </row>
    <row r="51" spans="1:61" ht="15.75">
      <c r="A51" s="646" t="s">
        <v>458</v>
      </c>
      <c r="B51" s="603">
        <f>S.EQC.Meeting</f>
        <v>41948</v>
      </c>
      <c r="C51" s="603">
        <f>B51</f>
        <v>41948</v>
      </c>
      <c r="D51" s="603"/>
      <c r="E51" s="597">
        <f t="shared" ca="1" si="2"/>
        <v>0</v>
      </c>
      <c r="F51" s="40"/>
      <c r="G51" s="40"/>
      <c r="H51" s="40"/>
      <c r="I51" s="40"/>
      <c r="J51" s="40"/>
      <c r="K51" s="594"/>
      <c r="L51" s="594"/>
      <c r="M51" s="40"/>
      <c r="N51" s="40"/>
      <c r="O51" s="40"/>
      <c r="P51" s="40"/>
      <c r="Q51" s="40"/>
      <c r="R51" s="595"/>
      <c r="S51" s="595"/>
      <c r="T51" s="40"/>
      <c r="U51" s="40"/>
      <c r="V51" s="40"/>
      <c r="W51" s="40"/>
      <c r="X51" s="40"/>
      <c r="Y51" s="595"/>
      <c r="Z51" s="595"/>
      <c r="AA51" s="40"/>
      <c r="AB51" s="40"/>
      <c r="AC51" s="40"/>
      <c r="AD51" s="40"/>
      <c r="AE51" s="40"/>
      <c r="AF51" s="595"/>
      <c r="AG51" s="595"/>
      <c r="AH51" s="40"/>
      <c r="AI51" s="40"/>
      <c r="AJ51" s="40"/>
      <c r="AK51" s="40"/>
      <c r="AL51" s="40"/>
      <c r="AM51" s="595"/>
      <c r="AN51" s="595"/>
      <c r="AO51" s="40"/>
      <c r="AP51" s="40"/>
      <c r="AQ51" s="40"/>
      <c r="AR51" s="40"/>
      <c r="AS51" s="40"/>
      <c r="AT51" s="595"/>
      <c r="AU51" s="595"/>
      <c r="AV51" s="40"/>
      <c r="AW51" s="40"/>
      <c r="AX51" s="40"/>
      <c r="AY51" s="40"/>
      <c r="AZ51" s="40"/>
      <c r="BA51" s="595"/>
      <c r="BB51" s="595"/>
      <c r="BC51" s="40"/>
      <c r="BD51" s="40"/>
      <c r="BE51" s="40"/>
      <c r="BF51" s="40"/>
      <c r="BG51" s="40"/>
      <c r="BH51" s="595"/>
      <c r="BI51" s="595"/>
    </row>
    <row r="52" spans="1:61" ht="15.75">
      <c r="A52" s="604" t="s">
        <v>459</v>
      </c>
      <c r="B52" s="603" t="s">
        <v>0</v>
      </c>
      <c r="C52" s="603" t="s">
        <v>0</v>
      </c>
      <c r="D52" s="603"/>
      <c r="E52" s="597">
        <f t="shared" ca="1" si="2"/>
        <v>0</v>
      </c>
      <c r="F52" s="40"/>
      <c r="G52" s="40"/>
      <c r="H52" s="40"/>
      <c r="I52" s="40"/>
      <c r="J52" s="40"/>
      <c r="K52" s="594"/>
      <c r="L52" s="594"/>
      <c r="M52" s="40"/>
      <c r="N52" s="40"/>
      <c r="O52" s="40"/>
      <c r="P52" s="40"/>
      <c r="Q52" s="40"/>
      <c r="R52" s="595"/>
      <c r="S52" s="595"/>
      <c r="T52" s="40"/>
      <c r="U52" s="40"/>
      <c r="V52" s="40"/>
      <c r="W52" s="40"/>
      <c r="X52" s="40"/>
      <c r="Y52" s="595"/>
      <c r="Z52" s="595"/>
      <c r="AA52" s="40"/>
      <c r="AB52" s="40"/>
      <c r="AC52" s="40"/>
      <c r="AD52" s="40"/>
      <c r="AE52" s="40"/>
      <c r="AF52" s="595"/>
      <c r="AG52" s="595"/>
      <c r="AH52" s="40"/>
      <c r="AI52" s="40"/>
      <c r="AJ52" s="40"/>
      <c r="AK52" s="40"/>
      <c r="AL52" s="40"/>
      <c r="AM52" s="595"/>
      <c r="AN52" s="595"/>
      <c r="AO52" s="40"/>
      <c r="AP52" s="40"/>
      <c r="AQ52" s="40"/>
      <c r="AR52" s="40"/>
      <c r="AS52" s="40"/>
      <c r="AT52" s="595"/>
      <c r="AU52" s="595"/>
      <c r="AV52" s="40"/>
      <c r="AW52" s="40"/>
      <c r="AX52" s="40"/>
      <c r="AY52" s="40"/>
      <c r="AZ52" s="40"/>
      <c r="BA52" s="595"/>
      <c r="BB52" s="595"/>
      <c r="BC52" s="40"/>
      <c r="BD52" s="40"/>
      <c r="BE52" s="40"/>
      <c r="BF52" s="40"/>
      <c r="BG52" s="40"/>
      <c r="BH52" s="595"/>
      <c r="BI52" s="595"/>
    </row>
    <row r="53" spans="1:61" ht="15.75">
      <c r="A53" s="644" t="s">
        <v>460</v>
      </c>
      <c r="B53" s="603">
        <f>S.PostEQC.FileRuleWithSOS</f>
        <v>41950</v>
      </c>
      <c r="C53" s="603">
        <f>S.PostEQC.RuleEffective</f>
        <v>41950</v>
      </c>
      <c r="D53" s="603"/>
      <c r="E53" s="597">
        <f t="shared" ca="1" si="2"/>
        <v>0</v>
      </c>
      <c r="F53" s="40"/>
      <c r="G53" s="40"/>
      <c r="H53" s="40"/>
      <c r="I53" s="40"/>
      <c r="J53" s="40"/>
      <c r="K53" s="594"/>
      <c r="L53" s="594"/>
      <c r="M53" s="40"/>
      <c r="N53" s="40"/>
      <c r="O53" s="40"/>
      <c r="P53" s="40"/>
      <c r="Q53" s="40"/>
      <c r="R53" s="595"/>
      <c r="S53" s="595"/>
      <c r="T53" s="40"/>
      <c r="U53" s="40"/>
      <c r="V53" s="40"/>
      <c r="W53" s="40"/>
      <c r="X53" s="40"/>
      <c r="Y53" s="595"/>
      <c r="Z53" s="595"/>
      <c r="AA53" s="40"/>
      <c r="AB53" s="40"/>
      <c r="AC53" s="40"/>
      <c r="AD53" s="40"/>
      <c r="AE53" s="40"/>
      <c r="AF53" s="595"/>
      <c r="AG53" s="595"/>
      <c r="AH53" s="40"/>
      <c r="AI53" s="40"/>
      <c r="AJ53" s="40"/>
      <c r="AK53" s="40"/>
      <c r="AL53" s="40"/>
      <c r="AM53" s="595"/>
      <c r="AN53" s="595"/>
      <c r="AO53" s="40"/>
      <c r="AP53" s="40"/>
      <c r="AQ53" s="40"/>
      <c r="AR53" s="40"/>
      <c r="AS53" s="40"/>
      <c r="AT53" s="595"/>
      <c r="AU53" s="595"/>
      <c r="AV53" s="40"/>
      <c r="AW53" s="40"/>
      <c r="AX53" s="40"/>
      <c r="AY53" s="40"/>
      <c r="AZ53" s="40"/>
      <c r="BA53" s="595"/>
      <c r="BB53" s="595"/>
      <c r="BC53" s="40"/>
      <c r="BD53" s="40"/>
      <c r="BE53" s="40"/>
      <c r="BF53" s="40"/>
      <c r="BG53" s="40"/>
      <c r="BH53" s="595"/>
      <c r="BI53" s="595"/>
    </row>
    <row r="54" spans="1:61" ht="15.75">
      <c r="A54" s="644" t="s">
        <v>461</v>
      </c>
      <c r="B54" s="603">
        <f>S.PostEQC.SubmitDASPart2</f>
        <v>41953</v>
      </c>
      <c r="C54" s="603">
        <f>B54</f>
        <v>41953</v>
      </c>
      <c r="D54" s="603"/>
      <c r="E54" s="597">
        <f t="shared" ca="1" si="2"/>
        <v>0</v>
      </c>
      <c r="F54" s="40"/>
      <c r="G54" s="40"/>
      <c r="H54" s="40"/>
      <c r="I54" s="40"/>
      <c r="J54" s="40"/>
      <c r="K54" s="594"/>
      <c r="L54" s="594"/>
      <c r="M54" s="40"/>
      <c r="N54" s="40"/>
      <c r="O54" s="40"/>
      <c r="P54" s="40"/>
      <c r="Q54" s="40"/>
      <c r="R54" s="595"/>
      <c r="S54" s="595"/>
      <c r="T54" s="40"/>
      <c r="U54" s="40"/>
      <c r="V54" s="40"/>
      <c r="W54" s="40"/>
      <c r="X54" s="40"/>
      <c r="Y54" s="595"/>
      <c r="Z54" s="595"/>
      <c r="AA54" s="40"/>
      <c r="AB54" s="40"/>
      <c r="AC54" s="40"/>
      <c r="AD54" s="40"/>
      <c r="AE54" s="40"/>
      <c r="AF54" s="595"/>
      <c r="AG54" s="595"/>
      <c r="AH54" s="40"/>
      <c r="AI54" s="40"/>
      <c r="AJ54" s="40"/>
      <c r="AK54" s="40"/>
      <c r="AL54" s="40"/>
      <c r="AM54" s="595"/>
      <c r="AN54" s="595"/>
      <c r="AO54" s="40"/>
      <c r="AP54" s="40"/>
      <c r="AQ54" s="40"/>
      <c r="AR54" s="40"/>
      <c r="AS54" s="40"/>
      <c r="AT54" s="595"/>
      <c r="AU54" s="595"/>
      <c r="AV54" s="40"/>
      <c r="AW54" s="40"/>
      <c r="AX54" s="40"/>
      <c r="AY54" s="40"/>
      <c r="AZ54" s="40"/>
      <c r="BA54" s="595"/>
      <c r="BB54" s="595"/>
      <c r="BC54" s="40"/>
      <c r="BD54" s="40"/>
      <c r="BE54" s="40"/>
      <c r="BF54" s="40"/>
      <c r="BG54" s="40"/>
      <c r="BH54" s="595"/>
      <c r="BI54" s="595"/>
    </row>
    <row r="55" spans="1:61" ht="15.75">
      <c r="A55" s="644" t="s">
        <v>462</v>
      </c>
      <c r="B55" s="603">
        <f>S.PostEQC.SubmitSIPToEPA</f>
        <v>0</v>
      </c>
      <c r="C55" s="603">
        <f>B55</f>
        <v>0</v>
      </c>
      <c r="D55" s="603"/>
      <c r="E55" s="597">
        <f t="shared" ca="1" si="2"/>
        <v>1</v>
      </c>
      <c r="F55" s="40"/>
      <c r="G55" s="40"/>
      <c r="H55" s="40"/>
      <c r="I55" s="40"/>
      <c r="J55" s="40"/>
      <c r="K55" s="594"/>
      <c r="L55" s="594"/>
      <c r="M55" s="40"/>
      <c r="N55" s="40"/>
      <c r="O55" s="40"/>
      <c r="P55" s="40"/>
      <c r="Q55" s="40"/>
      <c r="R55" s="595"/>
      <c r="S55" s="595"/>
      <c r="T55" s="40"/>
      <c r="U55" s="40"/>
      <c r="V55" s="40"/>
      <c r="W55" s="40"/>
      <c r="X55" s="40"/>
      <c r="Y55" s="595"/>
      <c r="Z55" s="595"/>
      <c r="AA55" s="40"/>
      <c r="AB55" s="40"/>
      <c r="AC55" s="40"/>
      <c r="AD55" s="40"/>
      <c r="AE55" s="40"/>
      <c r="AF55" s="595"/>
      <c r="AG55" s="595"/>
      <c r="AH55" s="40"/>
      <c r="AI55" s="40"/>
      <c r="AJ55" s="40"/>
      <c r="AK55" s="40"/>
      <c r="AL55" s="40"/>
      <c r="AM55" s="595"/>
      <c r="AN55" s="595"/>
      <c r="AO55" s="40"/>
      <c r="AP55" s="40"/>
      <c r="AQ55" s="40"/>
      <c r="AR55" s="40"/>
      <c r="AS55" s="40"/>
      <c r="AT55" s="595"/>
      <c r="AU55" s="595"/>
      <c r="AV55" s="40"/>
      <c r="AW55" s="40"/>
      <c r="AX55" s="40"/>
      <c r="AY55" s="40"/>
      <c r="AZ55" s="40"/>
      <c r="BA55" s="595"/>
      <c r="BB55" s="595"/>
      <c r="BC55" s="40"/>
      <c r="BD55" s="40"/>
      <c r="BE55" s="40"/>
      <c r="BF55" s="40"/>
      <c r="BG55" s="40"/>
      <c r="BH55" s="595"/>
      <c r="BI55" s="595"/>
    </row>
    <row r="56" spans="1:61">
      <c r="A56" s="590"/>
      <c r="B56" s="590"/>
      <c r="C56" s="590"/>
      <c r="D56" s="590"/>
      <c r="E56" s="597">
        <f t="shared" ca="1" si="2"/>
        <v>1</v>
      </c>
      <c r="F56" s="40"/>
      <c r="G56" s="40"/>
      <c r="H56" s="40"/>
      <c r="I56" s="40"/>
      <c r="J56" s="40"/>
      <c r="K56" s="594"/>
      <c r="L56" s="594"/>
      <c r="M56" s="40"/>
      <c r="N56" s="40"/>
      <c r="O56" s="40"/>
      <c r="P56" s="40"/>
      <c r="Q56" s="40"/>
      <c r="R56" s="595"/>
      <c r="S56" s="595"/>
      <c r="T56" s="40"/>
      <c r="U56" s="40"/>
      <c r="V56" s="40"/>
      <c r="W56" s="40"/>
      <c r="X56" s="40"/>
      <c r="Y56" s="595"/>
      <c r="Z56" s="595"/>
      <c r="AA56" s="40"/>
      <c r="AB56" s="40"/>
      <c r="AC56" s="40"/>
      <c r="AD56" s="40"/>
      <c r="AE56" s="40"/>
      <c r="AF56" s="595"/>
      <c r="AG56" s="595"/>
      <c r="AH56" s="40"/>
      <c r="AI56" s="40"/>
      <c r="AJ56" s="40"/>
      <c r="AK56" s="40"/>
      <c r="AL56" s="40"/>
      <c r="AM56" s="595"/>
      <c r="AN56" s="595"/>
      <c r="AO56" s="40"/>
      <c r="AP56" s="40"/>
      <c r="AQ56" s="40"/>
      <c r="AR56" s="40"/>
      <c r="AS56" s="40"/>
      <c r="AT56" s="595"/>
      <c r="AU56" s="595"/>
      <c r="AV56" s="40"/>
      <c r="AW56" s="40"/>
      <c r="AX56" s="40"/>
      <c r="AY56" s="40"/>
      <c r="AZ56" s="40"/>
      <c r="BA56" s="595"/>
      <c r="BB56" s="595"/>
      <c r="BC56" s="40"/>
      <c r="BD56" s="40"/>
      <c r="BE56" s="40"/>
      <c r="BF56" s="40"/>
      <c r="BG56" s="40"/>
      <c r="BH56" s="595"/>
      <c r="BI56" s="595"/>
    </row>
    <row r="57" spans="1:61">
      <c r="A57" s="598"/>
      <c r="B57" s="598"/>
      <c r="C57" s="598"/>
      <c r="D57" s="598"/>
      <c r="E57" s="597">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598"/>
      <c r="B58" s="598"/>
      <c r="C58" s="598"/>
      <c r="D58" s="598"/>
      <c r="E58" s="75"/>
      <c r="F58" s="75"/>
      <c r="G58" s="75"/>
      <c r="H58" s="75"/>
      <c r="I58" s="75"/>
      <c r="J58" s="75"/>
      <c r="K58" s="592"/>
      <c r="L58" s="592"/>
      <c r="M58" s="75"/>
      <c r="N58" s="75"/>
      <c r="O58" s="75"/>
      <c r="P58" s="75"/>
      <c r="Q58" s="75"/>
      <c r="R58" s="593"/>
      <c r="S58" s="593"/>
      <c r="T58" s="75"/>
      <c r="U58" s="75"/>
      <c r="V58" s="75"/>
      <c r="W58" s="75"/>
      <c r="X58" s="75"/>
      <c r="Y58" s="75"/>
      <c r="Z58" s="75"/>
      <c r="AA58" s="75"/>
      <c r="AB58" s="75"/>
      <c r="AC58" s="75"/>
      <c r="AD58" s="75"/>
      <c r="AE58" s="75"/>
      <c r="AF58" s="593"/>
      <c r="AG58" s="593"/>
      <c r="AH58" s="75"/>
      <c r="AI58" s="75"/>
      <c r="AJ58" s="75"/>
      <c r="AK58" s="75"/>
      <c r="AL58" s="75"/>
      <c r="AM58" s="75"/>
      <c r="AN58" s="75"/>
      <c r="AO58" s="75"/>
      <c r="AP58" s="75"/>
      <c r="AQ58" s="75"/>
      <c r="AR58" s="75"/>
      <c r="AS58" s="75"/>
      <c r="AT58" s="593"/>
      <c r="AU58" s="593"/>
      <c r="AV58" s="75"/>
      <c r="AW58" s="75"/>
      <c r="AX58" s="75"/>
      <c r="AY58" s="75"/>
      <c r="AZ58" s="75"/>
      <c r="BA58" s="75"/>
      <c r="BB58" s="75"/>
      <c r="BC58" s="75"/>
      <c r="BD58" s="75"/>
      <c r="BE58" s="75"/>
      <c r="BF58" s="75"/>
      <c r="BG58" s="75"/>
      <c r="BH58" s="593"/>
      <c r="BI58" s="593"/>
    </row>
    <row r="59" spans="1:61">
      <c r="A59" s="598"/>
      <c r="B59" s="598"/>
      <c r="C59" s="598"/>
      <c r="D59" s="598"/>
      <c r="E59" s="75"/>
      <c r="F59" s="75"/>
      <c r="G59" s="75"/>
      <c r="H59" s="75"/>
      <c r="I59" s="75"/>
      <c r="J59" s="75"/>
      <c r="K59" s="592"/>
      <c r="L59" s="592"/>
      <c r="M59" s="75"/>
      <c r="N59" s="75"/>
      <c r="O59" s="75"/>
      <c r="P59" s="75"/>
      <c r="Q59" s="75"/>
      <c r="R59" s="593"/>
      <c r="S59" s="593"/>
      <c r="T59" s="75"/>
      <c r="U59" s="75"/>
      <c r="V59" s="75"/>
      <c r="W59" s="75"/>
      <c r="X59" s="75"/>
      <c r="Y59" s="75"/>
      <c r="Z59" s="75"/>
      <c r="AA59" s="75"/>
      <c r="AB59" s="75"/>
      <c r="AC59" s="75"/>
      <c r="AD59" s="75"/>
      <c r="AE59" s="75"/>
      <c r="AF59" s="593"/>
      <c r="AG59" s="593"/>
      <c r="AH59" s="75"/>
      <c r="AI59" s="75"/>
      <c r="AJ59" s="75"/>
      <c r="AK59" s="75"/>
      <c r="AL59" s="75"/>
      <c r="AM59" s="75"/>
      <c r="AN59" s="75"/>
      <c r="AO59" s="75"/>
      <c r="AP59" s="75"/>
      <c r="AQ59" s="75"/>
      <c r="AR59" s="75"/>
      <c r="AS59" s="75"/>
      <c r="AT59" s="593"/>
      <c r="AU59" s="593"/>
      <c r="AV59" s="75"/>
      <c r="AW59" s="75"/>
      <c r="AX59" s="75"/>
      <c r="AY59" s="75"/>
      <c r="AZ59" s="75"/>
      <c r="BA59" s="75"/>
      <c r="BB59" s="75"/>
      <c r="BC59" s="75"/>
      <c r="BD59" s="75"/>
      <c r="BE59" s="75"/>
      <c r="BF59" s="75"/>
      <c r="BG59" s="75"/>
      <c r="BH59" s="593"/>
      <c r="BI59" s="593"/>
    </row>
    <row r="60" spans="1:61">
      <c r="A60" s="75"/>
      <c r="B60" s="75"/>
      <c r="C60" s="75"/>
      <c r="D60" s="75"/>
      <c r="E60" s="75"/>
      <c r="F60" s="75"/>
      <c r="G60" s="75"/>
      <c r="H60" s="75"/>
      <c r="I60" s="75"/>
      <c r="J60" s="75"/>
      <c r="K60" s="592"/>
      <c r="L60" s="592"/>
      <c r="M60" s="75"/>
      <c r="N60" s="75"/>
      <c r="O60" s="75"/>
      <c r="P60" s="75"/>
      <c r="Q60" s="75"/>
      <c r="R60" s="593"/>
      <c r="S60" s="593"/>
      <c r="T60" s="75"/>
      <c r="U60" s="75"/>
      <c r="V60" s="75"/>
      <c r="W60" s="75"/>
      <c r="X60" s="75"/>
      <c r="Y60" s="75"/>
      <c r="Z60" s="75"/>
      <c r="AA60" s="75"/>
      <c r="AB60" s="75"/>
      <c r="AC60" s="75"/>
      <c r="AD60" s="75"/>
      <c r="AE60" s="75"/>
      <c r="AF60" s="593"/>
      <c r="AG60" s="593"/>
      <c r="AH60" s="75"/>
      <c r="AI60" s="75"/>
      <c r="AJ60" s="75"/>
      <c r="AK60" s="75"/>
      <c r="AL60" s="75"/>
      <c r="AM60" s="75"/>
      <c r="AN60" s="75"/>
      <c r="AO60" s="75"/>
      <c r="AP60" s="75"/>
      <c r="AQ60" s="75"/>
      <c r="AR60" s="75"/>
      <c r="AS60" s="75"/>
      <c r="AT60" s="593"/>
      <c r="AU60" s="593"/>
      <c r="AV60" s="75"/>
      <c r="AW60" s="75"/>
      <c r="AX60" s="75"/>
      <c r="AY60" s="75"/>
      <c r="AZ60" s="75"/>
      <c r="BA60" s="75"/>
      <c r="BB60" s="75"/>
      <c r="BC60" s="75"/>
      <c r="BD60" s="75"/>
      <c r="BE60" s="75"/>
      <c r="BF60" s="75"/>
      <c r="BG60" s="75"/>
      <c r="BH60" s="593"/>
      <c r="BI60" s="593"/>
    </row>
    <row r="61" spans="1:61">
      <c r="A61" s="75"/>
      <c r="B61" s="75"/>
      <c r="C61" s="75"/>
      <c r="D61" s="75"/>
      <c r="E61" s="75"/>
      <c r="F61" s="75"/>
      <c r="G61" s="75"/>
      <c r="H61" s="75"/>
      <c r="I61" s="75"/>
      <c r="J61" s="75"/>
      <c r="K61" s="592"/>
      <c r="L61" s="592"/>
      <c r="M61" s="75"/>
      <c r="N61" s="75"/>
      <c r="O61" s="75"/>
      <c r="P61" s="75"/>
      <c r="Q61" s="75"/>
      <c r="R61" s="593"/>
      <c r="S61" s="593"/>
      <c r="T61" s="75"/>
      <c r="U61" s="75"/>
      <c r="V61" s="75"/>
      <c r="W61" s="75"/>
      <c r="X61" s="75"/>
      <c r="Y61" s="75"/>
      <c r="Z61" s="75"/>
      <c r="AA61" s="75"/>
      <c r="AB61" s="75"/>
      <c r="AC61" s="75"/>
      <c r="AD61" s="75"/>
      <c r="AE61" s="75"/>
      <c r="AF61" s="593"/>
      <c r="AG61" s="593"/>
      <c r="AH61" s="75"/>
      <c r="AI61" s="75"/>
      <c r="AJ61" s="75"/>
      <c r="AK61" s="75"/>
      <c r="AL61" s="75"/>
      <c r="AM61" s="75"/>
      <c r="AN61" s="75"/>
      <c r="AO61" s="75"/>
      <c r="AP61" s="75"/>
      <c r="AQ61" s="75"/>
      <c r="AR61" s="75"/>
      <c r="AS61" s="75"/>
      <c r="AT61" s="593"/>
      <c r="AU61" s="593"/>
      <c r="AV61" s="75"/>
      <c r="AW61" s="75"/>
      <c r="AX61" s="75"/>
      <c r="AY61" s="75"/>
      <c r="AZ61" s="75"/>
      <c r="BA61" s="75"/>
      <c r="BB61" s="75"/>
      <c r="BC61" s="75"/>
      <c r="BD61" s="75"/>
      <c r="BE61" s="75"/>
      <c r="BF61" s="75"/>
      <c r="BG61" s="75"/>
      <c r="BH61" s="593"/>
      <c r="BI61" s="593"/>
    </row>
    <row r="62" spans="1:61">
      <c r="A62" s="75"/>
      <c r="B62" s="75"/>
      <c r="C62" s="75"/>
      <c r="D62" s="75"/>
      <c r="E62" s="75"/>
      <c r="F62" s="75"/>
      <c r="G62" s="75"/>
      <c r="H62" s="75"/>
      <c r="I62" s="75"/>
      <c r="J62" s="75"/>
      <c r="K62" s="592"/>
      <c r="L62" s="592"/>
      <c r="M62" s="75"/>
      <c r="N62" s="75"/>
      <c r="O62" s="75"/>
      <c r="P62" s="75"/>
      <c r="Q62" s="75"/>
      <c r="R62" s="593"/>
      <c r="S62" s="593"/>
      <c r="T62" s="75"/>
      <c r="U62" s="75"/>
      <c r="V62" s="75"/>
      <c r="W62" s="75"/>
      <c r="X62" s="75"/>
      <c r="Y62" s="75"/>
      <c r="Z62" s="75"/>
      <c r="AA62" s="75"/>
      <c r="AB62" s="75"/>
      <c r="AC62" s="75"/>
      <c r="AD62" s="75"/>
      <c r="AE62" s="75"/>
      <c r="AF62" s="593"/>
      <c r="AG62" s="593"/>
      <c r="AH62" s="75"/>
      <c r="AI62" s="75"/>
      <c r="AJ62" s="75"/>
      <c r="AK62" s="75"/>
      <c r="AL62" s="75"/>
      <c r="AM62" s="75"/>
      <c r="AN62" s="75"/>
      <c r="AO62" s="75"/>
      <c r="AP62" s="75"/>
      <c r="AQ62" s="75"/>
      <c r="AR62" s="75"/>
      <c r="AS62" s="75"/>
      <c r="AT62" s="593"/>
      <c r="AU62" s="593"/>
      <c r="AV62" s="75"/>
      <c r="AW62" s="75"/>
      <c r="AX62" s="75"/>
      <c r="AY62" s="75"/>
      <c r="AZ62" s="75"/>
      <c r="BA62" s="75"/>
      <c r="BB62" s="75"/>
      <c r="BC62" s="75"/>
      <c r="BD62" s="75"/>
      <c r="BE62" s="75"/>
      <c r="BF62" s="75"/>
      <c r="BG62" s="75"/>
      <c r="BH62" s="593"/>
      <c r="BI62" s="593"/>
    </row>
    <row r="63" spans="1:61">
      <c r="A63" s="75"/>
      <c r="B63" s="75"/>
      <c r="C63" s="75"/>
      <c r="D63" s="75"/>
      <c r="E63" s="75"/>
      <c r="F63" s="75"/>
      <c r="G63" s="75"/>
      <c r="H63" s="75"/>
      <c r="I63" s="75"/>
      <c r="J63" s="75"/>
      <c r="K63" s="592"/>
      <c r="L63" s="592"/>
      <c r="M63" s="75"/>
      <c r="N63" s="75"/>
      <c r="O63" s="75"/>
      <c r="P63" s="75"/>
      <c r="Q63" s="75"/>
      <c r="R63" s="593"/>
      <c r="S63" s="593"/>
      <c r="T63" s="75"/>
      <c r="U63" s="75"/>
      <c r="V63" s="75"/>
      <c r="W63" s="75"/>
      <c r="X63" s="75"/>
      <c r="Y63" s="75"/>
      <c r="Z63" s="75"/>
      <c r="AA63" s="75"/>
      <c r="AB63" s="75"/>
      <c r="AC63" s="75"/>
      <c r="AD63" s="75"/>
      <c r="AE63" s="75"/>
      <c r="AF63" s="593"/>
      <c r="AG63" s="593"/>
      <c r="AH63" s="75"/>
      <c r="AI63" s="75"/>
      <c r="AJ63" s="75"/>
      <c r="AK63" s="75"/>
      <c r="AL63" s="75"/>
      <c r="AM63" s="75"/>
      <c r="AN63" s="75"/>
      <c r="AO63" s="75"/>
      <c r="AP63" s="75"/>
      <c r="AQ63" s="75"/>
      <c r="AR63" s="75"/>
      <c r="AS63" s="75"/>
      <c r="AT63" s="593"/>
      <c r="AU63" s="593"/>
      <c r="AV63" s="75"/>
      <c r="AW63" s="75"/>
      <c r="AX63" s="75"/>
      <c r="AY63" s="75"/>
      <c r="AZ63" s="75"/>
      <c r="BA63" s="75"/>
      <c r="BB63" s="75"/>
      <c r="BC63" s="75"/>
      <c r="BD63" s="75"/>
      <c r="BE63" s="75"/>
      <c r="BF63" s="75"/>
      <c r="BG63" s="75"/>
      <c r="BH63" s="593"/>
      <c r="BI63" s="593"/>
    </row>
    <row r="64" spans="1:61">
      <c r="A64" s="75"/>
      <c r="B64" s="75"/>
      <c r="C64" s="75"/>
      <c r="D64" s="75"/>
      <c r="E64" s="75"/>
      <c r="F64" s="75"/>
      <c r="G64" s="75"/>
      <c r="H64" s="75"/>
      <c r="I64" s="75"/>
      <c r="J64" s="75"/>
      <c r="K64" s="592"/>
      <c r="L64" s="592"/>
      <c r="M64" s="75"/>
      <c r="N64" s="75"/>
      <c r="O64" s="75"/>
      <c r="P64" s="75"/>
      <c r="Q64" s="75"/>
      <c r="R64" s="593"/>
      <c r="S64" s="593"/>
      <c r="T64" s="75"/>
      <c r="U64" s="75"/>
      <c r="V64" s="75"/>
      <c r="W64" s="75"/>
      <c r="X64" s="75"/>
      <c r="Y64" s="75"/>
      <c r="Z64" s="75"/>
      <c r="AA64" s="75"/>
      <c r="AB64" s="75"/>
      <c r="AC64" s="75"/>
      <c r="AD64" s="75"/>
      <c r="AE64" s="75"/>
      <c r="AF64" s="593"/>
      <c r="AG64" s="593"/>
      <c r="AH64" s="75"/>
      <c r="AI64" s="75"/>
      <c r="AJ64" s="75"/>
      <c r="AK64" s="75"/>
      <c r="AL64" s="75"/>
      <c r="AM64" s="75"/>
      <c r="AN64" s="75"/>
      <c r="AO64" s="75"/>
      <c r="AP64" s="75"/>
      <c r="AQ64" s="75"/>
      <c r="AR64" s="75"/>
      <c r="AS64" s="75"/>
      <c r="AT64" s="593"/>
      <c r="AU64" s="593"/>
      <c r="AV64" s="75"/>
      <c r="AW64" s="75"/>
      <c r="AX64" s="75"/>
      <c r="AY64" s="75"/>
      <c r="AZ64" s="75"/>
      <c r="BA64" s="75"/>
      <c r="BB64" s="75"/>
      <c r="BC64" s="75"/>
      <c r="BD64" s="75"/>
      <c r="BE64" s="75"/>
      <c r="BF64" s="75"/>
      <c r="BG64" s="75"/>
      <c r="BH64" s="593"/>
      <c r="BI64" s="593"/>
    </row>
    <row r="65" spans="1:61">
      <c r="A65" s="75"/>
      <c r="B65" s="75"/>
      <c r="C65" s="75"/>
      <c r="D65" s="75"/>
      <c r="E65" s="75"/>
      <c r="F65" s="75"/>
      <c r="G65" s="75"/>
      <c r="H65" s="75"/>
      <c r="I65" s="75"/>
      <c r="J65" s="75"/>
      <c r="K65" s="592"/>
      <c r="L65" s="592"/>
      <c r="M65" s="75"/>
      <c r="N65" s="75"/>
      <c r="O65" s="75"/>
      <c r="P65" s="75"/>
      <c r="Q65" s="75"/>
      <c r="R65" s="593"/>
      <c r="S65" s="593"/>
      <c r="T65" s="75"/>
      <c r="U65" s="75"/>
      <c r="V65" s="75"/>
      <c r="W65" s="75"/>
      <c r="X65" s="75"/>
      <c r="Y65" s="75"/>
      <c r="Z65" s="75"/>
      <c r="AA65" s="75"/>
      <c r="AB65" s="75"/>
      <c r="AC65" s="75"/>
      <c r="AD65" s="75"/>
      <c r="AE65" s="75"/>
      <c r="AF65" s="593"/>
      <c r="AG65" s="593"/>
      <c r="AH65" s="75"/>
      <c r="AI65" s="75"/>
      <c r="AJ65" s="75"/>
      <c r="AK65" s="75"/>
      <c r="AL65" s="75"/>
      <c r="AM65" s="75"/>
      <c r="AN65" s="75"/>
      <c r="AO65" s="75"/>
      <c r="AP65" s="75"/>
      <c r="AQ65" s="75"/>
      <c r="AR65" s="75"/>
      <c r="AS65" s="75"/>
      <c r="AT65" s="593"/>
      <c r="AU65" s="593"/>
      <c r="AV65" s="75"/>
      <c r="AW65" s="75"/>
      <c r="AX65" s="75"/>
      <c r="AY65" s="75"/>
      <c r="AZ65" s="75"/>
      <c r="BA65" s="75"/>
      <c r="BB65" s="75"/>
      <c r="BC65" s="75"/>
      <c r="BD65" s="75"/>
      <c r="BE65" s="75"/>
      <c r="BF65" s="75"/>
      <c r="BG65" s="75"/>
      <c r="BH65" s="593"/>
      <c r="BI65" s="593"/>
    </row>
    <row r="66" spans="1:61">
      <c r="A66" s="75"/>
      <c r="B66" s="75"/>
      <c r="C66" s="75"/>
      <c r="D66" s="75"/>
      <c r="E66" s="75"/>
      <c r="F66" s="75"/>
      <c r="G66" s="75"/>
      <c r="H66" s="75"/>
      <c r="I66" s="75"/>
      <c r="J66" s="75"/>
      <c r="K66" s="592"/>
      <c r="L66" s="592"/>
      <c r="M66" s="75"/>
      <c r="N66" s="75"/>
      <c r="O66" s="75"/>
      <c r="P66" s="75"/>
      <c r="Q66" s="75"/>
      <c r="R66" s="593"/>
      <c r="S66" s="593"/>
      <c r="T66" s="75"/>
      <c r="U66" s="75"/>
      <c r="V66" s="75"/>
      <c r="W66" s="75"/>
      <c r="X66" s="75"/>
      <c r="Y66" s="75"/>
      <c r="Z66" s="75"/>
      <c r="AA66" s="75"/>
      <c r="AB66" s="75"/>
      <c r="AC66" s="75"/>
      <c r="AD66" s="75"/>
      <c r="AE66" s="75"/>
      <c r="AF66" s="593"/>
      <c r="AG66" s="593"/>
      <c r="AH66" s="75"/>
      <c r="AI66" s="75"/>
      <c r="AJ66" s="75"/>
      <c r="AK66" s="75"/>
      <c r="AL66" s="75"/>
      <c r="AM66" s="75"/>
      <c r="AN66" s="75"/>
      <c r="AO66" s="75"/>
      <c r="AP66" s="75"/>
      <c r="AQ66" s="75"/>
      <c r="AR66" s="75"/>
      <c r="AS66" s="75"/>
      <c r="AT66" s="593"/>
      <c r="AU66" s="593"/>
      <c r="AV66" s="75"/>
      <c r="AW66" s="75"/>
      <c r="AX66" s="75"/>
      <c r="AY66" s="75"/>
      <c r="AZ66" s="75"/>
      <c r="BA66" s="75"/>
      <c r="BB66" s="75"/>
      <c r="BC66" s="75"/>
      <c r="BD66" s="75"/>
      <c r="BE66" s="75"/>
      <c r="BF66" s="75"/>
      <c r="BG66" s="75"/>
      <c r="BH66" s="593"/>
      <c r="BI66" s="593"/>
    </row>
    <row r="67" spans="1:61">
      <c r="A67" s="75"/>
      <c r="B67" s="75"/>
      <c r="C67" s="75"/>
      <c r="D67" s="75"/>
      <c r="E67" s="75"/>
      <c r="F67" s="75"/>
      <c r="G67" s="75"/>
      <c r="H67" s="75"/>
      <c r="I67" s="75"/>
      <c r="J67" s="75"/>
      <c r="K67" s="592"/>
      <c r="L67" s="592"/>
      <c r="M67" s="75"/>
      <c r="N67" s="75"/>
      <c r="O67" s="75"/>
      <c r="P67" s="75"/>
      <c r="Q67" s="75"/>
      <c r="R67" s="593"/>
      <c r="S67" s="593"/>
      <c r="T67" s="75"/>
      <c r="U67" s="75"/>
      <c r="V67" s="75"/>
      <c r="W67" s="75"/>
      <c r="X67" s="75"/>
      <c r="Y67" s="75"/>
      <c r="Z67" s="75"/>
      <c r="AA67" s="75"/>
      <c r="AB67" s="75"/>
      <c r="AC67" s="75"/>
      <c r="AD67" s="75"/>
      <c r="AE67" s="75"/>
      <c r="AF67" s="593"/>
      <c r="AG67" s="593"/>
      <c r="AH67" s="75"/>
      <c r="AI67" s="75"/>
      <c r="AJ67" s="75"/>
      <c r="AK67" s="75"/>
      <c r="AL67" s="75"/>
      <c r="AM67" s="75"/>
      <c r="AN67" s="75"/>
      <c r="AO67" s="75"/>
      <c r="AP67" s="75"/>
      <c r="AQ67" s="75"/>
      <c r="AR67" s="75"/>
      <c r="AS67" s="75"/>
      <c r="AT67" s="593"/>
      <c r="AU67" s="593"/>
      <c r="AV67" s="75"/>
      <c r="AW67" s="75"/>
      <c r="AX67" s="75"/>
      <c r="AY67" s="75"/>
      <c r="AZ67" s="75"/>
      <c r="BA67" s="75"/>
      <c r="BB67" s="75"/>
      <c r="BC67" s="75"/>
      <c r="BD67" s="75"/>
      <c r="BE67" s="75"/>
      <c r="BF67" s="75"/>
      <c r="BG67" s="75"/>
      <c r="BH67" s="593"/>
      <c r="BI67" s="75"/>
    </row>
    <row r="68" spans="1:61">
      <c r="A68" s="75"/>
      <c r="B68" s="75"/>
      <c r="C68" s="75"/>
      <c r="D68" s="75"/>
      <c r="E68" s="75"/>
      <c r="F68" s="75"/>
      <c r="G68" s="75"/>
      <c r="H68" s="75"/>
      <c r="I68" s="75"/>
      <c r="J68" s="75"/>
      <c r="K68" s="592"/>
      <c r="L68" s="592"/>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2"/>
      <c r="L69" s="592"/>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2"/>
      <c r="L70" s="592"/>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2"/>
      <c r="L71" s="592"/>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2"/>
      <c r="L72" s="592"/>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2"/>
      <c r="L73" s="592"/>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2"/>
      <c r="L74" s="592"/>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2"/>
      <c r="L75" s="592"/>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2"/>
      <c r="L76" s="592"/>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2"/>
      <c r="L77" s="592"/>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2"/>
      <c r="L78" s="592"/>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2"/>
      <c r="L79" s="592"/>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2"/>
      <c r="L80" s="592"/>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2"/>
      <c r="L81" s="592"/>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2"/>
      <c r="L82" s="592"/>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2"/>
      <c r="L83" s="592"/>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2"/>
      <c r="L84" s="592"/>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2"/>
      <c r="L85" s="592"/>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2"/>
      <c r="L86" s="592"/>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2"/>
      <c r="L87" s="592"/>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2"/>
      <c r="L88" s="592"/>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2"/>
      <c r="L89" s="592"/>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2"/>
      <c r="L90" s="592"/>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2"/>
      <c r="L91" s="592"/>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2"/>
      <c r="L92" s="592"/>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2"/>
      <c r="L93" s="592"/>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2"/>
      <c r="L94" s="592"/>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2"/>
      <c r="L95" s="592"/>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2"/>
      <c r="L96" s="592"/>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2"/>
      <c r="L97" s="592"/>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2"/>
      <c r="L98" s="592"/>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2"/>
      <c r="L99" s="592"/>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2"/>
      <c r="L100" s="592"/>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2"/>
      <c r="L101" s="592"/>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2"/>
      <c r="L102" s="592"/>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2"/>
      <c r="L103" s="592"/>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2"/>
      <c r="L104" s="592"/>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2"/>
      <c r="L105" s="592"/>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2"/>
      <c r="L106" s="592"/>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2"/>
      <c r="L107" s="592"/>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2"/>
      <c r="L108" s="592"/>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topLeftCell="A5" workbookViewId="0">
      <selection activeCell="C21" sqref="C21"/>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4" t="s">
        <v>284</v>
      </c>
      <c r="C1" s="212" t="s">
        <v>227</v>
      </c>
      <c r="D1" s="75"/>
      <c r="E1" s="75"/>
      <c r="F1" s="75"/>
      <c r="G1" s="75"/>
      <c r="H1" s="75"/>
      <c r="I1" s="75"/>
      <c r="J1" s="75"/>
      <c r="K1" s="75"/>
      <c r="L1" s="75"/>
      <c r="M1" s="75"/>
      <c r="N1" s="75"/>
    </row>
    <row r="2" spans="1:22" s="23" customFormat="1" ht="18.75">
      <c r="A2" s="75"/>
      <c r="B2" s="210" t="s">
        <v>785</v>
      </c>
      <c r="C2" s="210" t="s">
        <v>788</v>
      </c>
      <c r="D2" s="519" t="str">
        <f>HYPERLINK("\\deqhq1\Rule_Resources\i\4-Caption.pdf","i")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1" t="s">
        <v>483</v>
      </c>
      <c r="C4" s="1051"/>
      <c r="D4" s="1051"/>
      <c r="E4" s="1051"/>
      <c r="F4" s="1051"/>
      <c r="G4" s="1051"/>
      <c r="H4" s="1051"/>
      <c r="I4" s="75"/>
      <c r="J4" s="75"/>
      <c r="K4" s="75"/>
      <c r="L4"/>
      <c r="M4"/>
      <c r="N4"/>
      <c r="O4"/>
      <c r="P4"/>
      <c r="Q4"/>
      <c r="R4"/>
      <c r="S4"/>
      <c r="T4"/>
      <c r="U4"/>
      <c r="V4"/>
    </row>
    <row r="5" spans="1:22" ht="36" customHeight="1">
      <c r="A5" s="75"/>
      <c r="B5" s="75"/>
      <c r="C5" s="656" t="s">
        <v>478</v>
      </c>
      <c r="D5" s="656" t="s">
        <v>479</v>
      </c>
      <c r="E5" s="212" t="s">
        <v>359</v>
      </c>
      <c r="F5" s="212" t="s">
        <v>360</v>
      </c>
      <c r="G5" s="212" t="s">
        <v>628</v>
      </c>
      <c r="H5" s="75"/>
      <c r="I5" s="75"/>
      <c r="J5" s="75"/>
      <c r="K5" s="75"/>
    </row>
    <row r="6" spans="1:22" ht="18.75">
      <c r="A6" s="75"/>
      <c r="B6" s="211" t="s">
        <v>476</v>
      </c>
      <c r="C6" s="210" t="s">
        <v>780</v>
      </c>
      <c r="D6" s="210" t="s">
        <v>786</v>
      </c>
      <c r="E6" s="566" t="s">
        <v>362</v>
      </c>
      <c r="F6" s="566" t="s">
        <v>494</v>
      </c>
      <c r="G6" s="566" t="s">
        <v>630</v>
      </c>
      <c r="H6" s="75"/>
      <c r="I6" s="75"/>
      <c r="J6" s="75"/>
      <c r="K6" s="75"/>
    </row>
    <row r="7" spans="1:22" ht="18.75">
      <c r="A7" s="75"/>
      <c r="B7" s="211" t="s">
        <v>382</v>
      </c>
      <c r="C7" s="566" t="s">
        <v>781</v>
      </c>
      <c r="D7" s="566" t="s">
        <v>787</v>
      </c>
      <c r="E7" s="566" t="s">
        <v>362</v>
      </c>
      <c r="F7" s="566" t="s">
        <v>494</v>
      </c>
      <c r="G7" s="566" t="s">
        <v>629</v>
      </c>
      <c r="H7" s="75"/>
      <c r="I7" s="75"/>
      <c r="J7" s="75"/>
      <c r="K7" s="75"/>
    </row>
    <row r="8" spans="1:22" s="23" customFormat="1" ht="18.75">
      <c r="A8" s="75"/>
      <c r="B8" s="211" t="s">
        <v>389</v>
      </c>
      <c r="C8" s="210" t="s">
        <v>782</v>
      </c>
      <c r="D8" s="210" t="s">
        <v>789</v>
      </c>
      <c r="E8" s="210" t="s">
        <v>362</v>
      </c>
      <c r="F8" s="210" t="s">
        <v>790</v>
      </c>
      <c r="G8" s="210" t="s">
        <v>629</v>
      </c>
      <c r="H8" s="75"/>
      <c r="I8" s="75"/>
      <c r="J8" s="75"/>
      <c r="K8" s="75"/>
      <c r="L8"/>
      <c r="M8"/>
      <c r="N8"/>
      <c r="O8"/>
      <c r="P8"/>
      <c r="Q8"/>
      <c r="R8"/>
      <c r="S8"/>
      <c r="T8"/>
      <c r="U8"/>
      <c r="V8"/>
    </row>
    <row r="9" spans="1:22" ht="18.75">
      <c r="A9" s="75"/>
      <c r="B9" s="211" t="s">
        <v>480</v>
      </c>
      <c r="C9" s="566" t="s">
        <v>607</v>
      </c>
      <c r="D9" s="566" t="s">
        <v>791</v>
      </c>
      <c r="E9" s="566" t="s">
        <v>362</v>
      </c>
      <c r="F9" s="566" t="s">
        <v>363</v>
      </c>
      <c r="G9" s="566" t="s">
        <v>629</v>
      </c>
      <c r="H9" s="75"/>
      <c r="I9" s="75"/>
      <c r="J9" s="75"/>
      <c r="K9" s="75"/>
    </row>
    <row r="10" spans="1:22" ht="18.75">
      <c r="A10" s="75"/>
      <c r="B10" s="211" t="s">
        <v>481</v>
      </c>
      <c r="C10" s="210" t="s">
        <v>102</v>
      </c>
      <c r="D10" s="75"/>
      <c r="E10" s="75"/>
      <c r="F10" s="816"/>
      <c r="G10" s="75"/>
      <c r="H10" s="75"/>
      <c r="I10" s="75"/>
      <c r="J10" s="75"/>
    </row>
    <row r="11" spans="1:22" ht="19.5" thickBot="1">
      <c r="A11" s="75"/>
      <c r="B11" s="211" t="s">
        <v>625</v>
      </c>
      <c r="C11" s="566" t="s">
        <v>330</v>
      </c>
      <c r="D11" s="75"/>
      <c r="E11" s="75"/>
      <c r="F11" s="816"/>
      <c r="G11" s="75"/>
      <c r="H11" s="75"/>
      <c r="I11" s="75"/>
      <c r="J11" s="75"/>
      <c r="K11" s="75"/>
      <c r="L11" s="75"/>
      <c r="M11" s="75"/>
      <c r="N11" s="75"/>
    </row>
    <row r="12" spans="1:22" ht="18.75">
      <c r="A12" s="75"/>
      <c r="B12" s="211" t="s">
        <v>101</v>
      </c>
      <c r="C12" s="210" t="s">
        <v>606</v>
      </c>
      <c r="D12" s="75"/>
      <c r="E12" s="75"/>
      <c r="F12" s="817" t="s">
        <v>667</v>
      </c>
      <c r="G12" s="75"/>
      <c r="H12" s="75"/>
      <c r="I12" s="75"/>
      <c r="J12" s="75"/>
      <c r="K12" s="75"/>
      <c r="L12" s="75"/>
      <c r="M12" s="75"/>
      <c r="N12" s="75"/>
    </row>
    <row r="13" spans="1:22" ht="18.75">
      <c r="A13" s="75"/>
      <c r="B13" s="211" t="s">
        <v>301</v>
      </c>
      <c r="C13" s="566" t="s">
        <v>607</v>
      </c>
      <c r="D13" s="75"/>
      <c r="E13" s="75"/>
      <c r="F13" s="818" t="s">
        <v>669</v>
      </c>
      <c r="G13" s="75"/>
      <c r="H13" s="75"/>
      <c r="I13" s="75"/>
      <c r="J13" s="75"/>
      <c r="K13" s="75"/>
      <c r="L13" s="75"/>
      <c r="M13" s="75"/>
      <c r="N13" s="75"/>
    </row>
    <row r="14" spans="1:22" ht="18.75">
      <c r="A14" s="75"/>
      <c r="B14" s="211" t="s">
        <v>100</v>
      </c>
      <c r="C14" s="210" t="s">
        <v>293</v>
      </c>
      <c r="D14" s="75"/>
      <c r="E14" s="75"/>
      <c r="F14" s="819"/>
      <c r="G14" s="75"/>
      <c r="H14" s="75"/>
      <c r="I14" s="75"/>
      <c r="J14" s="75"/>
      <c r="K14" s="75"/>
      <c r="L14" s="75"/>
      <c r="M14" s="75"/>
      <c r="N14" s="75"/>
    </row>
    <row r="15" spans="1:22" ht="18.75">
      <c r="A15" s="75"/>
      <c r="B15" s="211" t="s">
        <v>343</v>
      </c>
      <c r="C15" s="566" t="s">
        <v>102</v>
      </c>
      <c r="D15" s="75"/>
      <c r="E15" s="75"/>
      <c r="F15" s="819" t="s">
        <v>668</v>
      </c>
      <c r="G15" s="75"/>
      <c r="H15" s="75"/>
      <c r="I15" s="75"/>
      <c r="J15" s="75"/>
      <c r="K15" s="75"/>
      <c r="L15" s="75"/>
      <c r="M15" s="75"/>
      <c r="N15" s="75"/>
    </row>
    <row r="16" spans="1:22" s="23" customFormat="1" ht="18.75">
      <c r="A16" s="75"/>
      <c r="B16" s="211" t="s">
        <v>172</v>
      </c>
      <c r="C16" s="210" t="s">
        <v>341</v>
      </c>
      <c r="D16" s="75"/>
      <c r="E16" s="75"/>
      <c r="F16" s="818" t="s">
        <v>678</v>
      </c>
      <c r="G16" s="75"/>
      <c r="H16" s="75"/>
      <c r="I16" s="75"/>
      <c r="J16" s="75"/>
      <c r="K16" s="75"/>
      <c r="L16" s="75"/>
      <c r="M16" s="75"/>
      <c r="N16" s="75"/>
    </row>
    <row r="17" spans="1:14" ht="18.75">
      <c r="A17" s="75"/>
      <c r="B17" s="211" t="s">
        <v>103</v>
      </c>
      <c r="C17" s="566" t="s">
        <v>491</v>
      </c>
      <c r="D17" s="75"/>
      <c r="E17" s="75"/>
      <c r="F17" s="818" t="s">
        <v>670</v>
      </c>
      <c r="G17" s="75"/>
      <c r="H17" s="75"/>
      <c r="I17" s="75"/>
      <c r="J17" s="75"/>
      <c r="K17" s="75"/>
      <c r="L17" s="75"/>
      <c r="M17" s="75"/>
      <c r="N17" s="75"/>
    </row>
    <row r="18" spans="1:14" ht="18.75">
      <c r="A18" s="75"/>
      <c r="B18" s="211" t="s">
        <v>302</v>
      </c>
      <c r="C18" s="210" t="s">
        <v>341</v>
      </c>
      <c r="D18" s="75"/>
      <c r="E18" s="23"/>
      <c r="F18" s="818" t="s">
        <v>673</v>
      </c>
      <c r="G18" s="75"/>
      <c r="H18" s="75"/>
      <c r="I18" s="75"/>
      <c r="J18" s="75"/>
      <c r="K18" s="75"/>
      <c r="L18" s="75"/>
      <c r="M18" s="75"/>
      <c r="N18" s="75"/>
    </row>
    <row r="19" spans="1:14" ht="18.75" customHeight="1">
      <c r="A19" s="75"/>
      <c r="B19" s="211" t="s">
        <v>104</v>
      </c>
      <c r="C19" s="566" t="s">
        <v>780</v>
      </c>
      <c r="D19" s="811" t="s">
        <v>482</v>
      </c>
      <c r="E19" s="812"/>
      <c r="F19" s="820" t="s">
        <v>671</v>
      </c>
      <c r="G19" s="75"/>
      <c r="H19" s="75"/>
      <c r="I19" s="75"/>
      <c r="J19" s="75"/>
      <c r="K19" s="75"/>
      <c r="L19" s="75"/>
      <c r="M19" s="75"/>
      <c r="N19" s="75"/>
    </row>
    <row r="20" spans="1:14" s="23" customFormat="1" ht="18.75">
      <c r="A20" s="75"/>
      <c r="B20" s="211" t="s">
        <v>105</v>
      </c>
      <c r="C20" s="210" t="s">
        <v>128</v>
      </c>
      <c r="D20" s="75"/>
      <c r="E20" s="635"/>
      <c r="F20" s="821" t="s">
        <v>672</v>
      </c>
      <c r="G20" s="75"/>
      <c r="H20" s="75"/>
      <c r="I20" s="75"/>
      <c r="J20" s="75"/>
      <c r="K20" s="75"/>
      <c r="L20" s="75"/>
      <c r="M20" s="75"/>
      <c r="N20" s="75"/>
    </row>
    <row r="21" spans="1:14" ht="18.75">
      <c r="A21" s="75"/>
      <c r="B21" s="211" t="s">
        <v>112</v>
      </c>
      <c r="C21" s="566" t="s">
        <v>113</v>
      </c>
      <c r="D21" s="75"/>
      <c r="E21" s="635"/>
      <c r="F21" s="820" t="s">
        <v>674</v>
      </c>
      <c r="G21" s="75"/>
      <c r="H21" s="75"/>
      <c r="I21" s="75"/>
      <c r="J21" s="75"/>
      <c r="K21" s="75"/>
      <c r="L21" s="75"/>
      <c r="M21" s="75"/>
      <c r="N21" s="75"/>
    </row>
    <row r="22" spans="1:14" ht="18.75">
      <c r="A22" s="75"/>
      <c r="B22" s="211" t="s">
        <v>127</v>
      </c>
      <c r="C22" s="210" t="s">
        <v>492</v>
      </c>
      <c r="D22" s="75"/>
      <c r="E22" s="75"/>
      <c r="F22" s="822" t="s">
        <v>677</v>
      </c>
      <c r="G22" s="75"/>
      <c r="H22" s="75"/>
      <c r="I22" s="75"/>
      <c r="J22" s="75"/>
      <c r="K22" s="75"/>
      <c r="L22" s="75"/>
      <c r="M22" s="75"/>
      <c r="N22" s="75"/>
    </row>
    <row r="23" spans="1:14" s="23" customFormat="1" ht="18.75">
      <c r="A23" s="75"/>
      <c r="B23" s="211" t="s">
        <v>529</v>
      </c>
      <c r="C23" s="566" t="s">
        <v>782</v>
      </c>
      <c r="D23" s="75"/>
      <c r="E23" s="75"/>
      <c r="F23" s="823" t="s">
        <v>675</v>
      </c>
      <c r="G23" s="75"/>
      <c r="H23" s="75"/>
      <c r="I23" s="75"/>
      <c r="J23" s="75"/>
      <c r="K23" s="75"/>
      <c r="L23" s="75"/>
      <c r="M23" s="75"/>
      <c r="N23" s="75"/>
    </row>
    <row r="24" spans="1:14" s="23" customFormat="1" ht="18.75">
      <c r="A24" s="75"/>
      <c r="B24" s="211" t="s">
        <v>528</v>
      </c>
      <c r="C24" s="566" t="s">
        <v>782</v>
      </c>
      <c r="D24" s="75"/>
      <c r="E24" s="75"/>
      <c r="F24" s="823" t="s">
        <v>676</v>
      </c>
      <c r="G24" s="75"/>
      <c r="H24" s="75"/>
      <c r="I24" s="75"/>
      <c r="J24" s="75"/>
      <c r="K24" s="75"/>
      <c r="L24" s="75"/>
      <c r="M24" s="75"/>
      <c r="N24" s="75"/>
    </row>
    <row r="25" spans="1:14" ht="18.75">
      <c r="A25" s="75"/>
      <c r="B25" s="211" t="s">
        <v>300</v>
      </c>
      <c r="C25" s="566" t="s">
        <v>493</v>
      </c>
      <c r="D25" s="75"/>
      <c r="E25" s="75"/>
      <c r="F25" s="819"/>
      <c r="G25" s="75"/>
      <c r="H25" s="75"/>
      <c r="I25" s="75"/>
      <c r="J25" s="75"/>
      <c r="K25" s="75"/>
      <c r="L25" s="75"/>
      <c r="M25" s="75"/>
      <c r="N25" s="75"/>
    </row>
    <row r="26" spans="1:14" ht="19.5" thickBot="1">
      <c r="A26" s="75"/>
      <c r="B26" s="211" t="s">
        <v>285</v>
      </c>
      <c r="C26" s="210" t="s">
        <v>351</v>
      </c>
      <c r="D26" s="75"/>
      <c r="E26" s="75"/>
      <c r="F26" s="824"/>
      <c r="G26" s="75"/>
      <c r="H26" s="75"/>
      <c r="I26" s="75"/>
      <c r="J26" s="75"/>
      <c r="K26" s="75"/>
      <c r="L26" s="75"/>
      <c r="M26" s="75"/>
      <c r="N26" s="75"/>
    </row>
    <row r="27" spans="1:14" ht="18.75">
      <c r="A27" s="75"/>
      <c r="B27" s="75"/>
      <c r="C27" s="75"/>
      <c r="D27" s="75"/>
      <c r="E27" s="75"/>
      <c r="F27" s="816"/>
      <c r="G27" s="75"/>
      <c r="H27" s="75"/>
      <c r="I27" s="75"/>
      <c r="J27" s="75"/>
      <c r="K27" s="75"/>
      <c r="L27" s="75"/>
      <c r="M27" s="75"/>
      <c r="N27" s="75"/>
    </row>
    <row r="28" spans="1:14" ht="18.75">
      <c r="A28" s="75"/>
      <c r="B28" s="75"/>
      <c r="C28" s="75"/>
      <c r="D28" s="75"/>
      <c r="E28" s="75"/>
      <c r="F28" s="816"/>
      <c r="G28" s="75"/>
      <c r="H28" s="75"/>
      <c r="I28" s="75"/>
      <c r="J28" s="75"/>
      <c r="K28" s="75"/>
      <c r="L28" s="75"/>
      <c r="M28" s="75"/>
      <c r="N28" s="75"/>
    </row>
    <row r="29" spans="1:14" s="23" customFormat="1" ht="18.75">
      <c r="A29" s="75"/>
      <c r="C29" s="75"/>
      <c r="D29" s="75"/>
      <c r="E29" s="75"/>
      <c r="F29" s="816"/>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49" t="s">
        <v>342</v>
      </c>
      <c r="C31" s="1050"/>
      <c r="D31" s="75"/>
      <c r="E31" s="75"/>
      <c r="F31" s="75"/>
      <c r="G31" s="75"/>
      <c r="H31" s="75"/>
      <c r="I31" s="75"/>
      <c r="J31" s="75"/>
      <c r="K31" s="75"/>
      <c r="L31" s="810"/>
    </row>
    <row r="32" spans="1:14" ht="15.75">
      <c r="A32" s="75"/>
      <c r="B32" s="825" t="s">
        <v>485</v>
      </c>
      <c r="C32" s="826" t="s">
        <v>337</v>
      </c>
      <c r="D32" s="75"/>
      <c r="E32" s="75"/>
      <c r="F32" s="75"/>
      <c r="G32" s="75"/>
      <c r="H32" s="75"/>
      <c r="I32" s="75"/>
      <c r="J32" s="75"/>
      <c r="K32" s="75"/>
      <c r="L32" s="75"/>
    </row>
    <row r="33" spans="1:12" ht="15.75">
      <c r="A33" s="75"/>
      <c r="B33" s="825" t="s">
        <v>486</v>
      </c>
      <c r="C33" s="826" t="s">
        <v>339</v>
      </c>
      <c r="D33" s="75"/>
      <c r="E33" s="75"/>
      <c r="F33" s="75"/>
      <c r="G33" s="75"/>
      <c r="H33" s="75"/>
      <c r="I33" s="75"/>
      <c r="J33" s="75"/>
      <c r="K33" s="75"/>
      <c r="L33" s="75"/>
    </row>
    <row r="34" spans="1:12" ht="16.5" thickBot="1">
      <c r="A34" s="75"/>
      <c r="B34" s="827" t="s">
        <v>487</v>
      </c>
      <c r="C34" s="828" t="s">
        <v>340</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49" t="s">
        <v>344</v>
      </c>
      <c r="C36" s="1050"/>
      <c r="D36" s="75"/>
      <c r="E36" s="75"/>
      <c r="F36" s="75"/>
      <c r="G36" s="75"/>
      <c r="H36" s="75"/>
      <c r="I36" s="75"/>
      <c r="J36" s="75"/>
      <c r="K36" s="75"/>
    </row>
    <row r="37" spans="1:12" ht="15.75">
      <c r="A37" s="75"/>
      <c r="B37" s="825" t="s">
        <v>328</v>
      </c>
      <c r="C37" s="826" t="s">
        <v>337</v>
      </c>
      <c r="D37" s="75"/>
      <c r="E37" s="75"/>
      <c r="F37" s="75"/>
      <c r="G37" s="75"/>
      <c r="H37" s="75"/>
      <c r="I37" s="75"/>
      <c r="J37" s="75"/>
      <c r="K37" s="75"/>
    </row>
    <row r="38" spans="1:12" ht="15.75">
      <c r="A38" s="75"/>
      <c r="B38" s="825" t="s">
        <v>345</v>
      </c>
      <c r="C38" s="826" t="s">
        <v>339</v>
      </c>
      <c r="D38" s="75"/>
      <c r="E38" s="75"/>
      <c r="F38" s="75"/>
      <c r="G38" s="75"/>
      <c r="H38" s="75"/>
      <c r="I38" s="75"/>
      <c r="J38" s="75"/>
      <c r="K38" s="75"/>
    </row>
    <row r="39" spans="1:12" ht="16.5" thickBot="1">
      <c r="A39" s="75"/>
      <c r="B39" s="827" t="s">
        <v>341</v>
      </c>
      <c r="C39" s="828" t="s">
        <v>340</v>
      </c>
      <c r="D39" s="75"/>
      <c r="E39" s="75"/>
      <c r="F39" s="75"/>
      <c r="G39" s="75"/>
      <c r="H39" s="75"/>
      <c r="I39" s="75"/>
      <c r="J39" s="75"/>
      <c r="K39" s="75"/>
    </row>
    <row r="40" spans="1:12" ht="15" thickBot="1">
      <c r="A40" s="75"/>
      <c r="C40" s="75"/>
      <c r="D40" s="75"/>
      <c r="E40" s="75"/>
      <c r="F40" s="75"/>
      <c r="G40" s="75"/>
      <c r="H40" s="75"/>
      <c r="I40" s="75"/>
      <c r="J40" s="75"/>
      <c r="K40" s="75"/>
    </row>
    <row r="41" spans="1:12">
      <c r="A41" s="75"/>
      <c r="B41" s="829" t="s">
        <v>336</v>
      </c>
      <c r="C41" s="830"/>
      <c r="D41" s="75"/>
      <c r="E41" s="75"/>
      <c r="F41" s="75"/>
      <c r="G41" s="75"/>
      <c r="H41" s="75"/>
      <c r="I41" s="75"/>
      <c r="J41" s="75"/>
      <c r="K41" s="75"/>
    </row>
    <row r="42" spans="1:12" ht="15.75">
      <c r="A42" s="75"/>
      <c r="B42" s="825" t="s">
        <v>327</v>
      </c>
      <c r="C42" s="826" t="s">
        <v>337</v>
      </c>
      <c r="D42" s="75"/>
      <c r="E42" s="75"/>
      <c r="F42" s="75"/>
      <c r="G42" s="75"/>
      <c r="H42" s="75"/>
      <c r="I42" s="75"/>
      <c r="J42" s="75"/>
      <c r="K42" s="75"/>
    </row>
    <row r="43" spans="1:12" ht="15.75">
      <c r="A43" s="75"/>
      <c r="B43" s="825" t="s">
        <v>338</v>
      </c>
      <c r="C43" s="826" t="s">
        <v>339</v>
      </c>
      <c r="D43" s="75"/>
      <c r="E43" s="75"/>
      <c r="F43" s="75"/>
      <c r="G43" s="75"/>
      <c r="H43" s="75"/>
      <c r="I43" s="75"/>
      <c r="J43" s="75"/>
      <c r="K43" s="75"/>
    </row>
    <row r="44" spans="1:12" ht="16.5" thickBot="1">
      <c r="A44" s="75"/>
      <c r="B44" s="827" t="s">
        <v>341</v>
      </c>
      <c r="C44" s="828" t="s">
        <v>340</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3">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election activeCell="B17" sqref="B17:C17"/>
    </sheetView>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55" t="str">
        <f>S.General.RulemakingTitle</f>
        <v>Greenhouse gas permitting</v>
      </c>
      <c r="C2" s="1055"/>
      <c r="D2" s="1055"/>
      <c r="E2" s="1055"/>
      <c r="F2" s="75"/>
      <c r="G2" s="522">
        <f ca="1">TODAY()</f>
        <v>41892</v>
      </c>
      <c r="H2" s="75"/>
      <c r="I2" s="75"/>
      <c r="J2" s="75"/>
      <c r="K2" s="75"/>
      <c r="L2" s="75"/>
      <c r="M2" s="75"/>
      <c r="N2" s="75"/>
      <c r="O2" s="75"/>
    </row>
    <row r="3" spans="1:15" s="23" customFormat="1" ht="33.75" customHeight="1">
      <c r="A3" s="75"/>
      <c r="B3" s="784" t="s">
        <v>231</v>
      </c>
      <c r="C3" s="780"/>
      <c r="D3" s="780"/>
      <c r="E3" s="75"/>
      <c r="F3" s="75"/>
      <c r="G3" s="522"/>
      <c r="H3" s="75"/>
      <c r="I3" s="75"/>
      <c r="J3" s="75"/>
      <c r="K3" s="75"/>
      <c r="L3" s="75"/>
      <c r="M3" s="75"/>
      <c r="N3" s="75"/>
      <c r="O3" s="75"/>
    </row>
    <row r="4" spans="1:15" ht="18.75" thickBot="1">
      <c r="A4" s="75"/>
      <c r="B4" s="37"/>
      <c r="C4" s="772"/>
      <c r="D4" s="772"/>
      <c r="E4" s="1052" t="s">
        <v>127</v>
      </c>
      <c r="F4" s="75"/>
      <c r="G4" s="451" t="s">
        <v>232</v>
      </c>
      <c r="H4" s="75"/>
      <c r="I4" s="75"/>
      <c r="J4" s="75"/>
      <c r="K4" s="75"/>
      <c r="L4" s="75"/>
      <c r="M4" s="75"/>
      <c r="N4" s="75"/>
      <c r="O4" s="75"/>
    </row>
    <row r="5" spans="1:15" s="23" customFormat="1" ht="18.75" thickBot="1">
      <c r="A5" s="75"/>
      <c r="B5" s="785" t="s">
        <v>641</v>
      </c>
      <c r="C5" s="785" t="s">
        <v>564</v>
      </c>
      <c r="D5" s="785" t="s">
        <v>565</v>
      </c>
      <c r="E5" s="1053"/>
      <c r="F5" s="75"/>
      <c r="G5" s="773"/>
      <c r="H5" s="75"/>
      <c r="I5" s="75"/>
      <c r="J5" s="75"/>
      <c r="K5" s="75"/>
      <c r="L5" s="75"/>
      <c r="M5" s="75"/>
      <c r="N5" s="75"/>
      <c r="O5" s="75"/>
    </row>
    <row r="6" spans="1:15" ht="15" thickTop="1">
      <c r="A6" s="75"/>
      <c r="B6" s="449" t="str">
        <f>S.Hearing.1stCity</f>
        <v>Portland</v>
      </c>
      <c r="C6" s="781">
        <f>S.Hearing.1stDate</f>
        <v>0</v>
      </c>
      <c r="D6" s="783" t="str">
        <f>S.Hearing.1stTime</f>
        <v>6 p.m.</v>
      </c>
      <c r="E6" s="783" t="str">
        <f>S.Hearing.1stTime</f>
        <v>6 p.m.</v>
      </c>
      <c r="F6" s="75"/>
      <c r="G6" s="495"/>
      <c r="H6" s="75"/>
      <c r="I6" s="75"/>
      <c r="J6" s="75"/>
      <c r="K6" s="75"/>
      <c r="L6" s="75"/>
      <c r="M6" s="75"/>
      <c r="N6" s="75"/>
      <c r="O6" s="75"/>
    </row>
    <row r="7" spans="1:15">
      <c r="A7" s="75"/>
      <c r="B7" s="449" t="str">
        <f>IF(S.Hearing.2ndInvolve="N","-blank -",S.Hearing.2ndCity)</f>
        <v>-blank -</v>
      </c>
      <c r="C7" s="782" t="str">
        <f>IF(S.Hearing.2ndInvolve="N","-blank -",S.Hearing.2ndDate)</f>
        <v>-blank -</v>
      </c>
      <c r="D7" s="782" t="str">
        <f>IF(S.Hearing.2ndInvolve="N","-blank -",S.Hearing.2ndTime)</f>
        <v>-blank -</v>
      </c>
      <c r="E7" s="782" t="str">
        <f>IF(S.Hearing.2ndInvolve="N","-blank -","DEQ Staff")</f>
        <v>-blank -</v>
      </c>
      <c r="F7" s="75"/>
      <c r="G7" s="495"/>
      <c r="H7" s="75"/>
      <c r="I7" s="75"/>
      <c r="J7" s="75"/>
      <c r="K7" s="75"/>
      <c r="L7" s="75"/>
      <c r="M7" s="75"/>
      <c r="N7" s="75"/>
      <c r="O7" s="75"/>
    </row>
    <row r="8" spans="1:15">
      <c r="A8" s="75"/>
      <c r="B8" s="449" t="str">
        <f>IF(S.Hearing.3rdInvolve="N","-blank -",S.Hearing.3rdCity)</f>
        <v>-blank -</v>
      </c>
      <c r="C8" s="782" t="str">
        <f>IF(S.Hearing.3rdInvolve="N","-blank -",S.Hearing.3rdDate)</f>
        <v>-blank -</v>
      </c>
      <c r="D8" s="782" t="str">
        <f>IF(S.Hearing.3rdInvolve="N","-blank -",S.Hearing.3rdTime)</f>
        <v>-blank -</v>
      </c>
      <c r="E8" s="782" t="str">
        <f>IF(S.Hearing.3rdInvolve="N","-blank -","DEQ staff")</f>
        <v>-blank -</v>
      </c>
      <c r="F8" s="75"/>
      <c r="G8" s="495"/>
      <c r="H8" s="75"/>
      <c r="I8" s="75"/>
      <c r="J8" s="75"/>
      <c r="K8" s="75"/>
      <c r="L8" s="75"/>
      <c r="M8" s="75"/>
      <c r="N8" s="75"/>
      <c r="O8" s="75"/>
    </row>
    <row r="9" spans="1:15">
      <c r="A9" s="75"/>
      <c r="B9" s="449" t="str">
        <f>IF(S.Hearing.4thInvolve="N","-blank -",S.Hearing.4thCity)</f>
        <v>-blank -</v>
      </c>
      <c r="C9" s="782" t="str">
        <f>IF(S.Hearing.4thInvolve="N","-blank -",S.Hearing.4thDate)</f>
        <v>-blank -</v>
      </c>
      <c r="D9" s="782" t="str">
        <f>IF(S.Hearing.4thInvolve="N","-blank -",S.Hearing.4thTime)</f>
        <v>-blank -</v>
      </c>
      <c r="E9" s="782" t="str">
        <f>IF(S.Hearing.4thInvolve="N","-blank -","DEQ staff")</f>
        <v>-blank -</v>
      </c>
      <c r="F9" s="75"/>
      <c r="G9" s="495"/>
      <c r="H9" s="75"/>
      <c r="I9" s="75"/>
      <c r="J9" s="75"/>
      <c r="K9" s="75"/>
      <c r="L9" s="75"/>
      <c r="M9" s="75"/>
      <c r="N9" s="75"/>
      <c r="O9" s="75"/>
    </row>
    <row r="10" spans="1:15">
      <c r="A10" s="75"/>
      <c r="B10" s="449" t="str">
        <f>IF(S.Hearing.5thInvolve="N","-blank -",S.Hearing.5thCity)</f>
        <v>-blank -</v>
      </c>
      <c r="C10" s="782" t="str">
        <f>IF(S.Hearing.5thInvolve="N","-blank -",S.Hearing.5thDate)</f>
        <v>-blank -</v>
      </c>
      <c r="D10" s="782" t="str">
        <f>IF(S.Hearing.5thInvolve="N","-blank -",S.Hearing.5thTime)</f>
        <v>-blank -</v>
      </c>
      <c r="E10" s="782" t="str">
        <f>IF(S.Hearing.5thInvolve="N","-blank -","DEQ Staff")</f>
        <v>-blank -</v>
      </c>
      <c r="F10" s="75"/>
      <c r="G10" s="495"/>
      <c r="H10" s="75"/>
      <c r="I10" s="75"/>
      <c r="J10" s="75"/>
      <c r="K10" s="75"/>
      <c r="L10" s="75"/>
      <c r="M10" s="75"/>
      <c r="N10" s="75"/>
      <c r="O10" s="75"/>
    </row>
    <row r="11" spans="1:15">
      <c r="A11" s="75"/>
      <c r="B11" s="449" t="str">
        <f>IF(S.Hearing.6thInvolve="N","-blank -",S.Hearing.6thCity)</f>
        <v>-blank -</v>
      </c>
      <c r="C11" s="782" t="str">
        <f>IF(S.Hearing.6thInvolve="N","-blank -",S.Hearing.6thDate)</f>
        <v>-blank -</v>
      </c>
      <c r="D11" s="782" t="str">
        <f>IF(S.Hearing.6thInvolve="N","-blank -",S.Hearing.6thTime)</f>
        <v>-blank -</v>
      </c>
      <c r="E11" s="782" t="str">
        <f>IF(S.Hearing.6thInvolve="N","-blank -","DEQ Staff")</f>
        <v>-blank -</v>
      </c>
      <c r="F11" s="75"/>
      <c r="G11" s="495"/>
      <c r="H11" s="75"/>
      <c r="I11" s="75"/>
      <c r="J11" s="75"/>
      <c r="K11" s="75"/>
      <c r="L11" s="75"/>
      <c r="M11" s="75"/>
      <c r="N11" s="75"/>
      <c r="O11" s="75"/>
    </row>
    <row r="12" spans="1:15">
      <c r="A12" s="75"/>
      <c r="B12" s="449" t="str">
        <f>IF(S.Hearing.7thInvolve="N","-blank -",S.Hearing.7thCity)</f>
        <v>-blank -</v>
      </c>
      <c r="C12" s="782" t="str">
        <f>IF(S.Hearing.7thInvolve="N","-blank -",S.Hearing.7thDate)</f>
        <v>-blank -</v>
      </c>
      <c r="D12" s="782" t="str">
        <f>IF(S.Hearing.7thInvolve="N","-blank -",S.Hearing.7thTime)</f>
        <v>-blank -</v>
      </c>
      <c r="E12" s="782" t="str">
        <f>IF(S.Hearing.7thInvolve="N","-blank -","DEQ staff")</f>
        <v>-blank -</v>
      </c>
      <c r="F12" s="75"/>
      <c r="G12" s="495"/>
      <c r="H12" s="75"/>
      <c r="I12" s="75"/>
      <c r="J12" s="75"/>
      <c r="K12" s="75"/>
      <c r="L12" s="75"/>
      <c r="M12" s="75"/>
      <c r="N12" s="75"/>
      <c r="O12" s="75"/>
    </row>
    <row r="13" spans="1:15">
      <c r="A13" s="75"/>
      <c r="B13" s="449" t="str">
        <f>IF(S.Hearing.8thtInvolve="N","-blank -",S.Hearing.8thCity)</f>
        <v>-blank -</v>
      </c>
      <c r="C13" s="782" t="str">
        <f>IF(S.Hearing.8thtInvolve="N","-blank -",S.Hearing.8thDate)</f>
        <v>-blank -</v>
      </c>
      <c r="D13" s="782" t="str">
        <f>IF(S.Hearing.8thtInvolve="N","-blank -",S.Hearing.8thTime)</f>
        <v>-blank -</v>
      </c>
      <c r="E13" s="782" t="str">
        <f>IF(S.Hearing.8thtInvolve="N","-blank -","DEQ Staff")</f>
        <v>-blank -</v>
      </c>
      <c r="F13" s="75"/>
      <c r="G13" s="495"/>
      <c r="H13" s="75"/>
      <c r="I13" s="75"/>
      <c r="J13" s="75"/>
      <c r="K13" s="75"/>
      <c r="L13" s="75"/>
      <c r="M13" s="75"/>
      <c r="N13" s="75"/>
      <c r="O13" s="75"/>
    </row>
    <row r="14" spans="1:15">
      <c r="A14" s="75"/>
      <c r="B14" s="449"/>
      <c r="C14" s="449"/>
      <c r="D14" s="449"/>
      <c r="E14" s="75"/>
      <c r="F14" s="75"/>
      <c r="G14" s="452"/>
      <c r="H14" s="75"/>
      <c r="I14" s="75"/>
      <c r="J14" s="75"/>
      <c r="K14" s="75"/>
      <c r="L14" s="75"/>
      <c r="M14" s="75"/>
      <c r="N14" s="75"/>
      <c r="O14" s="75"/>
    </row>
    <row r="15" spans="1:15">
      <c r="A15" s="75"/>
      <c r="B15" s="449"/>
      <c r="C15" s="449"/>
      <c r="D15" s="449"/>
      <c r="E15" s="75"/>
      <c r="F15" s="75"/>
      <c r="G15" s="452"/>
      <c r="H15" s="75"/>
      <c r="I15" s="75"/>
      <c r="J15" s="75"/>
      <c r="K15" s="75"/>
      <c r="L15" s="75"/>
      <c r="M15" s="75"/>
      <c r="N15" s="75"/>
      <c r="O15" s="75"/>
    </row>
    <row r="16" spans="1:15">
      <c r="A16" s="75"/>
      <c r="B16" s="449"/>
      <c r="C16" s="449"/>
      <c r="D16" s="449"/>
      <c r="E16" s="75"/>
      <c r="F16" s="75"/>
      <c r="G16" s="452"/>
      <c r="H16" s="75"/>
      <c r="I16" s="75"/>
      <c r="J16" s="75"/>
      <c r="K16" s="75"/>
      <c r="L16" s="75"/>
      <c r="M16" s="75"/>
      <c r="N16" s="75"/>
      <c r="O16" s="75"/>
    </row>
    <row r="17" spans="1:15" ht="18.75" thickBot="1">
      <c r="A17" s="75"/>
      <c r="B17" s="1054" t="s">
        <v>230</v>
      </c>
      <c r="C17" s="1054"/>
      <c r="D17" s="773"/>
      <c r="E17" s="75"/>
      <c r="F17" s="75"/>
      <c r="G17" s="452"/>
      <c r="H17" s="75"/>
      <c r="I17" s="75"/>
      <c r="J17" s="75"/>
      <c r="K17" s="75"/>
      <c r="L17" s="75"/>
      <c r="M17" s="75"/>
      <c r="N17" s="75"/>
      <c r="O17" s="75"/>
    </row>
    <row r="18" spans="1:15">
      <c r="A18" s="75"/>
      <c r="B18" s="449" t="str">
        <f>S.Notice.AD.PubID1</f>
        <v>NOTICE.AD1Oregonian</v>
      </c>
      <c r="C18" s="781">
        <f>S.Notice.AD.PubDate1</f>
        <v>0</v>
      </c>
      <c r="D18" s="450"/>
      <c r="E18" s="75"/>
      <c r="F18" s="75"/>
      <c r="G18" s="495"/>
      <c r="H18" s="75"/>
      <c r="I18" s="75"/>
      <c r="J18" s="75"/>
      <c r="K18" s="75"/>
      <c r="L18" s="75"/>
      <c r="M18" s="75"/>
      <c r="N18" s="75"/>
      <c r="O18" s="75"/>
    </row>
    <row r="19" spans="1:15">
      <c r="A19" s="75"/>
      <c r="B19" s="449" t="str">
        <f>S.Notice.AD.PubID2</f>
        <v>NOTICE.AD2None</v>
      </c>
      <c r="C19" s="781">
        <f>S.Notice.AD.PubDate2</f>
        <v>0</v>
      </c>
      <c r="D19" s="450"/>
      <c r="E19" s="75"/>
      <c r="F19" s="75"/>
      <c r="G19" s="495"/>
      <c r="H19" s="75"/>
      <c r="I19" s="75"/>
      <c r="J19" s="75"/>
      <c r="K19" s="75"/>
      <c r="L19" s="75"/>
      <c r="M19" s="75"/>
      <c r="N19" s="75"/>
      <c r="O19" s="75"/>
    </row>
    <row r="20" spans="1:15">
      <c r="A20" s="75"/>
      <c r="B20" s="449" t="str">
        <f>S.Notice.AD.PubID3</f>
        <v>NOTICE.AD3None</v>
      </c>
      <c r="C20" s="781">
        <f>S.Notice.AD.PubDate3</f>
        <v>0</v>
      </c>
      <c r="D20" s="450"/>
      <c r="E20" s="75"/>
      <c r="F20" s="75"/>
      <c r="G20" s="495"/>
      <c r="H20" s="75"/>
      <c r="I20" s="75"/>
      <c r="J20" s="75"/>
      <c r="K20" s="75"/>
      <c r="L20" s="75"/>
      <c r="M20" s="75"/>
      <c r="N20" s="75"/>
      <c r="O20" s="75"/>
    </row>
    <row r="21" spans="1:15">
      <c r="A21" s="75"/>
      <c r="B21" s="449" t="str">
        <f>S.Notice.AD.PubID4</f>
        <v>NOTICE.AD4None</v>
      </c>
      <c r="C21" s="781">
        <f>S.Notice.AD.PubDate4</f>
        <v>0</v>
      </c>
      <c r="D21" s="450"/>
      <c r="E21" s="75"/>
      <c r="F21" s="75"/>
      <c r="G21" s="495"/>
      <c r="H21" s="75"/>
      <c r="I21" s="75"/>
      <c r="J21" s="75"/>
      <c r="K21" s="75"/>
      <c r="L21" s="75"/>
      <c r="M21" s="75"/>
      <c r="N21" s="75"/>
      <c r="O21" s="75"/>
    </row>
    <row r="22" spans="1:15">
      <c r="A22" s="75"/>
      <c r="B22" s="449" t="str">
        <f>S.Notice.AD.PubID5</f>
        <v>NOTICE.AD5None</v>
      </c>
      <c r="C22" s="781">
        <f>S.Notice.AD.PubDate5</f>
        <v>0</v>
      </c>
      <c r="D22" s="450"/>
      <c r="E22" s="75"/>
      <c r="F22" s="75"/>
      <c r="G22" s="495"/>
      <c r="H22" s="75"/>
      <c r="I22" s="75"/>
      <c r="J22" s="75"/>
      <c r="K22" s="75"/>
      <c r="L22" s="75"/>
      <c r="M22" s="75"/>
      <c r="N22" s="75"/>
      <c r="O22" s="75"/>
    </row>
    <row r="23" spans="1:15">
      <c r="A23" s="75"/>
      <c r="B23" s="449" t="str">
        <f>S.Notice.AD.PubID6</f>
        <v>NOTICE.AD6None</v>
      </c>
      <c r="C23" s="781">
        <f>S.Notice.AD.PubDate6</f>
        <v>0</v>
      </c>
      <c r="D23" s="450"/>
      <c r="E23" s="75"/>
      <c r="F23" s="75"/>
      <c r="G23" s="495"/>
      <c r="H23" s="75"/>
      <c r="I23" s="75"/>
      <c r="J23" s="75"/>
      <c r="K23" s="75"/>
      <c r="L23" s="75"/>
      <c r="M23" s="75"/>
      <c r="N23" s="75"/>
      <c r="O23" s="75"/>
    </row>
    <row r="24" spans="1:15">
      <c r="A24" s="75"/>
      <c r="B24" s="449" t="str">
        <f>S.Notice.AD.PubID7</f>
        <v>NOTICE.AD7None</v>
      </c>
      <c r="C24" s="781">
        <f>S.Notice.AD.PubDate7</f>
        <v>0</v>
      </c>
      <c r="D24" s="450"/>
      <c r="E24" s="75"/>
      <c r="F24" s="75"/>
      <c r="G24" s="495"/>
      <c r="H24" s="75"/>
      <c r="I24" s="75"/>
      <c r="J24" s="75"/>
      <c r="K24" s="75"/>
      <c r="L24" s="75"/>
      <c r="M24" s="75"/>
      <c r="N24" s="75"/>
      <c r="O24" s="75"/>
    </row>
    <row r="25" spans="1:15">
      <c r="A25" s="75"/>
      <c r="B25" s="449" t="str">
        <f>S.Notice.AD.PubID8</f>
        <v>NOTICE.AD8None</v>
      </c>
      <c r="C25" s="781">
        <f>S.Notice.AD.PubDate8</f>
        <v>0</v>
      </c>
      <c r="D25" s="450"/>
      <c r="E25" s="75"/>
      <c r="F25" s="75"/>
      <c r="G25" s="495"/>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5"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1"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60</v>
      </c>
      <c r="E3" s="133" t="s">
        <v>55</v>
      </c>
      <c r="F3" s="133" t="s">
        <v>65</v>
      </c>
      <c r="G3" s="48"/>
      <c r="H3" s="48"/>
      <c r="I3" s="48"/>
      <c r="J3" s="48"/>
      <c r="K3" s="48"/>
      <c r="L3" s="48"/>
      <c r="M3" s="2"/>
      <c r="N3" s="2"/>
      <c r="O3" s="2"/>
      <c r="P3"/>
      <c r="Q3"/>
      <c r="R3"/>
      <c r="S3"/>
    </row>
    <row r="4" spans="1:20" ht="18.75" customHeight="1">
      <c r="A4" s="107">
        <v>41353</v>
      </c>
      <c r="B4" s="107">
        <v>41316</v>
      </c>
      <c r="C4" s="107">
        <v>41346</v>
      </c>
      <c r="D4" s="111">
        <f>A5-A4</f>
        <v>91</v>
      </c>
      <c r="E4" s="107">
        <f t="shared" ref="E4:E9" si="0">A4+D4</f>
        <v>41444</v>
      </c>
      <c r="F4" s="107">
        <v>41259</v>
      </c>
      <c r="G4" s="1057" t="s">
        <v>349</v>
      </c>
      <c r="H4" s="1057"/>
      <c r="I4" s="1057"/>
      <c r="J4" s="48"/>
      <c r="K4" s="48"/>
      <c r="L4" s="48"/>
      <c r="M4" s="48"/>
      <c r="N4" s="48"/>
      <c r="O4" s="48"/>
      <c r="P4" s="23"/>
      <c r="Q4" s="23"/>
      <c r="R4" s="23"/>
      <c r="S4" s="23"/>
    </row>
    <row r="5" spans="1:20" ht="18.75" customHeight="1">
      <c r="A5" s="107">
        <v>41444</v>
      </c>
      <c r="B5" s="107">
        <v>41404</v>
      </c>
      <c r="C5" s="107">
        <v>41437</v>
      </c>
      <c r="D5" s="111">
        <f>A6-A5</f>
        <v>63</v>
      </c>
      <c r="E5" s="107">
        <f t="shared" si="0"/>
        <v>41507</v>
      </c>
      <c r="F5" s="107">
        <f>A5-D4</f>
        <v>41353</v>
      </c>
      <c r="G5" s="1057"/>
      <c r="H5" s="1057"/>
      <c r="I5" s="1057"/>
      <c r="J5" s="48"/>
      <c r="K5" s="48"/>
      <c r="L5" s="48"/>
      <c r="M5" s="48"/>
      <c r="N5" s="48"/>
      <c r="O5" s="48"/>
      <c r="P5" s="23"/>
      <c r="Q5" s="23"/>
      <c r="R5" s="23"/>
      <c r="S5" s="23"/>
    </row>
    <row r="6" spans="1:20" ht="18.75" customHeight="1">
      <c r="A6" s="107">
        <v>41507</v>
      </c>
      <c r="B6" s="107">
        <v>41471</v>
      </c>
      <c r="C6" s="107">
        <v>41500</v>
      </c>
      <c r="D6" s="111">
        <f>A7-A6</f>
        <v>56</v>
      </c>
      <c r="E6" s="107">
        <f t="shared" si="0"/>
        <v>41563</v>
      </c>
      <c r="F6" s="107">
        <f>A6-D5</f>
        <v>41444</v>
      </c>
      <c r="G6" s="1057"/>
      <c r="H6" s="1057"/>
      <c r="I6" s="1057"/>
      <c r="J6" s="48"/>
      <c r="K6" s="48"/>
      <c r="L6" s="48"/>
      <c r="M6" s="48"/>
      <c r="N6" s="48"/>
      <c r="O6" s="48"/>
      <c r="P6" s="23"/>
      <c r="Q6" s="23"/>
      <c r="R6" s="23"/>
      <c r="S6" s="23"/>
    </row>
    <row r="7" spans="1:20">
      <c r="A7" s="107">
        <v>41563</v>
      </c>
      <c r="B7" s="107">
        <v>41527</v>
      </c>
      <c r="C7" s="107">
        <v>41556</v>
      </c>
      <c r="D7" s="111">
        <f>A8-A7</f>
        <v>56</v>
      </c>
      <c r="E7" s="107">
        <f t="shared" si="0"/>
        <v>41619</v>
      </c>
      <c r="F7" s="107">
        <f>A7-D6</f>
        <v>41507</v>
      </c>
      <c r="G7" s="1057"/>
      <c r="H7" s="1057"/>
      <c r="I7" s="1057"/>
      <c r="J7" s="48"/>
      <c r="K7" s="48"/>
      <c r="L7" s="48"/>
      <c r="M7" s="48"/>
      <c r="N7" s="48"/>
      <c r="O7" s="48"/>
      <c r="P7" s="23"/>
      <c r="Q7" s="23"/>
      <c r="R7" s="23"/>
      <c r="S7" s="23"/>
    </row>
    <row r="8" spans="1:20">
      <c r="A8" s="107">
        <v>41619</v>
      </c>
      <c r="B8" s="107">
        <v>41579</v>
      </c>
      <c r="C8" s="107">
        <v>41612</v>
      </c>
      <c r="D8" s="111">
        <f>A9-A8</f>
        <v>99</v>
      </c>
      <c r="E8" s="107">
        <f t="shared" si="0"/>
        <v>41718</v>
      </c>
      <c r="F8" s="107">
        <f>A8-D7</f>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 t="shared" si="0"/>
        <v>42011</v>
      </c>
      <c r="F9" s="107">
        <v>41259</v>
      </c>
      <c r="G9" s="48"/>
      <c r="H9" s="563">
        <v>41663</v>
      </c>
      <c r="I9" s="48"/>
      <c r="J9" s="48"/>
      <c r="K9" s="48"/>
      <c r="L9" s="48"/>
      <c r="M9" s="48"/>
      <c r="N9" s="48"/>
      <c r="O9" s="48"/>
      <c r="P9" s="23"/>
      <c r="Q9" s="23"/>
      <c r="R9" s="23"/>
      <c r="S9" s="23"/>
    </row>
    <row r="10" spans="1:20" ht="18.75" customHeight="1">
      <c r="A10" s="107">
        <v>41808</v>
      </c>
      <c r="B10" s="107">
        <v>41771</v>
      </c>
      <c r="C10" s="107">
        <v>41785</v>
      </c>
      <c r="D10" s="111">
        <f t="shared" ref="D10:D19" si="1">A11-A10</f>
        <v>70</v>
      </c>
      <c r="E10" s="107">
        <f t="shared" ref="E10:E24" si="2">A10+D10</f>
        <v>41878</v>
      </c>
      <c r="F10" s="107">
        <f>A10-D9</f>
        <v>41515</v>
      </c>
      <c r="G10" s="48"/>
      <c r="H10" s="563">
        <v>41718</v>
      </c>
      <c r="I10" s="48"/>
      <c r="J10" s="48"/>
      <c r="K10" s="48"/>
      <c r="L10" s="48"/>
      <c r="M10" s="48"/>
      <c r="N10" s="48"/>
      <c r="O10" s="48"/>
      <c r="P10"/>
      <c r="Q10"/>
      <c r="R10"/>
      <c r="S10"/>
    </row>
    <row r="11" spans="1:20" ht="18.75" customHeight="1">
      <c r="A11" s="107">
        <v>41878</v>
      </c>
      <c r="B11" s="107">
        <v>41844</v>
      </c>
      <c r="C11" s="107">
        <v>41855</v>
      </c>
      <c r="D11" s="111">
        <f t="shared" si="1"/>
        <v>70</v>
      </c>
      <c r="E11" s="107">
        <f t="shared" si="2"/>
        <v>41948</v>
      </c>
      <c r="F11" s="107">
        <f t="shared" ref="F11:F24" si="3">A11-D10</f>
        <v>41808</v>
      </c>
      <c r="G11" s="48"/>
      <c r="H11" s="563">
        <v>41808</v>
      </c>
      <c r="I11" s="48"/>
      <c r="J11" s="48"/>
      <c r="K11" s="48"/>
      <c r="L11" s="48"/>
      <c r="M11" s="48"/>
      <c r="N11" s="48"/>
      <c r="O11" s="48"/>
      <c r="P11"/>
      <c r="Q11"/>
      <c r="R11"/>
      <c r="S11"/>
    </row>
    <row r="12" spans="1:20">
      <c r="A12" s="107">
        <v>41948</v>
      </c>
      <c r="B12" s="107">
        <v>41911</v>
      </c>
      <c r="C12" s="107">
        <v>41925</v>
      </c>
      <c r="D12" s="111">
        <f t="shared" si="1"/>
        <v>63</v>
      </c>
      <c r="E12" s="107">
        <f t="shared" si="2"/>
        <v>42011</v>
      </c>
      <c r="F12" s="107">
        <f t="shared" si="3"/>
        <v>41878</v>
      </c>
      <c r="G12" s="48"/>
      <c r="H12" s="563">
        <v>41871</v>
      </c>
      <c r="I12" s="48"/>
      <c r="J12" s="48"/>
      <c r="K12" s="48"/>
      <c r="L12" s="48"/>
      <c r="M12" s="48"/>
      <c r="N12" s="48"/>
      <c r="O12" s="48"/>
      <c r="P12"/>
      <c r="Q12"/>
      <c r="R12"/>
      <c r="S12"/>
    </row>
    <row r="13" spans="1:20">
      <c r="A13" s="107">
        <v>42011</v>
      </c>
      <c r="B13" s="107">
        <v>41975</v>
      </c>
      <c r="C13" s="107">
        <v>41983</v>
      </c>
      <c r="D13" s="111">
        <f t="shared" si="1"/>
        <v>67</v>
      </c>
      <c r="E13" s="107">
        <f t="shared" si="2"/>
        <v>42078</v>
      </c>
      <c r="F13" s="107">
        <f t="shared" si="3"/>
        <v>41948</v>
      </c>
      <c r="G13" s="48"/>
      <c r="H13" s="563">
        <v>41934</v>
      </c>
      <c r="I13" s="48"/>
      <c r="J13" s="48"/>
      <c r="K13" s="48"/>
      <c r="L13" s="48"/>
      <c r="M13" s="48"/>
      <c r="N13" s="48"/>
      <c r="O13" s="48"/>
      <c r="P13"/>
      <c r="Q13"/>
      <c r="R13"/>
      <c r="S13"/>
    </row>
    <row r="14" spans="1:20">
      <c r="A14" s="109">
        <v>42078</v>
      </c>
      <c r="B14" s="109">
        <f t="shared" ref="B14:B25" si="4">WORKDAY(A14-40,-1,S.DDL_DEQClosed)</f>
        <v>42037</v>
      </c>
      <c r="C14" s="109">
        <f t="shared" ref="C14:C25" si="5">WORKDAY(A14-9,-1,S.DDL_DEQClosed)</f>
        <v>42068</v>
      </c>
      <c r="D14" s="111">
        <f t="shared" si="1"/>
        <v>94</v>
      </c>
      <c r="E14" s="107">
        <f t="shared" si="2"/>
        <v>42172</v>
      </c>
      <c r="F14" s="107">
        <f t="shared" si="3"/>
        <v>42011</v>
      </c>
      <c r="G14" s="48"/>
      <c r="H14" s="563">
        <v>41990</v>
      </c>
      <c r="I14" s="48"/>
      <c r="J14" s="48"/>
      <c r="K14" s="48"/>
      <c r="L14" s="48"/>
      <c r="M14" s="48"/>
      <c r="N14" s="48"/>
      <c r="O14" s="48"/>
      <c r="P14"/>
      <c r="Q14"/>
      <c r="R14"/>
      <c r="S14"/>
    </row>
    <row r="15" spans="1:20">
      <c r="A15" s="109">
        <v>42172</v>
      </c>
      <c r="B15" s="109">
        <f t="shared" si="4"/>
        <v>42131</v>
      </c>
      <c r="C15" s="109">
        <f t="shared" si="5"/>
        <v>42160</v>
      </c>
      <c r="D15" s="111">
        <f t="shared" si="1"/>
        <v>63</v>
      </c>
      <c r="E15" s="107">
        <f t="shared" si="2"/>
        <v>42235</v>
      </c>
      <c r="F15" s="107">
        <f t="shared" si="3"/>
        <v>42078</v>
      </c>
      <c r="G15" s="48"/>
      <c r="H15" s="563">
        <v>42081</v>
      </c>
      <c r="I15" s="48"/>
      <c r="J15" s="48"/>
      <c r="K15" s="48"/>
      <c r="L15" s="48"/>
      <c r="M15" s="48"/>
      <c r="N15" s="48"/>
      <c r="O15" s="48"/>
      <c r="P15"/>
      <c r="Q15"/>
      <c r="R15"/>
      <c r="S15"/>
    </row>
    <row r="16" spans="1:20">
      <c r="A16" s="109">
        <v>42235</v>
      </c>
      <c r="B16" s="109">
        <f t="shared" si="4"/>
        <v>42194</v>
      </c>
      <c r="C16" s="109">
        <f t="shared" si="5"/>
        <v>42223</v>
      </c>
      <c r="D16" s="111">
        <f t="shared" si="1"/>
        <v>63</v>
      </c>
      <c r="E16" s="107">
        <f t="shared" si="2"/>
        <v>42298</v>
      </c>
      <c r="F16" s="107">
        <f t="shared" si="3"/>
        <v>42172</v>
      </c>
      <c r="G16" s="48"/>
      <c r="H16" s="563">
        <v>42172</v>
      </c>
      <c r="I16" s="48"/>
      <c r="J16" s="48"/>
      <c r="K16" s="48"/>
      <c r="L16" s="48"/>
      <c r="M16" s="48"/>
      <c r="N16" s="48"/>
      <c r="O16" s="48"/>
      <c r="P16"/>
      <c r="Q16"/>
      <c r="R16"/>
      <c r="S16"/>
    </row>
    <row r="17" spans="1:20">
      <c r="A17" s="109">
        <v>42298</v>
      </c>
      <c r="B17" s="109">
        <f t="shared" si="4"/>
        <v>42257</v>
      </c>
      <c r="C17" s="109">
        <f t="shared" si="5"/>
        <v>42286</v>
      </c>
      <c r="D17" s="111">
        <f t="shared" si="1"/>
        <v>56</v>
      </c>
      <c r="E17" s="107">
        <f t="shared" si="2"/>
        <v>42354</v>
      </c>
      <c r="F17" s="107">
        <f t="shared" si="3"/>
        <v>42235</v>
      </c>
      <c r="G17" s="48"/>
      <c r="H17" s="563">
        <v>42235</v>
      </c>
      <c r="I17" s="48"/>
      <c r="J17" s="48"/>
      <c r="K17" s="48"/>
      <c r="L17" s="48"/>
      <c r="M17" s="48"/>
      <c r="N17" s="48"/>
      <c r="O17" s="48"/>
      <c r="P17"/>
      <c r="Q17"/>
      <c r="R17"/>
      <c r="S17"/>
    </row>
    <row r="18" spans="1:20">
      <c r="A18" s="109">
        <v>42354</v>
      </c>
      <c r="B18" s="109">
        <f t="shared" si="4"/>
        <v>42313</v>
      </c>
      <c r="C18" s="109">
        <f t="shared" si="5"/>
        <v>42342</v>
      </c>
      <c r="D18" s="111">
        <f t="shared" si="1"/>
        <v>98</v>
      </c>
      <c r="E18" s="107">
        <f t="shared" si="2"/>
        <v>42452</v>
      </c>
      <c r="F18" s="107">
        <f t="shared" si="3"/>
        <v>42298</v>
      </c>
      <c r="G18" s="48"/>
      <c r="H18" s="563">
        <v>42298</v>
      </c>
      <c r="I18" s="48"/>
      <c r="J18" s="48"/>
      <c r="K18" s="48"/>
      <c r="L18" s="48"/>
      <c r="M18" s="48"/>
      <c r="N18" s="48"/>
      <c r="O18" s="48"/>
      <c r="P18"/>
      <c r="Q18"/>
      <c r="R18"/>
      <c r="S18"/>
    </row>
    <row r="19" spans="1:20">
      <c r="A19" s="109">
        <v>42452</v>
      </c>
      <c r="B19" s="109">
        <f t="shared" si="4"/>
        <v>42411</v>
      </c>
      <c r="C19" s="109">
        <f t="shared" si="5"/>
        <v>42440</v>
      </c>
      <c r="D19" s="111">
        <f t="shared" si="1"/>
        <v>91</v>
      </c>
      <c r="E19" s="107">
        <f t="shared" si="2"/>
        <v>42543</v>
      </c>
      <c r="F19" s="107">
        <f t="shared" si="3"/>
        <v>42354</v>
      </c>
      <c r="G19" s="2"/>
      <c r="H19" s="563">
        <v>42354</v>
      </c>
      <c r="I19" s="48"/>
      <c r="J19" s="48"/>
      <c r="K19" s="48"/>
      <c r="L19" s="48"/>
      <c r="M19" s="48"/>
      <c r="N19" s="48"/>
      <c r="O19" s="48"/>
      <c r="P19"/>
      <c r="Q19"/>
      <c r="R19"/>
      <c r="S19"/>
    </row>
    <row r="20" spans="1:20">
      <c r="A20" s="109">
        <v>42543</v>
      </c>
      <c r="B20" s="109">
        <f t="shared" si="4"/>
        <v>42502</v>
      </c>
      <c r="C20" s="109">
        <f t="shared" si="5"/>
        <v>42531</v>
      </c>
      <c r="D20" s="111">
        <f>A21-A20</f>
        <v>56</v>
      </c>
      <c r="E20" s="107">
        <f t="shared" si="2"/>
        <v>42599</v>
      </c>
      <c r="F20" s="107">
        <f t="shared" si="3"/>
        <v>42452</v>
      </c>
      <c r="G20" s="2"/>
      <c r="H20" s="563">
        <v>42452</v>
      </c>
      <c r="I20" s="2"/>
      <c r="J20" s="2"/>
      <c r="K20" s="53"/>
      <c r="L20" s="53"/>
      <c r="M20" s="2"/>
      <c r="N20" s="2"/>
      <c r="O20" s="2"/>
      <c r="P20" s="1"/>
      <c r="Q20" s="1"/>
    </row>
    <row r="21" spans="1:20">
      <c r="A21" s="109">
        <v>42599</v>
      </c>
      <c r="B21" s="109">
        <f t="shared" si="4"/>
        <v>42558</v>
      </c>
      <c r="C21" s="109">
        <f t="shared" si="5"/>
        <v>42587</v>
      </c>
      <c r="D21" s="111">
        <f>A22-A21</f>
        <v>63</v>
      </c>
      <c r="E21" s="107">
        <f t="shared" si="2"/>
        <v>42662</v>
      </c>
      <c r="F21" s="107">
        <f t="shared" si="3"/>
        <v>42543</v>
      </c>
      <c r="G21" s="2"/>
      <c r="H21" s="563">
        <v>42543</v>
      </c>
      <c r="I21" s="2"/>
      <c r="J21" s="2"/>
      <c r="K21" s="53"/>
      <c r="L21" s="53"/>
      <c r="M21" s="2"/>
      <c r="N21" s="2"/>
      <c r="O21" s="2"/>
      <c r="P21" s="1"/>
      <c r="Q21" s="1"/>
    </row>
    <row r="22" spans="1:20">
      <c r="A22" s="109">
        <v>42662</v>
      </c>
      <c r="B22" s="109">
        <f t="shared" si="4"/>
        <v>42621</v>
      </c>
      <c r="C22" s="109">
        <f t="shared" si="5"/>
        <v>42650</v>
      </c>
      <c r="D22" s="111">
        <f>A23-A22</f>
        <v>63</v>
      </c>
      <c r="E22" s="107">
        <f t="shared" si="2"/>
        <v>42725</v>
      </c>
      <c r="F22" s="107">
        <f t="shared" si="3"/>
        <v>42599</v>
      </c>
      <c r="G22" s="2"/>
      <c r="H22" s="2"/>
      <c r="I22" s="2"/>
      <c r="J22" s="2"/>
      <c r="K22" s="53"/>
      <c r="L22" s="53"/>
      <c r="M22" s="2"/>
      <c r="N22" s="2"/>
      <c r="O22" s="2"/>
      <c r="P22" s="1"/>
      <c r="Q22" s="1"/>
    </row>
    <row r="23" spans="1:20">
      <c r="A23" s="109">
        <v>42725</v>
      </c>
      <c r="B23" s="109">
        <f t="shared" si="4"/>
        <v>42684</v>
      </c>
      <c r="C23" s="109">
        <f t="shared" si="5"/>
        <v>42713</v>
      </c>
      <c r="D23" s="111">
        <f>A24-A23</f>
        <v>91</v>
      </c>
      <c r="E23" s="107">
        <f t="shared" si="2"/>
        <v>42816</v>
      </c>
      <c r="F23" s="107">
        <f t="shared" si="3"/>
        <v>42662</v>
      </c>
      <c r="G23" s="2"/>
      <c r="H23" s="2"/>
      <c r="I23" s="2"/>
      <c r="J23" s="2"/>
      <c r="K23" s="53"/>
      <c r="L23" s="53"/>
      <c r="M23" s="2"/>
      <c r="N23" s="2"/>
      <c r="O23" s="2"/>
      <c r="P23" s="1"/>
      <c r="Q23" s="1"/>
    </row>
    <row r="24" spans="1:20">
      <c r="A24" s="109">
        <v>42816</v>
      </c>
      <c r="B24" s="109">
        <f t="shared" si="4"/>
        <v>42775</v>
      </c>
      <c r="C24" s="109">
        <f t="shared" si="5"/>
        <v>42804</v>
      </c>
      <c r="D24" s="111">
        <f>A25-A24</f>
        <v>91</v>
      </c>
      <c r="E24" s="107">
        <f t="shared" si="2"/>
        <v>42907</v>
      </c>
      <c r="F24" s="107">
        <f t="shared" si="3"/>
        <v>42725</v>
      </c>
      <c r="G24" s="2"/>
      <c r="H24" s="2"/>
      <c r="I24" s="2"/>
      <c r="J24" s="2"/>
      <c r="K24" s="53"/>
      <c r="L24" s="53"/>
      <c r="M24" s="2"/>
      <c r="N24" s="2"/>
      <c r="O24" s="2"/>
      <c r="P24" s="1"/>
      <c r="Q24" s="1"/>
    </row>
    <row r="25" spans="1:20">
      <c r="A25" s="109">
        <v>42907</v>
      </c>
      <c r="B25" s="109">
        <f t="shared" si="4"/>
        <v>42866</v>
      </c>
      <c r="C25" s="109">
        <f t="shared" si="5"/>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56" t="s">
        <v>34</v>
      </c>
      <c r="K27" s="1056"/>
      <c r="L27" s="1056"/>
      <c r="M27" s="1056"/>
      <c r="N27" s="1056"/>
      <c r="O27" s="1056"/>
      <c r="P27" s="1056"/>
      <c r="Q27" s="53"/>
      <c r="R27" s="2"/>
      <c r="S27" s="2"/>
      <c r="T27" s="2"/>
    </row>
    <row r="28" spans="1:20">
      <c r="A28" s="22">
        <v>41275</v>
      </c>
      <c r="B28" s="20" t="s">
        <v>5</v>
      </c>
      <c r="C28" s="30">
        <f>A28</f>
        <v>41275</v>
      </c>
      <c r="D28" s="30"/>
      <c r="E28" s="55"/>
      <c r="F28" s="55"/>
      <c r="G28" s="55"/>
      <c r="H28" s="55"/>
      <c r="I28" s="2"/>
      <c r="J28" s="1056"/>
      <c r="K28" s="1056"/>
      <c r="L28" s="1056"/>
      <c r="M28" s="1056"/>
      <c r="N28" s="1056"/>
      <c r="O28" s="1056"/>
      <c r="P28" s="1056"/>
      <c r="Q28" s="53"/>
      <c r="R28" s="2"/>
      <c r="S28" s="2"/>
      <c r="T28" s="2"/>
    </row>
    <row r="29" spans="1:20">
      <c r="A29" s="22">
        <v>41292</v>
      </c>
      <c r="B29" s="20" t="s">
        <v>3</v>
      </c>
      <c r="C29" s="30">
        <f t="shared" ref="C29:C76" si="6">A29</f>
        <v>41292</v>
      </c>
      <c r="D29" s="30"/>
      <c r="E29" s="55"/>
      <c r="F29" s="55"/>
      <c r="G29" s="55"/>
      <c r="H29" s="55"/>
      <c r="I29" s="2"/>
      <c r="J29" s="1056"/>
      <c r="K29" s="1056"/>
      <c r="L29" s="1056"/>
      <c r="M29" s="1056"/>
      <c r="N29" s="1056"/>
      <c r="O29" s="1056"/>
      <c r="P29" s="1056"/>
      <c r="Q29" s="53"/>
      <c r="R29" s="2"/>
      <c r="S29" s="2"/>
      <c r="T29" s="2"/>
    </row>
    <row r="30" spans="1:20">
      <c r="A30" s="22">
        <v>41295</v>
      </c>
      <c r="B30" s="20" t="s">
        <v>6</v>
      </c>
      <c r="C30" s="30">
        <f t="shared" si="6"/>
        <v>41295</v>
      </c>
      <c r="D30" s="30"/>
      <c r="E30" s="55"/>
      <c r="F30" s="55"/>
      <c r="G30" s="55"/>
      <c r="H30" s="55"/>
      <c r="I30" s="2"/>
      <c r="J30" s="1056"/>
      <c r="K30" s="1056"/>
      <c r="L30" s="1056"/>
      <c r="M30" s="1056"/>
      <c r="N30" s="1056"/>
      <c r="O30" s="1056"/>
      <c r="P30" s="1056"/>
      <c r="Q30" s="53"/>
      <c r="R30" s="2"/>
      <c r="S30" s="2"/>
      <c r="T30" s="2"/>
    </row>
    <row r="31" spans="1:20">
      <c r="A31" s="22">
        <v>41323</v>
      </c>
      <c r="B31" s="20" t="s">
        <v>7</v>
      </c>
      <c r="C31" s="30">
        <f t="shared" si="6"/>
        <v>41323</v>
      </c>
      <c r="D31" s="30"/>
      <c r="E31" s="55"/>
      <c r="F31" s="55"/>
      <c r="G31" s="55"/>
      <c r="H31" s="55"/>
      <c r="I31" s="2"/>
      <c r="J31" s="1056"/>
      <c r="K31" s="1056"/>
      <c r="L31" s="1056"/>
      <c r="M31" s="1056"/>
      <c r="N31" s="1056"/>
      <c r="O31" s="1056"/>
      <c r="P31" s="1056"/>
      <c r="Q31" s="53"/>
      <c r="R31" s="2"/>
      <c r="S31" s="2"/>
      <c r="T31" s="2"/>
    </row>
    <row r="32" spans="1:20">
      <c r="A32" s="22">
        <v>41383</v>
      </c>
      <c r="B32" s="20" t="s">
        <v>3</v>
      </c>
      <c r="C32" s="30">
        <f t="shared" si="6"/>
        <v>41383</v>
      </c>
      <c r="D32" s="30"/>
      <c r="E32" s="55"/>
      <c r="F32" s="55"/>
      <c r="G32" s="55"/>
      <c r="H32" s="55"/>
      <c r="I32" s="2"/>
      <c r="J32" s="1056"/>
      <c r="K32" s="1056"/>
      <c r="L32" s="1056"/>
      <c r="M32" s="1056"/>
      <c r="N32" s="1056"/>
      <c r="O32" s="1056"/>
      <c r="P32" s="1056"/>
      <c r="Q32" s="53"/>
      <c r="R32" s="2"/>
      <c r="S32" s="2"/>
      <c r="T32" s="2"/>
    </row>
    <row r="33" spans="1:20">
      <c r="A33" s="22">
        <v>41418</v>
      </c>
      <c r="B33" s="20" t="s">
        <v>3</v>
      </c>
      <c r="C33" s="30">
        <f t="shared" si="6"/>
        <v>41418</v>
      </c>
      <c r="D33" s="30"/>
      <c r="E33" s="55"/>
      <c r="F33" s="55"/>
      <c r="G33" s="55"/>
      <c r="H33" s="55"/>
      <c r="I33" s="2"/>
      <c r="J33" s="1056"/>
      <c r="K33" s="1056"/>
      <c r="L33" s="1056"/>
      <c r="M33" s="1056"/>
      <c r="N33" s="1056"/>
      <c r="O33" s="1056"/>
      <c r="P33" s="1056"/>
      <c r="Q33" s="53"/>
      <c r="R33" s="2"/>
      <c r="S33" s="2"/>
      <c r="T33" s="2"/>
    </row>
    <row r="34" spans="1:20">
      <c r="A34" s="22">
        <v>41421</v>
      </c>
      <c r="B34" s="20" t="s">
        <v>8</v>
      </c>
      <c r="C34" s="30">
        <f t="shared" si="6"/>
        <v>41421</v>
      </c>
      <c r="D34" s="30"/>
      <c r="E34" s="55"/>
      <c r="F34" s="55"/>
      <c r="G34" s="55"/>
      <c r="H34" s="55"/>
      <c r="I34" s="2"/>
      <c r="J34" s="1056"/>
      <c r="K34" s="1056"/>
      <c r="L34" s="1056"/>
      <c r="M34" s="1056"/>
      <c r="N34" s="1056"/>
      <c r="O34" s="1056"/>
      <c r="P34" s="1056"/>
      <c r="Q34" s="53"/>
      <c r="R34" s="2"/>
      <c r="S34" s="2"/>
      <c r="T34" s="2"/>
    </row>
    <row r="35" spans="1:20">
      <c r="A35" s="22">
        <v>41459</v>
      </c>
      <c r="B35" s="20" t="s">
        <v>9</v>
      </c>
      <c r="C35" s="30">
        <f t="shared" si="6"/>
        <v>41459</v>
      </c>
      <c r="D35" s="30"/>
      <c r="E35" s="55"/>
      <c r="F35" s="55"/>
      <c r="G35" s="55"/>
      <c r="H35" s="55"/>
      <c r="I35" s="2"/>
      <c r="J35" s="1056"/>
      <c r="K35" s="1056"/>
      <c r="L35" s="1056"/>
      <c r="M35" s="1056"/>
      <c r="N35" s="1056"/>
      <c r="O35" s="1056"/>
      <c r="P35" s="1056"/>
      <c r="Q35" s="53"/>
      <c r="R35" s="2"/>
      <c r="S35" s="2"/>
      <c r="T35" s="2"/>
    </row>
    <row r="36" spans="1:20">
      <c r="A36" s="22">
        <v>41519</v>
      </c>
      <c r="B36" s="20" t="s">
        <v>10</v>
      </c>
      <c r="C36" s="30">
        <f t="shared" si="6"/>
        <v>41519</v>
      </c>
      <c r="D36" s="30"/>
      <c r="E36" s="55"/>
      <c r="F36" s="55"/>
      <c r="G36" s="55"/>
      <c r="H36" s="55"/>
      <c r="I36" s="2"/>
      <c r="J36" s="1056"/>
      <c r="K36" s="1056"/>
      <c r="L36" s="1056"/>
      <c r="M36" s="1056"/>
      <c r="N36" s="1056"/>
      <c r="O36" s="1056"/>
      <c r="P36" s="1056"/>
      <c r="Q36" s="53"/>
      <c r="R36" s="2"/>
      <c r="S36" s="2"/>
      <c r="T36" s="2"/>
    </row>
    <row r="37" spans="1:20">
      <c r="A37" s="22">
        <v>41589</v>
      </c>
      <c r="B37" s="20" t="s">
        <v>1</v>
      </c>
      <c r="C37" s="30">
        <f t="shared" si="6"/>
        <v>41589</v>
      </c>
      <c r="D37" s="30"/>
      <c r="E37" s="55"/>
      <c r="F37" s="55"/>
      <c r="G37" s="55"/>
      <c r="H37" s="55"/>
      <c r="I37" s="2"/>
      <c r="J37" s="1056"/>
      <c r="K37" s="1056"/>
      <c r="L37" s="1056"/>
      <c r="M37" s="1056"/>
      <c r="N37" s="1056"/>
      <c r="O37" s="1056"/>
      <c r="P37" s="1056"/>
      <c r="Q37" s="53"/>
      <c r="R37" s="2"/>
      <c r="S37" s="2"/>
      <c r="T37" s="2"/>
    </row>
    <row r="38" spans="1:20">
      <c r="A38" s="22">
        <v>41606</v>
      </c>
      <c r="B38" s="20" t="s">
        <v>2</v>
      </c>
      <c r="C38" s="30">
        <f t="shared" si="6"/>
        <v>41606</v>
      </c>
      <c r="D38" s="30"/>
      <c r="E38" s="55"/>
      <c r="F38" s="55"/>
      <c r="G38" s="55"/>
      <c r="H38" s="55"/>
      <c r="I38" s="2"/>
      <c r="J38" s="1056"/>
      <c r="K38" s="1056"/>
      <c r="L38" s="1056"/>
      <c r="M38" s="1056"/>
      <c r="N38" s="1056"/>
      <c r="O38" s="1056"/>
      <c r="P38" s="1056"/>
      <c r="Q38" s="53"/>
      <c r="R38" s="2"/>
      <c r="S38" s="2"/>
      <c r="T38" s="2"/>
    </row>
    <row r="39" spans="1:20">
      <c r="A39" s="22">
        <v>41633</v>
      </c>
      <c r="B39" s="20" t="s">
        <v>4</v>
      </c>
      <c r="C39" s="30">
        <f t="shared" si="6"/>
        <v>41633</v>
      </c>
      <c r="D39" s="30"/>
      <c r="E39" s="55"/>
      <c r="F39" s="55"/>
      <c r="G39" s="55"/>
      <c r="H39" s="55"/>
      <c r="I39" s="2"/>
      <c r="J39" s="1056"/>
      <c r="K39" s="1056"/>
      <c r="L39" s="1056"/>
      <c r="M39" s="1056"/>
      <c r="N39" s="1056"/>
      <c r="O39" s="1056"/>
      <c r="P39" s="1056"/>
      <c r="Q39" s="53"/>
      <c r="R39" s="2"/>
      <c r="S39" s="2"/>
      <c r="T39" s="2"/>
    </row>
    <row r="40" spans="1:20">
      <c r="A40" s="22">
        <v>41640</v>
      </c>
      <c r="B40" s="20" t="s">
        <v>5</v>
      </c>
      <c r="C40" s="30">
        <f t="shared" si="6"/>
        <v>41640</v>
      </c>
      <c r="D40" s="30"/>
      <c r="E40" s="55"/>
      <c r="F40" s="55"/>
      <c r="G40" s="55"/>
      <c r="H40" s="55"/>
      <c r="I40" s="2"/>
      <c r="J40" s="1056"/>
      <c r="K40" s="1056"/>
      <c r="L40" s="1056"/>
      <c r="M40" s="1056"/>
      <c r="N40" s="1056"/>
      <c r="O40" s="1056"/>
      <c r="P40" s="1056"/>
      <c r="Q40" s="53"/>
      <c r="R40" s="2"/>
      <c r="S40" s="2"/>
      <c r="T40" s="2"/>
    </row>
    <row r="41" spans="1:20">
      <c r="A41" s="22">
        <v>41659</v>
      </c>
      <c r="B41" s="20" t="s">
        <v>6</v>
      </c>
      <c r="C41" s="30">
        <f t="shared" si="6"/>
        <v>41659</v>
      </c>
      <c r="D41" s="30"/>
      <c r="E41" s="55"/>
      <c r="F41" s="55"/>
      <c r="G41" s="55"/>
      <c r="H41" s="55"/>
      <c r="I41" s="2"/>
      <c r="J41" s="1056"/>
      <c r="K41" s="1056"/>
      <c r="L41" s="1056"/>
      <c r="M41" s="1056"/>
      <c r="N41" s="1056"/>
      <c r="O41" s="1056"/>
      <c r="P41" s="1056"/>
      <c r="Q41" s="53"/>
      <c r="R41" s="2"/>
      <c r="S41" s="2"/>
      <c r="T41" s="2"/>
    </row>
    <row r="42" spans="1:20">
      <c r="A42" s="22">
        <v>41687</v>
      </c>
      <c r="B42" s="20" t="s">
        <v>7</v>
      </c>
      <c r="C42" s="30">
        <f t="shared" si="6"/>
        <v>41687</v>
      </c>
      <c r="D42" s="30"/>
      <c r="E42" s="55"/>
      <c r="F42" s="55"/>
      <c r="G42" s="55"/>
      <c r="H42" s="55"/>
      <c r="I42" s="2"/>
      <c r="J42" s="1056"/>
      <c r="K42" s="1056"/>
      <c r="L42" s="1056"/>
      <c r="M42" s="1056"/>
      <c r="N42" s="1056"/>
      <c r="O42" s="1056"/>
      <c r="P42" s="1056"/>
      <c r="Q42" s="53"/>
      <c r="R42" s="2"/>
      <c r="S42" s="2"/>
      <c r="T42" s="2"/>
    </row>
    <row r="43" spans="1:20">
      <c r="A43" s="22">
        <v>41785</v>
      </c>
      <c r="B43" s="20" t="s">
        <v>8</v>
      </c>
      <c r="C43" s="30">
        <f t="shared" si="6"/>
        <v>41785</v>
      </c>
      <c r="D43" s="30"/>
      <c r="E43" s="55"/>
      <c r="F43" s="55"/>
      <c r="G43" s="55"/>
      <c r="H43" s="55"/>
      <c r="I43" s="2"/>
      <c r="J43" s="1056"/>
      <c r="K43" s="1056"/>
      <c r="L43" s="1056"/>
      <c r="M43" s="1056"/>
      <c r="N43" s="1056"/>
      <c r="O43" s="1056"/>
      <c r="P43" s="1056"/>
      <c r="Q43" s="53"/>
      <c r="R43" s="2"/>
      <c r="S43" s="2"/>
      <c r="T43" s="2"/>
    </row>
    <row r="44" spans="1:20">
      <c r="A44" s="22">
        <v>41824</v>
      </c>
      <c r="B44" s="20" t="s">
        <v>9</v>
      </c>
      <c r="C44" s="30">
        <f t="shared" si="6"/>
        <v>41824</v>
      </c>
      <c r="D44" s="30"/>
      <c r="E44" s="55"/>
      <c r="F44" s="55"/>
      <c r="G44" s="55"/>
      <c r="H44" s="55"/>
      <c r="I44" s="2"/>
      <c r="J44" s="1056"/>
      <c r="K44" s="1056"/>
      <c r="L44" s="1056"/>
      <c r="M44" s="1056"/>
      <c r="N44" s="1056"/>
      <c r="O44" s="1056"/>
      <c r="P44" s="1056"/>
      <c r="Q44" s="53"/>
      <c r="R44" s="2"/>
      <c r="S44" s="2"/>
      <c r="T44" s="2"/>
    </row>
    <row r="45" spans="1:20">
      <c r="A45" s="22">
        <v>41884</v>
      </c>
      <c r="B45" s="20" t="s">
        <v>10</v>
      </c>
      <c r="C45" s="30">
        <f t="shared" si="6"/>
        <v>41884</v>
      </c>
      <c r="D45" s="30"/>
      <c r="E45" s="55"/>
      <c r="F45" s="55"/>
      <c r="G45" s="55"/>
      <c r="H45" s="55"/>
      <c r="I45" s="2"/>
      <c r="J45" s="1056"/>
      <c r="K45" s="1056"/>
      <c r="L45" s="1056"/>
      <c r="M45" s="1056"/>
      <c r="N45" s="1056"/>
      <c r="O45" s="1056"/>
      <c r="P45" s="1056"/>
      <c r="Q45" s="53"/>
      <c r="R45" s="2"/>
      <c r="S45" s="2"/>
      <c r="T45" s="2"/>
    </row>
    <row r="46" spans="1:20">
      <c r="A46" s="22">
        <v>41954</v>
      </c>
      <c r="B46" s="20" t="s">
        <v>1</v>
      </c>
      <c r="C46" s="30">
        <f t="shared" si="6"/>
        <v>41954</v>
      </c>
      <c r="D46" s="30"/>
      <c r="E46" s="55"/>
      <c r="F46" s="55"/>
      <c r="G46" s="55"/>
      <c r="H46" s="55"/>
      <c r="I46" s="2"/>
      <c r="J46" s="1056"/>
      <c r="K46" s="1056"/>
      <c r="L46" s="1056"/>
      <c r="M46" s="1056"/>
      <c r="N46" s="1056"/>
      <c r="O46" s="1056"/>
      <c r="P46" s="1056"/>
      <c r="Q46" s="53"/>
      <c r="R46" s="2"/>
      <c r="S46" s="2"/>
      <c r="T46" s="2"/>
    </row>
    <row r="47" spans="1:20">
      <c r="A47" s="22">
        <v>41970</v>
      </c>
      <c r="B47" s="20" t="s">
        <v>2</v>
      </c>
      <c r="C47" s="30">
        <f t="shared" si="6"/>
        <v>41970</v>
      </c>
      <c r="D47" s="30"/>
      <c r="E47" s="55"/>
      <c r="F47" s="55"/>
      <c r="G47" s="55"/>
      <c r="H47" s="55"/>
      <c r="I47" s="2"/>
      <c r="J47" s="1056"/>
      <c r="K47" s="1056"/>
      <c r="L47" s="1056"/>
      <c r="M47" s="1056"/>
      <c r="N47" s="1056"/>
      <c r="O47" s="1056"/>
      <c r="P47" s="1056"/>
      <c r="Q47" s="53"/>
      <c r="R47" s="2"/>
      <c r="S47" s="2"/>
      <c r="T47" s="2"/>
    </row>
    <row r="48" spans="1:20">
      <c r="A48" s="22">
        <v>41998</v>
      </c>
      <c r="B48" s="20" t="s">
        <v>4</v>
      </c>
      <c r="C48" s="30">
        <f t="shared" si="6"/>
        <v>41998</v>
      </c>
      <c r="D48" s="30"/>
      <c r="E48" s="55"/>
      <c r="F48" s="55"/>
      <c r="G48" s="55"/>
      <c r="H48" s="55"/>
      <c r="I48" s="2"/>
      <c r="J48" s="1056"/>
      <c r="K48" s="1056"/>
      <c r="L48" s="1056"/>
      <c r="M48" s="1056"/>
      <c r="N48" s="1056"/>
      <c r="O48" s="1056"/>
      <c r="P48" s="1056"/>
      <c r="Q48" s="53"/>
      <c r="R48" s="2"/>
      <c r="S48" s="2"/>
      <c r="T48" s="2"/>
    </row>
    <row r="49" spans="1:20">
      <c r="A49" s="22">
        <v>42005</v>
      </c>
      <c r="B49" s="20" t="s">
        <v>5</v>
      </c>
      <c r="C49" s="30">
        <f t="shared" si="6"/>
        <v>42005</v>
      </c>
      <c r="D49" s="30"/>
      <c r="E49" s="55"/>
      <c r="F49" s="55"/>
      <c r="G49" s="55"/>
      <c r="H49" s="55"/>
      <c r="I49" s="2"/>
      <c r="J49" s="1056"/>
      <c r="K49" s="1056"/>
      <c r="L49" s="1056"/>
      <c r="M49" s="1056"/>
      <c r="N49" s="1056"/>
      <c r="O49" s="1056"/>
      <c r="P49" s="1056"/>
      <c r="Q49" s="53"/>
      <c r="R49" s="2"/>
      <c r="S49" s="2"/>
      <c r="T49" s="2"/>
    </row>
    <row r="50" spans="1:20">
      <c r="A50" s="22">
        <v>42023</v>
      </c>
      <c r="B50" s="20" t="s">
        <v>6</v>
      </c>
      <c r="C50" s="30">
        <f t="shared" si="6"/>
        <v>42023</v>
      </c>
      <c r="D50" s="30"/>
      <c r="E50" s="55"/>
      <c r="F50" s="55"/>
      <c r="G50" s="55"/>
      <c r="H50" s="55"/>
      <c r="I50" s="2"/>
      <c r="J50" s="1056"/>
      <c r="K50" s="1056"/>
      <c r="L50" s="1056"/>
      <c r="M50" s="1056"/>
      <c r="N50" s="1056"/>
      <c r="O50" s="1056"/>
      <c r="P50" s="1056"/>
      <c r="Q50" s="53"/>
      <c r="R50" s="2"/>
      <c r="S50" s="2"/>
      <c r="T50" s="2"/>
    </row>
    <row r="51" spans="1:20">
      <c r="A51" s="22">
        <v>42051</v>
      </c>
      <c r="B51" s="20" t="s">
        <v>7</v>
      </c>
      <c r="C51" s="30">
        <f t="shared" si="6"/>
        <v>42051</v>
      </c>
      <c r="D51" s="30"/>
      <c r="E51" s="55"/>
      <c r="F51" s="55"/>
      <c r="G51" s="55"/>
      <c r="H51" s="55"/>
      <c r="I51" s="2"/>
      <c r="J51" s="1056"/>
      <c r="K51" s="1056"/>
      <c r="L51" s="1056"/>
      <c r="M51" s="1056"/>
      <c r="N51" s="1056"/>
      <c r="O51" s="1056"/>
      <c r="P51" s="1056"/>
      <c r="Q51" s="53"/>
      <c r="R51" s="2"/>
      <c r="S51" s="2"/>
      <c r="T51" s="2"/>
    </row>
    <row r="52" spans="1:20">
      <c r="A52" s="22">
        <v>42149</v>
      </c>
      <c r="B52" s="20" t="s">
        <v>8</v>
      </c>
      <c r="C52" s="30">
        <f t="shared" si="6"/>
        <v>42149</v>
      </c>
      <c r="D52" s="30"/>
      <c r="E52" s="55"/>
      <c r="F52" s="55"/>
      <c r="G52" s="55"/>
      <c r="H52" s="55"/>
      <c r="I52" s="2"/>
      <c r="J52" s="1056"/>
      <c r="K52" s="1056"/>
      <c r="L52" s="1056"/>
      <c r="M52" s="1056"/>
      <c r="N52" s="1056"/>
      <c r="O52" s="1056"/>
      <c r="P52" s="1056"/>
      <c r="Q52" s="53"/>
      <c r="R52" s="2"/>
      <c r="S52" s="2"/>
      <c r="T52" s="2"/>
    </row>
    <row r="53" spans="1:20">
      <c r="A53" s="22">
        <v>42188</v>
      </c>
      <c r="B53" s="20" t="s">
        <v>9</v>
      </c>
      <c r="C53" s="30">
        <f t="shared" si="6"/>
        <v>42188</v>
      </c>
      <c r="D53" s="30"/>
      <c r="E53" s="55"/>
      <c r="F53" s="55"/>
      <c r="G53" s="55"/>
      <c r="H53" s="55"/>
      <c r="I53" s="2"/>
      <c r="J53" s="1056"/>
      <c r="K53" s="1056"/>
      <c r="L53" s="1056"/>
      <c r="M53" s="1056"/>
      <c r="N53" s="1056"/>
      <c r="O53" s="1056"/>
      <c r="P53" s="1056"/>
      <c r="Q53" s="53"/>
      <c r="R53" s="2"/>
      <c r="S53" s="2"/>
      <c r="T53" s="2"/>
    </row>
    <row r="54" spans="1:20">
      <c r="A54" s="22">
        <v>42254</v>
      </c>
      <c r="B54" s="20" t="s">
        <v>10</v>
      </c>
      <c r="C54" s="30">
        <f t="shared" si="6"/>
        <v>42254</v>
      </c>
      <c r="D54" s="30"/>
      <c r="E54" s="55"/>
      <c r="F54" s="55"/>
      <c r="G54" s="55"/>
      <c r="H54" s="55"/>
      <c r="I54" s="2"/>
      <c r="J54" s="1056"/>
      <c r="K54" s="1056"/>
      <c r="L54" s="1056"/>
      <c r="M54" s="1056"/>
      <c r="N54" s="1056"/>
      <c r="O54" s="1056"/>
      <c r="P54" s="1056"/>
      <c r="Q54" s="53"/>
      <c r="R54" s="2"/>
      <c r="S54" s="2"/>
      <c r="T54" s="2"/>
    </row>
    <row r="55" spans="1:20">
      <c r="A55" s="22">
        <v>42319</v>
      </c>
      <c r="B55" s="20" t="s">
        <v>1</v>
      </c>
      <c r="C55" s="30">
        <f t="shared" si="6"/>
        <v>42319</v>
      </c>
      <c r="D55" s="30"/>
      <c r="E55" s="55"/>
      <c r="F55" s="55"/>
      <c r="G55" s="55"/>
      <c r="H55" s="55"/>
      <c r="I55" s="2"/>
      <c r="J55" s="1056"/>
      <c r="K55" s="1056"/>
      <c r="L55" s="1056"/>
      <c r="M55" s="1056"/>
      <c r="N55" s="1056"/>
      <c r="O55" s="1056"/>
      <c r="P55" s="1056"/>
      <c r="Q55" s="53"/>
      <c r="R55" s="2"/>
      <c r="S55" s="2"/>
      <c r="T55" s="2"/>
    </row>
    <row r="56" spans="1:20">
      <c r="A56" s="22">
        <v>42334</v>
      </c>
      <c r="B56" s="20" t="s">
        <v>2</v>
      </c>
      <c r="C56" s="30">
        <f t="shared" si="6"/>
        <v>42334</v>
      </c>
      <c r="D56" s="30"/>
      <c r="E56" s="55"/>
      <c r="F56" s="55"/>
      <c r="G56" s="55"/>
      <c r="H56" s="55"/>
      <c r="I56" s="2"/>
      <c r="J56" s="1056"/>
      <c r="K56" s="1056"/>
      <c r="L56" s="1056"/>
      <c r="M56" s="1056"/>
      <c r="N56" s="1056"/>
      <c r="O56" s="1056"/>
      <c r="P56" s="1056"/>
      <c r="Q56" s="53"/>
      <c r="R56" s="2"/>
      <c r="S56" s="2"/>
      <c r="T56" s="2"/>
    </row>
    <row r="57" spans="1:20">
      <c r="A57" s="22">
        <v>42363</v>
      </c>
      <c r="B57" s="20" t="s">
        <v>4</v>
      </c>
      <c r="C57" s="30">
        <f t="shared" si="6"/>
        <v>42363</v>
      </c>
      <c r="D57" s="30"/>
      <c r="E57" s="55"/>
      <c r="F57" s="55"/>
      <c r="G57" s="55"/>
      <c r="H57" s="55"/>
      <c r="I57" s="2"/>
      <c r="J57" s="1056"/>
      <c r="K57" s="1056"/>
      <c r="L57" s="1056"/>
      <c r="M57" s="1056"/>
      <c r="N57" s="1056"/>
      <c r="O57" s="1056"/>
      <c r="P57" s="1056"/>
      <c r="Q57" s="53"/>
      <c r="R57" s="2"/>
      <c r="S57" s="2"/>
      <c r="T57" s="2"/>
    </row>
    <row r="58" spans="1:20">
      <c r="A58" s="22">
        <v>42370</v>
      </c>
      <c r="B58" s="20" t="s">
        <v>5</v>
      </c>
      <c r="C58" s="30">
        <f t="shared" ref="C58:C66" si="7">A58</f>
        <v>42370</v>
      </c>
      <c r="D58" s="30"/>
      <c r="E58" s="55"/>
      <c r="F58" s="55"/>
      <c r="G58" s="55"/>
      <c r="H58" s="55"/>
      <c r="I58" s="2"/>
      <c r="J58" s="1056"/>
      <c r="K58" s="1056"/>
      <c r="L58" s="1056"/>
      <c r="M58" s="1056"/>
      <c r="N58" s="1056"/>
      <c r="O58" s="1056"/>
      <c r="P58" s="1056"/>
      <c r="Q58" s="53"/>
      <c r="R58" s="2"/>
      <c r="S58" s="2"/>
      <c r="T58" s="2"/>
    </row>
    <row r="59" spans="1:20">
      <c r="A59" s="22">
        <v>42387</v>
      </c>
      <c r="B59" s="20" t="s">
        <v>6</v>
      </c>
      <c r="C59" s="30">
        <f t="shared" si="7"/>
        <v>42387</v>
      </c>
      <c r="D59" s="30"/>
      <c r="E59" s="55"/>
      <c r="F59" s="55"/>
      <c r="G59" s="55"/>
      <c r="H59" s="55"/>
      <c r="I59" s="2"/>
      <c r="J59" s="1056"/>
      <c r="K59" s="1056"/>
      <c r="L59" s="1056"/>
      <c r="M59" s="1056"/>
      <c r="N59" s="1056"/>
      <c r="O59" s="1056"/>
      <c r="P59" s="1056"/>
      <c r="Q59" s="53"/>
      <c r="R59" s="2"/>
      <c r="S59" s="2"/>
      <c r="T59" s="2"/>
    </row>
    <row r="60" spans="1:20">
      <c r="A60" s="22">
        <v>42415</v>
      </c>
      <c r="B60" s="20" t="s">
        <v>7</v>
      </c>
      <c r="C60" s="30">
        <f t="shared" si="7"/>
        <v>42415</v>
      </c>
      <c r="D60" s="30"/>
      <c r="E60" s="55"/>
      <c r="F60" s="55"/>
      <c r="G60" s="55"/>
      <c r="H60" s="55"/>
      <c r="I60" s="2"/>
      <c r="J60" s="1056"/>
      <c r="K60" s="1056"/>
      <c r="L60" s="1056"/>
      <c r="M60" s="1056"/>
      <c r="N60" s="1056"/>
      <c r="O60" s="1056"/>
      <c r="P60" s="1056"/>
      <c r="Q60" s="53"/>
      <c r="R60" s="2"/>
      <c r="S60" s="2"/>
      <c r="T60" s="2"/>
    </row>
    <row r="61" spans="1:20">
      <c r="A61" s="22">
        <v>42520</v>
      </c>
      <c r="B61" s="20" t="s">
        <v>8</v>
      </c>
      <c r="C61" s="30">
        <f t="shared" si="7"/>
        <v>42520</v>
      </c>
      <c r="D61" s="30"/>
      <c r="E61" s="55"/>
      <c r="F61" s="55"/>
      <c r="G61" s="55"/>
      <c r="H61" s="55"/>
      <c r="I61" s="2"/>
      <c r="J61" s="1056"/>
      <c r="K61" s="1056"/>
      <c r="L61" s="1056"/>
      <c r="M61" s="1056"/>
      <c r="N61" s="1056"/>
      <c r="O61" s="1056"/>
      <c r="P61" s="1056"/>
      <c r="Q61" s="53"/>
      <c r="R61" s="2"/>
      <c r="S61" s="2"/>
      <c r="T61" s="2"/>
    </row>
    <row r="62" spans="1:20">
      <c r="A62" s="22">
        <v>42555</v>
      </c>
      <c r="B62" s="20" t="s">
        <v>9</v>
      </c>
      <c r="C62" s="30">
        <f t="shared" si="7"/>
        <v>42555</v>
      </c>
      <c r="D62" s="30"/>
      <c r="E62" s="55"/>
      <c r="F62" s="55"/>
      <c r="G62" s="55"/>
      <c r="H62" s="55"/>
      <c r="I62" s="2"/>
      <c r="J62" s="1056"/>
      <c r="K62" s="1056"/>
      <c r="L62" s="1056"/>
      <c r="M62" s="1056"/>
      <c r="N62" s="1056"/>
      <c r="O62" s="1056"/>
      <c r="P62" s="1056"/>
      <c r="Q62" s="53"/>
      <c r="R62" s="2"/>
      <c r="S62" s="2"/>
      <c r="T62" s="2"/>
    </row>
    <row r="63" spans="1:20">
      <c r="A63" s="22">
        <v>42618</v>
      </c>
      <c r="B63" s="20" t="s">
        <v>10</v>
      </c>
      <c r="C63" s="30">
        <f t="shared" si="7"/>
        <v>42618</v>
      </c>
      <c r="D63" s="30"/>
      <c r="E63" s="55"/>
      <c r="F63" s="55"/>
      <c r="G63" s="55"/>
      <c r="H63" s="55"/>
      <c r="I63" s="2"/>
      <c r="J63" s="1056"/>
      <c r="K63" s="1056"/>
      <c r="L63" s="1056"/>
      <c r="M63" s="1056"/>
      <c r="N63" s="1056"/>
      <c r="O63" s="1056"/>
      <c r="P63" s="1056"/>
      <c r="Q63" s="53"/>
      <c r="R63" s="2"/>
      <c r="S63" s="2"/>
      <c r="T63" s="2"/>
    </row>
    <row r="64" spans="1:20">
      <c r="A64" s="22">
        <v>42685</v>
      </c>
      <c r="B64" s="20" t="s">
        <v>1</v>
      </c>
      <c r="C64" s="30">
        <f t="shared" si="7"/>
        <v>42685</v>
      </c>
      <c r="D64" s="30"/>
      <c r="E64" s="55"/>
      <c r="F64" s="55"/>
      <c r="G64" s="55"/>
      <c r="H64" s="55"/>
      <c r="I64" s="2"/>
      <c r="J64" s="1056"/>
      <c r="K64" s="1056"/>
      <c r="L64" s="1056"/>
      <c r="M64" s="1056"/>
      <c r="N64" s="1056"/>
      <c r="O64" s="1056"/>
      <c r="P64" s="1056"/>
      <c r="Q64" s="53"/>
      <c r="R64" s="2"/>
      <c r="S64" s="2"/>
      <c r="T64" s="2"/>
    </row>
    <row r="65" spans="1:20">
      <c r="A65" s="22">
        <v>42698</v>
      </c>
      <c r="B65" s="20" t="s">
        <v>2</v>
      </c>
      <c r="C65" s="30">
        <f t="shared" si="7"/>
        <v>42698</v>
      </c>
      <c r="D65" s="30"/>
      <c r="E65" s="55"/>
      <c r="F65" s="55"/>
      <c r="G65" s="55"/>
      <c r="H65" s="55"/>
      <c r="I65" s="2"/>
      <c r="J65" s="1056"/>
      <c r="K65" s="1056"/>
      <c r="L65" s="1056"/>
      <c r="M65" s="1056"/>
      <c r="N65" s="1056"/>
      <c r="O65" s="1056"/>
      <c r="P65" s="1056"/>
      <c r="Q65" s="53"/>
      <c r="R65" s="2"/>
      <c r="S65" s="2"/>
      <c r="T65" s="2"/>
    </row>
    <row r="66" spans="1:20">
      <c r="A66" s="22">
        <v>42730</v>
      </c>
      <c r="B66" s="20" t="s">
        <v>4</v>
      </c>
      <c r="C66" s="30">
        <f t="shared" si="7"/>
        <v>42730</v>
      </c>
      <c r="D66" s="30"/>
      <c r="E66" s="55"/>
      <c r="F66" s="55"/>
      <c r="G66" s="55"/>
      <c r="H66" s="55"/>
      <c r="I66" s="2"/>
      <c r="J66" s="1056"/>
      <c r="K66" s="1056"/>
      <c r="L66" s="1056"/>
      <c r="M66" s="1056"/>
      <c r="N66" s="1056"/>
      <c r="O66" s="1056"/>
      <c r="P66" s="1056"/>
      <c r="Q66" s="53"/>
      <c r="R66" s="2"/>
      <c r="S66" s="2"/>
      <c r="T66" s="2"/>
    </row>
    <row r="67" spans="1:20">
      <c r="A67" s="22">
        <v>42737</v>
      </c>
      <c r="B67" s="20" t="s">
        <v>5</v>
      </c>
      <c r="C67" s="30">
        <f t="shared" ref="C67:C75" si="8">A67</f>
        <v>42737</v>
      </c>
      <c r="D67" s="30"/>
      <c r="E67" s="55"/>
      <c r="F67" s="55"/>
      <c r="G67" s="55"/>
      <c r="H67" s="55"/>
      <c r="I67" s="2"/>
      <c r="J67" s="1056"/>
      <c r="K67" s="1056"/>
      <c r="L67" s="1056"/>
      <c r="M67" s="1056"/>
      <c r="N67" s="1056"/>
      <c r="O67" s="1056"/>
      <c r="P67" s="1056"/>
      <c r="Q67" s="53"/>
      <c r="R67" s="2"/>
      <c r="S67" s="2"/>
      <c r="T67" s="2"/>
    </row>
    <row r="68" spans="1:20">
      <c r="A68" s="22">
        <v>42751</v>
      </c>
      <c r="B68" s="20" t="s">
        <v>6</v>
      </c>
      <c r="C68" s="30">
        <f t="shared" si="8"/>
        <v>42751</v>
      </c>
      <c r="D68" s="30"/>
      <c r="E68" s="55"/>
      <c r="F68" s="55"/>
      <c r="G68" s="55"/>
      <c r="H68" s="55"/>
      <c r="I68" s="2"/>
      <c r="J68" s="1056"/>
      <c r="K68" s="1056"/>
      <c r="L68" s="1056"/>
      <c r="M68" s="1056"/>
      <c r="N68" s="1056"/>
      <c r="O68" s="1056"/>
      <c r="P68" s="1056"/>
      <c r="Q68" s="53"/>
      <c r="R68" s="2"/>
      <c r="S68" s="2"/>
      <c r="T68" s="2"/>
    </row>
    <row r="69" spans="1:20">
      <c r="A69" s="22">
        <v>42786</v>
      </c>
      <c r="B69" s="20" t="s">
        <v>7</v>
      </c>
      <c r="C69" s="30">
        <f t="shared" si="8"/>
        <v>42786</v>
      </c>
      <c r="D69" s="30"/>
      <c r="E69" s="55"/>
      <c r="F69" s="55"/>
      <c r="G69" s="55"/>
      <c r="H69" s="55"/>
      <c r="I69" s="2"/>
      <c r="J69" s="1056"/>
      <c r="K69" s="1056"/>
      <c r="L69" s="1056"/>
      <c r="M69" s="1056"/>
      <c r="N69" s="1056"/>
      <c r="O69" s="1056"/>
      <c r="P69" s="1056"/>
      <c r="Q69" s="53"/>
      <c r="R69" s="2"/>
      <c r="S69" s="2"/>
      <c r="T69" s="2"/>
    </row>
    <row r="70" spans="1:20">
      <c r="A70" s="22">
        <v>42884</v>
      </c>
      <c r="B70" s="20" t="s">
        <v>8</v>
      </c>
      <c r="C70" s="30">
        <f t="shared" si="8"/>
        <v>42884</v>
      </c>
      <c r="D70" s="30"/>
      <c r="E70" s="55"/>
      <c r="F70" s="55"/>
      <c r="G70" s="55"/>
      <c r="H70" s="55"/>
      <c r="I70" s="2"/>
      <c r="J70" s="1056"/>
      <c r="K70" s="1056"/>
      <c r="L70" s="1056"/>
      <c r="M70" s="1056"/>
      <c r="N70" s="1056"/>
      <c r="O70" s="1056"/>
      <c r="P70" s="1056"/>
      <c r="Q70" s="53"/>
      <c r="R70" s="2"/>
      <c r="S70" s="2"/>
      <c r="T70" s="2"/>
    </row>
    <row r="71" spans="1:20">
      <c r="A71" s="22">
        <v>42920</v>
      </c>
      <c r="B71" s="20" t="s">
        <v>9</v>
      </c>
      <c r="C71" s="30">
        <f t="shared" si="8"/>
        <v>42920</v>
      </c>
      <c r="D71" s="30"/>
      <c r="E71" s="55"/>
      <c r="F71" s="55"/>
      <c r="G71" s="55"/>
      <c r="H71" s="55"/>
      <c r="I71" s="2"/>
      <c r="J71" s="1056"/>
      <c r="K71" s="1056"/>
      <c r="L71" s="1056"/>
      <c r="M71" s="1056"/>
      <c r="N71" s="1056"/>
      <c r="O71" s="1056"/>
      <c r="P71" s="1056"/>
      <c r="Q71" s="53"/>
      <c r="R71" s="2"/>
      <c r="S71" s="2"/>
      <c r="T71" s="2"/>
    </row>
    <row r="72" spans="1:20">
      <c r="A72" s="22">
        <v>42982</v>
      </c>
      <c r="B72" s="20" t="s">
        <v>10</v>
      </c>
      <c r="C72" s="30">
        <f t="shared" si="8"/>
        <v>42982</v>
      </c>
      <c r="D72" s="30"/>
      <c r="E72" s="55"/>
      <c r="F72" s="55"/>
      <c r="G72" s="55"/>
      <c r="H72" s="55"/>
      <c r="I72" s="2"/>
      <c r="J72" s="1056"/>
      <c r="K72" s="1056"/>
      <c r="L72" s="1056"/>
      <c r="M72" s="1056"/>
      <c r="N72" s="1056"/>
      <c r="O72" s="1056"/>
      <c r="P72" s="1056"/>
      <c r="Q72" s="53"/>
      <c r="R72" s="2"/>
      <c r="S72" s="2"/>
      <c r="T72" s="2"/>
    </row>
    <row r="73" spans="1:20">
      <c r="A73" s="22">
        <v>43049</v>
      </c>
      <c r="B73" s="20" t="s">
        <v>1</v>
      </c>
      <c r="C73" s="30">
        <f t="shared" si="8"/>
        <v>43049</v>
      </c>
      <c r="D73" s="30"/>
      <c r="E73" s="55"/>
      <c r="F73" s="55"/>
      <c r="G73" s="55"/>
      <c r="H73" s="55"/>
      <c r="I73" s="2"/>
      <c r="J73" s="1056"/>
      <c r="K73" s="1056"/>
      <c r="L73" s="1056"/>
      <c r="M73" s="1056"/>
      <c r="N73" s="1056"/>
      <c r="O73" s="1056"/>
      <c r="P73" s="1056"/>
      <c r="Q73" s="53"/>
      <c r="R73" s="2"/>
      <c r="S73" s="2"/>
      <c r="T73" s="2"/>
    </row>
    <row r="74" spans="1:20">
      <c r="A74" s="22">
        <v>43062</v>
      </c>
      <c r="B74" s="20" t="s">
        <v>2</v>
      </c>
      <c r="C74" s="30">
        <f t="shared" si="8"/>
        <v>43062</v>
      </c>
      <c r="D74" s="30"/>
      <c r="E74" s="55"/>
      <c r="F74" s="55"/>
      <c r="G74" s="55"/>
      <c r="H74" s="55"/>
      <c r="I74" s="2"/>
      <c r="J74" s="1056"/>
      <c r="K74" s="1056"/>
      <c r="L74" s="1056"/>
      <c r="M74" s="1056"/>
      <c r="N74" s="1056"/>
      <c r="O74" s="1056"/>
      <c r="P74" s="1056"/>
      <c r="Q74" s="53"/>
      <c r="R74" s="2"/>
      <c r="S74" s="2"/>
      <c r="T74" s="2"/>
    </row>
    <row r="75" spans="1:20">
      <c r="A75" s="22">
        <v>43094</v>
      </c>
      <c r="B75" s="20" t="s">
        <v>4</v>
      </c>
      <c r="C75" s="30">
        <f t="shared" si="8"/>
        <v>43094</v>
      </c>
      <c r="D75" s="30"/>
      <c r="E75" s="55"/>
      <c r="F75" s="55"/>
      <c r="G75" s="55"/>
      <c r="H75" s="55"/>
      <c r="I75" s="2"/>
      <c r="J75" s="1056"/>
      <c r="K75" s="1056"/>
      <c r="L75" s="1056"/>
      <c r="M75" s="1056"/>
      <c r="N75" s="1056"/>
      <c r="O75" s="1056"/>
      <c r="P75" s="1056"/>
      <c r="Q75" s="53"/>
      <c r="R75" s="2"/>
      <c r="S75" s="2"/>
      <c r="T75" s="2"/>
    </row>
    <row r="76" spans="1:20">
      <c r="A76" s="22">
        <v>43101</v>
      </c>
      <c r="B76" s="20" t="s">
        <v>5</v>
      </c>
      <c r="C76" s="30">
        <f t="shared" si="6"/>
        <v>43101</v>
      </c>
      <c r="D76" s="30"/>
      <c r="E76" s="55"/>
      <c r="F76" s="55"/>
      <c r="G76" s="55"/>
      <c r="H76" s="55"/>
      <c r="I76" s="2"/>
      <c r="J76" s="1056"/>
      <c r="K76" s="1056"/>
      <c r="L76" s="1056"/>
      <c r="M76" s="1056"/>
      <c r="N76" s="1056"/>
      <c r="O76" s="1056"/>
      <c r="P76" s="1056"/>
      <c r="Q76" s="53"/>
      <c r="R76" s="2"/>
      <c r="S76" s="2"/>
      <c r="T76" s="2"/>
    </row>
    <row r="77" spans="1:20">
      <c r="A77" s="18" t="s">
        <v>17</v>
      </c>
      <c r="B77" s="19"/>
      <c r="C77" s="7"/>
      <c r="D77" s="7"/>
      <c r="E77" s="56"/>
      <c r="F77" s="56"/>
      <c r="G77" s="56"/>
      <c r="H77" s="56"/>
      <c r="I77" s="2"/>
      <c r="J77" s="1056"/>
      <c r="K77" s="1056"/>
      <c r="L77" s="1056"/>
      <c r="M77" s="1056"/>
      <c r="N77" s="1056"/>
      <c r="O77" s="1056"/>
      <c r="P77" s="1056"/>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9">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9"/>
        <v>41320</v>
      </c>
      <c r="D82" s="29"/>
      <c r="E82" s="56"/>
      <c r="F82" s="56"/>
      <c r="G82" s="56"/>
      <c r="H82" s="56"/>
      <c r="I82" s="56"/>
      <c r="J82" s="2"/>
      <c r="K82" s="48"/>
      <c r="L82" s="48"/>
      <c r="M82" s="13"/>
      <c r="N82" s="2"/>
      <c r="O82" s="2"/>
      <c r="P82" s="53"/>
      <c r="Q82" s="53"/>
      <c r="R82" s="2"/>
      <c r="S82" s="2"/>
      <c r="T82" s="2"/>
    </row>
    <row r="83" spans="1:20">
      <c r="A83" s="26">
        <v>41365</v>
      </c>
      <c r="B83" s="26">
        <v>41348</v>
      </c>
      <c r="C83" s="29">
        <f t="shared" si="9"/>
        <v>41348</v>
      </c>
      <c r="D83" s="29"/>
      <c r="E83" s="56"/>
      <c r="F83" s="56"/>
      <c r="G83" s="56"/>
      <c r="H83" s="56"/>
      <c r="I83" s="56"/>
      <c r="J83" s="2"/>
      <c r="K83" s="48"/>
      <c r="L83" s="48"/>
      <c r="M83" s="13"/>
      <c r="N83" s="2"/>
      <c r="O83" s="2"/>
      <c r="P83" s="53"/>
      <c r="Q83" s="53"/>
      <c r="R83" s="2"/>
      <c r="S83" s="2"/>
      <c r="T83" s="2"/>
    </row>
    <row r="84" spans="1:20">
      <c r="A84" s="26">
        <v>41395</v>
      </c>
      <c r="B84" s="26">
        <v>41379</v>
      </c>
      <c r="C84" s="29">
        <f t="shared" si="9"/>
        <v>41379</v>
      </c>
      <c r="D84" s="29"/>
      <c r="E84" s="56"/>
      <c r="F84" s="56"/>
      <c r="G84" s="56"/>
      <c r="H84" s="56"/>
      <c r="I84" s="56"/>
      <c r="J84" s="2"/>
      <c r="K84" s="48"/>
      <c r="L84" s="48"/>
      <c r="M84" s="13"/>
      <c r="N84" s="2"/>
      <c r="O84" s="2"/>
      <c r="P84" s="53"/>
      <c r="Q84" s="53"/>
      <c r="R84" s="2"/>
      <c r="S84" s="2"/>
      <c r="T84" s="2"/>
    </row>
    <row r="85" spans="1:20">
      <c r="A85" s="26">
        <v>41426</v>
      </c>
      <c r="B85" s="26">
        <v>41409</v>
      </c>
      <c r="C85" s="29">
        <f t="shared" si="9"/>
        <v>41409</v>
      </c>
      <c r="D85" s="29"/>
      <c r="E85" s="56"/>
      <c r="F85" s="56"/>
      <c r="G85" s="56"/>
      <c r="H85" s="56"/>
      <c r="I85" s="56"/>
      <c r="J85" s="2"/>
      <c r="K85" s="48"/>
      <c r="L85" s="48"/>
      <c r="M85" s="13"/>
      <c r="N85" s="2"/>
      <c r="O85" s="2"/>
      <c r="P85" s="53"/>
      <c r="Q85" s="53"/>
      <c r="R85" s="2"/>
      <c r="S85" s="2"/>
      <c r="T85" s="2"/>
    </row>
    <row r="86" spans="1:20">
      <c r="A86" s="26">
        <v>41456</v>
      </c>
      <c r="B86" s="26">
        <v>41439</v>
      </c>
      <c r="C86" s="29">
        <f t="shared" si="9"/>
        <v>41439</v>
      </c>
      <c r="D86" s="29"/>
      <c r="E86" s="56"/>
      <c r="F86" s="56"/>
      <c r="G86" s="56"/>
      <c r="H86" s="56"/>
      <c r="I86" s="56"/>
      <c r="J86" s="2"/>
      <c r="K86" s="48"/>
      <c r="L86" s="48"/>
      <c r="M86" s="13"/>
      <c r="N86" s="2"/>
      <c r="O86" s="2"/>
      <c r="P86" s="53"/>
      <c r="Q86" s="53"/>
      <c r="R86" s="2"/>
      <c r="S86" s="2"/>
      <c r="T86" s="2"/>
    </row>
    <row r="87" spans="1:20">
      <c r="A87" s="26">
        <v>41487</v>
      </c>
      <c r="B87" s="26">
        <v>41470</v>
      </c>
      <c r="C87" s="29">
        <f t="shared" si="9"/>
        <v>41470</v>
      </c>
      <c r="D87" s="29"/>
      <c r="E87" s="56"/>
      <c r="F87" s="56"/>
      <c r="G87" s="56"/>
      <c r="H87" s="56"/>
      <c r="I87" s="56"/>
      <c r="J87" s="2"/>
      <c r="K87" s="48"/>
      <c r="L87" s="48"/>
      <c r="M87" s="13"/>
      <c r="N87" s="2"/>
      <c r="O87" s="2"/>
      <c r="P87" s="53"/>
      <c r="Q87" s="53"/>
      <c r="R87" s="2"/>
      <c r="S87" s="2"/>
      <c r="T87" s="2"/>
    </row>
    <row r="88" spans="1:20">
      <c r="A88" s="26">
        <v>41518</v>
      </c>
      <c r="B88" s="26">
        <v>41501</v>
      </c>
      <c r="C88" s="29">
        <f t="shared" si="9"/>
        <v>41501</v>
      </c>
      <c r="D88" s="29"/>
      <c r="E88" s="56"/>
      <c r="F88" s="56"/>
      <c r="G88" s="56"/>
      <c r="H88" s="56"/>
      <c r="I88" s="56"/>
      <c r="J88" s="2"/>
      <c r="K88" s="48"/>
      <c r="L88" s="48"/>
      <c r="M88" s="13"/>
      <c r="N88" s="2"/>
      <c r="O88" s="2"/>
      <c r="P88" s="53"/>
      <c r="Q88" s="53"/>
      <c r="R88" s="2"/>
      <c r="S88" s="2"/>
      <c r="T88" s="2"/>
    </row>
    <row r="89" spans="1:20">
      <c r="A89" s="26">
        <v>41548</v>
      </c>
      <c r="B89" s="26">
        <v>41530</v>
      </c>
      <c r="C89" s="29">
        <f t="shared" si="9"/>
        <v>41530</v>
      </c>
      <c r="D89" s="29"/>
      <c r="E89" s="56"/>
      <c r="F89" s="56"/>
      <c r="G89" s="56"/>
      <c r="H89" s="56"/>
      <c r="I89" s="56"/>
      <c r="J89" s="2"/>
      <c r="K89" s="48"/>
      <c r="L89" s="48"/>
      <c r="M89" s="13"/>
      <c r="N89" s="2"/>
      <c r="O89" s="2"/>
      <c r="P89" s="53"/>
      <c r="Q89" s="53"/>
      <c r="R89" s="2"/>
      <c r="S89" s="2"/>
      <c r="T89" s="2"/>
    </row>
    <row r="90" spans="1:20">
      <c r="A90" s="26">
        <v>41579</v>
      </c>
      <c r="B90" s="26">
        <v>41562</v>
      </c>
      <c r="C90" s="29">
        <f t="shared" si="9"/>
        <v>41562</v>
      </c>
      <c r="D90" s="29"/>
      <c r="E90" s="56"/>
      <c r="F90" s="56"/>
      <c r="G90" s="56"/>
      <c r="H90" s="56"/>
      <c r="I90" s="56"/>
      <c r="J90" s="56"/>
      <c r="K90" s="48"/>
      <c r="L90" s="48"/>
      <c r="M90" s="13"/>
      <c r="N90" s="2"/>
      <c r="O90" s="2"/>
      <c r="P90" s="53"/>
      <c r="Q90" s="53"/>
      <c r="R90" s="2"/>
      <c r="S90" s="2"/>
      <c r="T90" s="2"/>
    </row>
    <row r="91" spans="1:20">
      <c r="A91" s="26">
        <v>41609</v>
      </c>
      <c r="B91" s="26">
        <v>41593</v>
      </c>
      <c r="C91" s="29">
        <f t="shared" si="9"/>
        <v>41593</v>
      </c>
      <c r="D91" s="29"/>
      <c r="E91" s="56"/>
      <c r="F91" s="56"/>
      <c r="G91" s="56"/>
      <c r="H91" s="56"/>
      <c r="I91" s="56"/>
      <c r="J91" s="2"/>
      <c r="K91" s="48"/>
      <c r="L91" s="48"/>
      <c r="M91" s="13"/>
      <c r="N91" s="2"/>
      <c r="O91" s="2"/>
      <c r="P91" s="53"/>
      <c r="Q91" s="53"/>
      <c r="R91" s="2"/>
      <c r="S91" s="2"/>
      <c r="T91" s="2"/>
    </row>
    <row r="92" spans="1:20">
      <c r="A92" s="26">
        <v>41640</v>
      </c>
      <c r="B92" s="26">
        <v>41621</v>
      </c>
      <c r="C92" s="29">
        <f t="shared" si="9"/>
        <v>41621</v>
      </c>
      <c r="D92" s="29"/>
      <c r="E92" s="56"/>
      <c r="F92" s="56"/>
      <c r="G92" s="56"/>
      <c r="H92" s="56"/>
      <c r="I92" s="56"/>
      <c r="J92" s="2"/>
      <c r="K92" s="48"/>
      <c r="L92" s="48"/>
      <c r="M92" s="13"/>
      <c r="N92" s="2"/>
      <c r="O92" s="2"/>
      <c r="P92" s="53"/>
      <c r="Q92" s="53"/>
      <c r="R92" s="2"/>
      <c r="S92" s="2"/>
      <c r="T92" s="2"/>
    </row>
    <row r="93" spans="1:20">
      <c r="A93" s="26">
        <v>41671</v>
      </c>
      <c r="B93" s="26">
        <v>41654</v>
      </c>
      <c r="C93" s="29">
        <f t="shared" si="9"/>
        <v>41654</v>
      </c>
      <c r="D93" s="29"/>
      <c r="E93" s="56"/>
      <c r="F93" s="56"/>
      <c r="G93" s="56"/>
      <c r="H93" s="56"/>
      <c r="I93" s="56"/>
      <c r="J93" s="2"/>
      <c r="K93" s="48"/>
      <c r="L93" s="48"/>
      <c r="M93" s="13"/>
      <c r="N93" s="2"/>
      <c r="O93" s="2"/>
      <c r="P93" s="53"/>
      <c r="Q93" s="53"/>
      <c r="R93" s="2"/>
      <c r="S93" s="2"/>
      <c r="T93" s="2"/>
    </row>
    <row r="94" spans="1:20">
      <c r="A94" s="26">
        <v>41699</v>
      </c>
      <c r="B94" s="27">
        <v>41684</v>
      </c>
      <c r="C94" s="29">
        <f t="shared" si="9"/>
        <v>41684</v>
      </c>
      <c r="D94" s="29"/>
      <c r="E94" s="56"/>
      <c r="F94" s="56"/>
      <c r="G94" s="56"/>
      <c r="H94" s="56"/>
      <c r="I94" s="56"/>
      <c r="J94" s="2"/>
      <c r="K94" s="48"/>
      <c r="L94" s="48"/>
      <c r="M94" s="13"/>
      <c r="N94" s="2"/>
      <c r="O94" s="2"/>
      <c r="P94" s="53"/>
      <c r="Q94" s="53"/>
      <c r="R94" s="2"/>
      <c r="S94" s="2"/>
      <c r="T94" s="2"/>
    </row>
    <row r="95" spans="1:20">
      <c r="A95" s="26">
        <v>41730</v>
      </c>
      <c r="B95" s="26">
        <v>41712</v>
      </c>
      <c r="C95" s="29">
        <f t="shared" si="9"/>
        <v>41712</v>
      </c>
      <c r="D95" s="29"/>
      <c r="E95" s="56"/>
      <c r="F95" s="56"/>
      <c r="G95" s="56"/>
      <c r="H95" s="56"/>
      <c r="I95" s="56"/>
      <c r="J95" s="2"/>
      <c r="K95" s="48"/>
      <c r="L95" s="48"/>
      <c r="M95" s="13"/>
      <c r="N95" s="2"/>
      <c r="O95" s="2"/>
      <c r="P95" s="53"/>
      <c r="Q95" s="53"/>
      <c r="R95" s="2"/>
      <c r="S95" s="2"/>
      <c r="T95" s="2"/>
    </row>
    <row r="96" spans="1:20">
      <c r="A96" s="26">
        <v>41760</v>
      </c>
      <c r="B96" s="26">
        <v>41744</v>
      </c>
      <c r="C96" s="29">
        <f t="shared" si="9"/>
        <v>41744</v>
      </c>
      <c r="D96" s="29"/>
      <c r="E96" s="56"/>
      <c r="F96" s="56"/>
      <c r="G96" s="56"/>
      <c r="H96" s="56"/>
      <c r="I96" s="56"/>
      <c r="J96" s="2"/>
      <c r="K96" s="48"/>
      <c r="L96" s="48"/>
      <c r="M96" s="13"/>
      <c r="N96" s="2"/>
      <c r="O96" s="2"/>
      <c r="P96" s="53"/>
      <c r="Q96" s="53"/>
      <c r="R96" s="2"/>
      <c r="S96" s="2"/>
      <c r="T96" s="2"/>
    </row>
    <row r="97" spans="1:20">
      <c r="A97" s="26">
        <v>41791</v>
      </c>
      <c r="B97" s="26">
        <v>41774</v>
      </c>
      <c r="C97" s="29">
        <f t="shared" si="9"/>
        <v>41774</v>
      </c>
      <c r="D97" s="29"/>
      <c r="E97" s="56"/>
      <c r="F97" s="56"/>
      <c r="G97" s="56"/>
      <c r="H97" s="56"/>
      <c r="I97" s="56"/>
      <c r="J97" s="2"/>
      <c r="K97" s="48"/>
      <c r="L97" s="48"/>
      <c r="M97" s="13"/>
      <c r="N97" s="2"/>
      <c r="O97" s="2"/>
      <c r="P97" s="53"/>
      <c r="Q97" s="53"/>
      <c r="R97" s="2"/>
      <c r="S97" s="2"/>
      <c r="T97" s="2"/>
    </row>
    <row r="98" spans="1:20">
      <c r="A98" s="26">
        <v>41821</v>
      </c>
      <c r="B98" s="26">
        <v>41803</v>
      </c>
      <c r="C98" s="29">
        <f t="shared" si="9"/>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0">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0"/>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0"/>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0"/>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0"/>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0"/>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0"/>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0"/>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0"/>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0"/>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0"/>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0"/>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0"/>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0"/>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0"/>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0"/>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0"/>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0"/>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0"/>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0"/>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0"/>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0"/>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0"/>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0"/>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0"/>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0"/>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0"/>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0"/>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0"/>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0"/>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0"/>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0"/>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1">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1"/>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1"/>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1"/>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1"/>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1"/>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1"/>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1"/>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1"/>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1"/>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1"/>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1"/>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1"/>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1"/>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1"/>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1"/>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1"/>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1"/>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1"/>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1"/>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1"/>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1"/>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1"/>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1"/>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1"/>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1"/>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1"/>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1"/>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1"/>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1"/>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1"/>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1"/>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2">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2"/>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2"/>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2"/>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2"/>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2"/>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2"/>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2"/>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2"/>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2"/>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2"/>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2"/>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2"/>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2"/>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2"/>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2"/>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2"/>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2"/>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2"/>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2"/>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2"/>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2"/>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2"/>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2"/>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2"/>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594</v>
      </c>
      <c r="C193" s="21" t="s">
        <v>767</v>
      </c>
      <c r="D193" s="15"/>
      <c r="E193" s="56"/>
      <c r="F193" s="56"/>
      <c r="G193" s="56"/>
      <c r="H193" s="56"/>
      <c r="I193" s="56"/>
      <c r="J193" s="2"/>
      <c r="K193" s="2"/>
      <c r="L193" s="15"/>
      <c r="M193" s="15"/>
      <c r="N193" s="2"/>
      <c r="O193" s="2"/>
      <c r="P193" s="53"/>
      <c r="Q193" s="53"/>
      <c r="R193" s="2"/>
      <c r="S193" s="2"/>
      <c r="T193" s="2"/>
    </row>
    <row r="194" spans="1:20">
      <c r="A194" s="722" t="s">
        <v>0</v>
      </c>
      <c r="B194" s="751" t="s">
        <v>596</v>
      </c>
      <c r="C194" s="7"/>
      <c r="D194" s="7"/>
      <c r="E194" s="56"/>
      <c r="F194" s="56"/>
      <c r="G194" s="56"/>
      <c r="H194" s="56"/>
      <c r="I194" s="56"/>
      <c r="J194" s="2"/>
      <c r="K194" s="2"/>
      <c r="L194" s="7"/>
      <c r="M194" s="7"/>
      <c r="N194" s="2"/>
      <c r="O194" s="2"/>
      <c r="P194" s="53"/>
      <c r="Q194" s="53"/>
      <c r="R194" s="2"/>
      <c r="S194" s="2"/>
      <c r="T194" s="2"/>
    </row>
    <row r="195" spans="1:20">
      <c r="A195" s="14"/>
      <c r="B195" s="751" t="s">
        <v>597</v>
      </c>
      <c r="C195" s="15"/>
      <c r="D195" s="15"/>
      <c r="E195" s="56"/>
      <c r="F195" s="56"/>
      <c r="G195" s="56"/>
      <c r="H195" s="56"/>
      <c r="I195" s="56"/>
      <c r="J195" s="2"/>
      <c r="K195" s="2"/>
      <c r="L195" s="15"/>
      <c r="M195" s="15"/>
      <c r="N195" s="2"/>
      <c r="O195" s="2"/>
      <c r="P195" s="53"/>
      <c r="Q195" s="53"/>
      <c r="R195" s="2"/>
      <c r="S195" s="2"/>
      <c r="T195" s="2"/>
    </row>
    <row r="196" spans="1:20">
      <c r="A196" s="3"/>
      <c r="B196" s="751" t="s">
        <v>598</v>
      </c>
      <c r="C196" s="2"/>
      <c r="D196" s="2"/>
      <c r="E196" s="56"/>
      <c r="F196" s="56"/>
      <c r="G196" s="56"/>
      <c r="H196" s="56"/>
      <c r="I196" s="56"/>
      <c r="J196" s="2"/>
      <c r="K196" s="2"/>
      <c r="L196" s="2"/>
      <c r="M196" s="2"/>
      <c r="N196" s="2"/>
      <c r="O196" s="2"/>
      <c r="P196" s="53"/>
      <c r="Q196" s="53"/>
      <c r="R196" s="2"/>
      <c r="S196" s="2"/>
      <c r="T196" s="2"/>
    </row>
    <row r="197" spans="1:20">
      <c r="A197" s="3"/>
      <c r="B197" s="751" t="s">
        <v>599</v>
      </c>
      <c r="C197" s="2"/>
      <c r="D197" s="2"/>
      <c r="E197" s="56"/>
      <c r="F197" s="56"/>
      <c r="G197" s="56"/>
      <c r="H197" s="56"/>
      <c r="I197" s="56"/>
      <c r="J197" s="2"/>
      <c r="K197" s="2"/>
      <c r="L197" s="2"/>
      <c r="M197" s="2"/>
      <c r="N197" s="2"/>
      <c r="O197" s="2"/>
      <c r="P197" s="53"/>
      <c r="Q197" s="53"/>
      <c r="R197" s="2"/>
      <c r="S197" s="2"/>
      <c r="T197" s="2"/>
    </row>
    <row r="198" spans="1:20">
      <c r="A198" s="3"/>
      <c r="B198" s="751" t="s">
        <v>595</v>
      </c>
      <c r="C198" s="2"/>
      <c r="D198" s="2"/>
      <c r="E198" s="56"/>
      <c r="F198" s="56"/>
      <c r="G198" s="56"/>
      <c r="H198" s="56"/>
      <c r="I198" s="56"/>
      <c r="J198" s="2"/>
      <c r="K198" s="2"/>
      <c r="L198" s="2"/>
      <c r="M198" s="2"/>
      <c r="N198" s="2"/>
      <c r="O198" s="2"/>
      <c r="P198" s="53"/>
      <c r="Q198" s="53"/>
      <c r="R198" s="2"/>
      <c r="S198" s="2"/>
      <c r="T198" s="2"/>
    </row>
    <row r="199" spans="1:20">
      <c r="A199" s="3"/>
      <c r="B199" s="751" t="s">
        <v>600</v>
      </c>
      <c r="C199" s="2"/>
      <c r="D199" s="2"/>
      <c r="E199" s="56"/>
      <c r="F199" s="56"/>
      <c r="G199" s="56"/>
      <c r="H199" s="56"/>
      <c r="I199" s="56"/>
      <c r="J199" s="2"/>
      <c r="K199" s="2"/>
      <c r="L199" s="2"/>
      <c r="M199" s="2"/>
      <c r="N199" s="2"/>
      <c r="O199" s="2"/>
      <c r="P199" s="53"/>
      <c r="Q199" s="53"/>
      <c r="R199" s="2"/>
      <c r="S199" s="2"/>
      <c r="T199" s="2"/>
    </row>
    <row r="200" spans="1:20">
      <c r="A200" s="3"/>
      <c r="B200" s="750" t="s">
        <v>601</v>
      </c>
      <c r="C200" s="2"/>
      <c r="D200" s="2"/>
      <c r="E200" s="56"/>
      <c r="F200" s="56"/>
      <c r="G200" s="56"/>
      <c r="H200" s="56"/>
      <c r="I200" s="56"/>
      <c r="J200" s="2"/>
      <c r="K200" s="2"/>
      <c r="L200" s="2"/>
      <c r="M200" s="2"/>
      <c r="N200" s="2"/>
      <c r="O200" s="2"/>
      <c r="P200" s="53"/>
      <c r="Q200" s="53"/>
      <c r="R200" s="2"/>
      <c r="S200" s="2"/>
      <c r="T200" s="2"/>
    </row>
    <row r="201" spans="1:20">
      <c r="A201" s="3"/>
      <c r="B201" s="750" t="s">
        <v>603</v>
      </c>
      <c r="C201" s="2"/>
      <c r="D201" s="2"/>
      <c r="E201" s="56"/>
      <c r="F201" s="56"/>
      <c r="G201" s="56"/>
      <c r="H201" s="56"/>
      <c r="I201" s="56"/>
      <c r="J201" s="2"/>
      <c r="K201" s="2"/>
      <c r="L201" s="2"/>
      <c r="M201" s="2"/>
      <c r="N201" s="2"/>
      <c r="O201" s="2"/>
      <c r="P201" s="53"/>
      <c r="Q201" s="53"/>
      <c r="R201" s="2"/>
      <c r="S201" s="2"/>
      <c r="T201" s="2"/>
    </row>
    <row r="202" spans="1:20">
      <c r="A202" s="3"/>
      <c r="B202" s="750" t="s">
        <v>602</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2" t="s">
        <v>361</v>
      </c>
      <c r="C2" s="1062"/>
      <c r="D2" s="1062"/>
      <c r="E2" s="1062"/>
      <c r="F2" s="636"/>
      <c r="G2" s="605"/>
      <c r="H2" s="605"/>
      <c r="I2" s="605"/>
      <c r="J2" s="605"/>
      <c r="K2" s="605"/>
      <c r="L2" s="75"/>
      <c r="M2" s="75"/>
      <c r="N2" s="75"/>
    </row>
    <row r="3" spans="1:14" ht="27" customHeight="1">
      <c r="A3" s="606" t="str">
        <f>S.General.RulemakingTitle</f>
        <v>Greenhouse gas permitting</v>
      </c>
      <c r="B3" s="75"/>
      <c r="D3" s="606"/>
      <c r="E3" s="606"/>
      <c r="F3" s="606"/>
      <c r="G3" s="75"/>
      <c r="H3" s="75"/>
      <c r="I3" s="75"/>
      <c r="J3" s="75"/>
      <c r="K3" s="75"/>
      <c r="L3" s="75"/>
      <c r="M3" s="75"/>
      <c r="N3" s="75"/>
    </row>
    <row r="4" spans="1:14" ht="21" customHeight="1">
      <c r="A4" s="642" t="str">
        <f>"Code: "&amp;S.General.CodeName</f>
        <v>Code: GHGTemp</v>
      </c>
      <c r="B4" s="607"/>
      <c r="C4" s="607"/>
      <c r="E4" s="607"/>
      <c r="F4" s="75"/>
      <c r="G4" s="607"/>
      <c r="H4" s="75"/>
      <c r="I4" s="75"/>
      <c r="J4" s="75"/>
      <c r="K4" s="75"/>
      <c r="L4" s="75"/>
      <c r="M4" s="75"/>
      <c r="N4" s="75"/>
    </row>
    <row r="5" spans="1:14" s="23" customFormat="1" ht="31.5" customHeight="1">
      <c r="A5" s="75"/>
      <c r="B5" s="608" t="s">
        <v>364</v>
      </c>
      <c r="C5" s="75"/>
      <c r="D5" s="75"/>
      <c r="E5" s="75"/>
      <c r="F5" s="75"/>
      <c r="G5" s="75"/>
      <c r="H5" s="75"/>
      <c r="I5" s="75"/>
      <c r="J5" s="75"/>
      <c r="K5" s="75"/>
      <c r="L5" s="75"/>
      <c r="M5" s="75"/>
      <c r="N5" s="75"/>
    </row>
    <row r="6" spans="1:14" ht="27.75" customHeight="1">
      <c r="A6" s="75"/>
      <c r="B6" s="609" t="s">
        <v>374</v>
      </c>
      <c r="C6" s="610"/>
      <c r="D6" s="610"/>
      <c r="E6" s="610"/>
      <c r="F6" s="75"/>
      <c r="G6" s="610"/>
      <c r="H6" s="610"/>
      <c r="I6" s="610"/>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08" t="s">
        <v>365</v>
      </c>
      <c r="C8" s="75"/>
      <c r="D8" s="75"/>
      <c r="E8" s="75"/>
      <c r="F8" s="75"/>
      <c r="G8" s="75"/>
      <c r="H8" s="75"/>
      <c r="I8" s="75"/>
      <c r="J8" s="75"/>
      <c r="K8" s="75"/>
      <c r="L8" s="75"/>
      <c r="M8" s="75"/>
      <c r="N8" s="75"/>
    </row>
    <row r="9" spans="1:14" s="23" customFormat="1" ht="25.5" customHeight="1">
      <c r="A9" s="75"/>
      <c r="B9" s="609" t="s">
        <v>375</v>
      </c>
      <c r="C9" s="610"/>
      <c r="D9" s="610"/>
      <c r="E9" s="610"/>
      <c r="F9" s="75"/>
      <c r="G9" s="610"/>
      <c r="H9" s="610"/>
      <c r="I9" s="610"/>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08" t="s">
        <v>366</v>
      </c>
      <c r="C11" s="75"/>
      <c r="D11" s="75"/>
      <c r="E11" s="75"/>
      <c r="F11" s="75"/>
      <c r="G11" s="75"/>
      <c r="H11" s="75"/>
      <c r="I11" s="75"/>
      <c r="J11" s="75"/>
      <c r="K11" s="75"/>
      <c r="L11" s="75"/>
      <c r="M11" s="75"/>
      <c r="N11" s="75"/>
    </row>
    <row r="12" spans="1:14" s="23" customFormat="1" ht="25.5" customHeight="1">
      <c r="A12" s="75"/>
      <c r="B12" s="609" t="s">
        <v>376</v>
      </c>
      <c r="C12" s="610"/>
      <c r="D12" s="610"/>
      <c r="E12" s="610"/>
      <c r="F12" s="75"/>
      <c r="G12" s="610"/>
      <c r="H12" s="610"/>
      <c r="I12" s="610"/>
      <c r="J12" s="75"/>
      <c r="K12" s="75"/>
      <c r="L12" s="75"/>
      <c r="M12" s="75"/>
      <c r="N12" s="75"/>
    </row>
    <row r="13" spans="1:14">
      <c r="A13" s="75"/>
      <c r="B13" s="75"/>
      <c r="C13" s="75"/>
      <c r="D13" s="75"/>
      <c r="E13" s="75"/>
      <c r="F13" s="75"/>
      <c r="G13" s="75"/>
      <c r="H13" s="75"/>
      <c r="I13" s="75"/>
      <c r="J13" s="75"/>
      <c r="K13" s="75"/>
      <c r="L13" s="75"/>
      <c r="M13" s="75"/>
      <c r="N13" s="75"/>
    </row>
    <row r="14" spans="1:14" ht="20.25">
      <c r="A14" s="606" t="s">
        <v>357</v>
      </c>
      <c r="B14" s="75"/>
      <c r="C14" s="75"/>
      <c r="D14" s="75"/>
      <c r="E14" s="75"/>
      <c r="F14" s="75"/>
      <c r="G14" s="75"/>
      <c r="H14" s="75"/>
      <c r="I14" s="75"/>
      <c r="J14" s="75"/>
      <c r="K14" s="75"/>
      <c r="L14" s="75"/>
      <c r="M14" s="75"/>
      <c r="N14" s="75"/>
    </row>
    <row r="15" spans="1:14" ht="33" customHeight="1">
      <c r="A15" s="75"/>
      <c r="B15" s="1064" t="s">
        <v>412</v>
      </c>
      <c r="C15" s="1064"/>
      <c r="D15" s="1064"/>
      <c r="E15" s="1064"/>
      <c r="F15" s="1064"/>
      <c r="G15" s="75"/>
      <c r="H15" s="75"/>
      <c r="I15" s="75"/>
      <c r="J15" s="75"/>
      <c r="K15" s="75"/>
      <c r="L15" s="75"/>
      <c r="M15" s="75"/>
      <c r="N15" s="75"/>
    </row>
    <row r="16" spans="1:14" s="23" customFormat="1" ht="21" customHeight="1">
      <c r="A16" s="75"/>
      <c r="B16" s="671"/>
      <c r="C16" s="75"/>
      <c r="D16" s="75"/>
      <c r="E16" s="75"/>
      <c r="F16" s="75"/>
      <c r="G16" s="75"/>
      <c r="H16" s="75"/>
      <c r="I16" s="75"/>
      <c r="J16" s="75"/>
      <c r="K16" s="75"/>
      <c r="L16" s="75"/>
      <c r="M16" s="75"/>
      <c r="N16" s="75"/>
    </row>
    <row r="17" spans="1:14" ht="25.5" customHeight="1">
      <c r="B17" s="608" t="s">
        <v>382</v>
      </c>
      <c r="C17" s="1063" t="str">
        <f>S.Staff.Program.Mgr.FullName&amp;", "&amp;S.Staff.Program.Mgr.Div&amp;": "&amp;S.Staff.Program.Mgr.SectionName&amp;""</f>
        <v>Leah Feldon, OP: Air Quality Planning</v>
      </c>
      <c r="D17" s="1063"/>
      <c r="E17" s="1063"/>
      <c r="F17" s="75"/>
      <c r="G17" s="75"/>
      <c r="H17" s="75"/>
      <c r="I17" s="75"/>
      <c r="J17" s="75"/>
      <c r="K17" s="75"/>
      <c r="L17" s="75"/>
      <c r="M17" s="75"/>
      <c r="N17" s="75"/>
    </row>
    <row r="18" spans="1:14" ht="25.5" customHeight="1">
      <c r="B18" s="608" t="s">
        <v>476</v>
      </c>
      <c r="C18" s="1063" t="str">
        <f>S.Staff.Subject.Expert.FullName&amp;", "&amp;S.Staff.Program.Mgr.Div&amp;": "&amp;S.Staff.Program.Mgr.SectionName&amp;""</f>
        <v>Jerry Ebersole, OP: Air Quality Planning</v>
      </c>
      <c r="D18" s="1063"/>
      <c r="E18" s="1063"/>
      <c r="F18" s="75"/>
      <c r="G18" s="75"/>
      <c r="H18" s="75"/>
      <c r="I18" s="75"/>
      <c r="J18" s="75"/>
      <c r="K18" s="75"/>
      <c r="L18" s="75"/>
      <c r="M18" s="75"/>
      <c r="N18" s="75"/>
    </row>
    <row r="19" spans="1:14" ht="25.5" customHeight="1">
      <c r="B19" s="608" t="s">
        <v>477</v>
      </c>
      <c r="C19" s="1063" t="str">
        <f>S.Staff.RG.Lead.Full.Name&amp;", "&amp;S.Staff.RG.Lead.Div&amp;": "&amp;S.Staff.RG.Lead.SectionName&amp;""</f>
        <v>Andrea Gartenbaum, OP: Agency Rules</v>
      </c>
      <c r="D19" s="1063"/>
      <c r="E19" s="1063"/>
      <c r="F19" s="75"/>
      <c r="G19" s="75"/>
      <c r="H19" s="75"/>
      <c r="I19" s="75"/>
      <c r="J19" s="75"/>
      <c r="K19" s="75"/>
      <c r="L19" s="75"/>
      <c r="M19" s="75"/>
      <c r="N19" s="75"/>
    </row>
    <row r="20" spans="1:14" ht="12" customHeight="1">
      <c r="B20" s="1058" t="s">
        <v>515</v>
      </c>
      <c r="C20" s="1058"/>
      <c r="D20" s="1058"/>
      <c r="E20" s="1058"/>
      <c r="F20" s="75"/>
      <c r="G20" s="75"/>
      <c r="H20" s="75"/>
      <c r="I20" s="75"/>
      <c r="J20" s="75"/>
      <c r="K20" s="75"/>
      <c r="L20" s="75"/>
      <c r="M20" s="75"/>
      <c r="N20" s="75"/>
    </row>
    <row r="21" spans="1:14" ht="29.25" customHeight="1">
      <c r="A21" s="606" t="s">
        <v>367</v>
      </c>
      <c r="B21" s="75"/>
      <c r="C21" s="613"/>
      <c r="D21" s="613"/>
      <c r="E21" s="613"/>
      <c r="F21" s="75"/>
      <c r="G21" s="75"/>
      <c r="H21" s="75"/>
      <c r="I21" s="75"/>
      <c r="J21" s="75"/>
      <c r="K21" s="75"/>
      <c r="L21" s="75"/>
      <c r="M21" s="75"/>
      <c r="N21" s="75"/>
    </row>
    <row r="22" spans="1:14" s="173" customFormat="1" ht="40.5" customHeight="1">
      <c r="A22" s="649" t="s">
        <v>465</v>
      </c>
      <c r="B22" s="650"/>
      <c r="C22" s="651"/>
      <c r="D22" s="651"/>
      <c r="E22" s="651"/>
      <c r="F22" s="651"/>
      <c r="G22" s="652"/>
      <c r="H22" s="652"/>
      <c r="I22" s="652"/>
      <c r="J22" s="652"/>
      <c r="K22" s="652"/>
      <c r="L22" s="652"/>
      <c r="M22" s="652"/>
      <c r="N22" s="652"/>
    </row>
    <row r="23" spans="1:14" s="637" customFormat="1" ht="24" customHeight="1">
      <c r="A23" s="616" t="s">
        <v>368</v>
      </c>
      <c r="B23" s="616" t="s">
        <v>390</v>
      </c>
      <c r="C23" s="616" t="s">
        <v>370</v>
      </c>
      <c r="D23" s="616" t="s">
        <v>373</v>
      </c>
      <c r="E23" s="616" t="s">
        <v>473</v>
      </c>
      <c r="F23" s="616" t="s">
        <v>372</v>
      </c>
      <c r="G23" s="641"/>
      <c r="H23" s="641"/>
    </row>
    <row r="24" spans="1:14" s="627" customFormat="1" ht="36" customHeight="1">
      <c r="A24" s="660">
        <f>S.PlanningKickoff</f>
        <v>0</v>
      </c>
      <c r="B24" s="657" t="str">
        <f>"Rules Group Partner: "&amp;S.Staff.RG.Lead.Full.Name</f>
        <v>Rules Group Partner: Andrea Gartenbaum</v>
      </c>
      <c r="C24" s="657" t="s">
        <v>475</v>
      </c>
      <c r="D24" s="657" t="s">
        <v>474</v>
      </c>
      <c r="E24" s="657" t="str">
        <f>S.Staff.Program.Mgr.FullName</f>
        <v>Leah Feldon</v>
      </c>
      <c r="F24" s="675" t="s">
        <v>205</v>
      </c>
      <c r="G24" s="75"/>
      <c r="H24" s="643"/>
    </row>
    <row r="25" spans="1:14" s="627" customFormat="1" ht="51" customHeight="1">
      <c r="A25" s="661">
        <f>S.Planning.DraftWorkbooksEnd</f>
        <v>0</v>
      </c>
      <c r="B25" s="658" t="str">
        <f>"Sponsoring Partner: "&amp;S.Staff.Program.Mgr.FullName</f>
        <v>Sponsoring Partner: Leah Feldon</v>
      </c>
      <c r="C25" s="658" t="s">
        <v>422</v>
      </c>
      <c r="D25" s="658" t="s">
        <v>383</v>
      </c>
      <c r="E25" s="659" t="str">
        <f>S.Staff.Assistant.DA.LongName&amp;" and "&amp;
S.Staff.RG.Lead.FirstName</f>
        <v>Lydia Emer and AndreaG</v>
      </c>
      <c r="F25" s="674" t="s">
        <v>205</v>
      </c>
      <c r="G25" s="75"/>
      <c r="H25" s="75"/>
    </row>
    <row r="26" spans="1:14" s="627" customFormat="1" ht="66" customHeight="1">
      <c r="A26" s="681">
        <f>S.Planning.AddConceptToPlanDate</f>
        <v>0</v>
      </c>
      <c r="B26" s="639" t="str">
        <f>"Sponsoring Partner's Manager: "&amp;S.Staff.Assistant.DA.ShortName</f>
        <v>Sponsoring Partner's Manager: Lydia</v>
      </c>
      <c r="C26" s="638" t="s">
        <v>423</v>
      </c>
      <c r="D26" s="638" t="s">
        <v>383</v>
      </c>
      <c r="E26" s="638" t="str">
        <f>S.Staff.Program.Mgr.FirstName&amp;" and "&amp;S.Staff.RG.Lead.FirstName</f>
        <v>Leah and AndreaG</v>
      </c>
      <c r="F26" s="621" t="s">
        <v>205</v>
      </c>
      <c r="G26" s="75"/>
      <c r="H26" s="75"/>
    </row>
    <row r="27" spans="1:14" s="627" customFormat="1" ht="52.5" customHeight="1">
      <c r="A27" s="660"/>
      <c r="B27" s="657" t="str">
        <f>"Rules Group Partner: "&amp;S.Staff.RG.Lead.FirstName</f>
        <v>Rules Group Partner: AndreaG</v>
      </c>
      <c r="C27" s="657" t="s">
        <v>488</v>
      </c>
      <c r="D27" s="657" t="str">
        <f>"Determine capacity
Prioritize rulemakings
Validate with "&amp;S.Staff.Program.Mgr.FirstName</f>
        <v>Determine capacity
Prioritize rulemakings
Validate with Leah</v>
      </c>
      <c r="E27" s="657" t="s">
        <v>392</v>
      </c>
      <c r="F27" s="675" t="s">
        <v>205</v>
      </c>
      <c r="G27" s="75"/>
      <c r="H27" s="643"/>
    </row>
    <row r="28" spans="1:14" s="627" customFormat="1" ht="48" customHeight="1">
      <c r="A28" s="660" t="s">
        <v>0</v>
      </c>
      <c r="B28" s="657" t="str">
        <f>"Rules Group Partner: "&amp;S.Staff.RG.Lead.FirstName</f>
        <v>Rules Group Partner: AndreaG</v>
      </c>
      <c r="C28" s="657" t="s">
        <v>424</v>
      </c>
      <c r="D28" s="657" t="s">
        <v>425</v>
      </c>
      <c r="E28" s="657" t="str">
        <f>S.Staff.Director</f>
        <v>Dick</v>
      </c>
      <c r="F28" s="675" t="s">
        <v>205</v>
      </c>
      <c r="G28" s="75"/>
      <c r="H28" s="75"/>
    </row>
    <row r="29" spans="1:14" s="665" customFormat="1" ht="40.5" customHeight="1">
      <c r="A29" s="662" t="s">
        <v>489</v>
      </c>
      <c r="B29" s="663"/>
      <c r="C29" s="664"/>
      <c r="D29" s="664"/>
      <c r="E29" s="664"/>
      <c r="F29" s="663"/>
      <c r="G29" s="663"/>
      <c r="H29" s="663"/>
      <c r="I29" s="663"/>
      <c r="J29" s="663"/>
      <c r="K29" s="663"/>
      <c r="L29" s="663"/>
      <c r="M29" s="663"/>
      <c r="N29" s="663"/>
    </row>
    <row r="30" spans="1:14" s="39" customFormat="1" ht="25.5">
      <c r="A30" s="653" t="s">
        <v>368</v>
      </c>
      <c r="B30" s="654" t="s">
        <v>369</v>
      </c>
      <c r="C30" s="653" t="s">
        <v>370</v>
      </c>
      <c r="D30" s="653" t="s">
        <v>373</v>
      </c>
      <c r="E30" s="653" t="s">
        <v>490</v>
      </c>
      <c r="F30" s="653" t="s">
        <v>372</v>
      </c>
      <c r="G30" s="655"/>
      <c r="H30" s="655"/>
      <c r="I30" s="655"/>
      <c r="J30" s="655"/>
      <c r="K30" s="655"/>
      <c r="L30" s="655"/>
      <c r="M30" s="655"/>
      <c r="N30" s="655"/>
    </row>
    <row r="31" spans="1:14" s="23" customFormat="1" ht="57">
      <c r="A31" s="658"/>
      <c r="B31" s="658" t="str">
        <f>"Sponsoring Partner: "&amp;S.Staff.Program.Mgr.FirstName</f>
        <v>Sponsoring Partner: Leah</v>
      </c>
      <c r="C31" s="658" t="s">
        <v>421</v>
      </c>
      <c r="D31" s="658" t="s">
        <v>385</v>
      </c>
      <c r="E31" s="667" t="s">
        <v>386</v>
      </c>
      <c r="F31" s="674" t="s">
        <v>205</v>
      </c>
      <c r="G31" s="75"/>
      <c r="H31" s="75"/>
      <c r="I31" s="75"/>
      <c r="J31" s="75"/>
      <c r="K31" s="75"/>
      <c r="L31" s="75"/>
      <c r="M31" s="75"/>
      <c r="N31" s="75"/>
    </row>
    <row r="32" spans="1:14" s="23" customFormat="1" ht="48.75" customHeight="1">
      <c r="A32" s="658"/>
      <c r="B32" s="658" t="str">
        <f>"Sponsoring Partner: "&amp;S.Staff.Program.Mgr.FirstName</f>
        <v>Sponsoring Partner: Leah</v>
      </c>
      <c r="C32" s="668" t="s">
        <v>418</v>
      </c>
      <c r="D32" s="669" t="s">
        <v>503</v>
      </c>
      <c r="E32" s="667" t="s">
        <v>386</v>
      </c>
      <c r="F32" s="674" t="s">
        <v>205</v>
      </c>
      <c r="G32" s="75"/>
      <c r="H32" s="75"/>
      <c r="I32" s="75"/>
      <c r="J32" s="75"/>
      <c r="K32" s="75"/>
      <c r="L32" s="75"/>
      <c r="M32" s="75"/>
      <c r="N32" s="75"/>
    </row>
    <row r="34" spans="1:14" s="23" customFormat="1" ht="20.25">
      <c r="A34" s="608" t="s">
        <v>377</v>
      </c>
      <c r="B34" s="75"/>
      <c r="C34" s="613"/>
      <c r="D34" s="613"/>
      <c r="E34" s="613"/>
      <c r="F34" s="75"/>
      <c r="G34" s="75"/>
      <c r="H34" s="75"/>
      <c r="I34" s="75"/>
      <c r="J34" s="75"/>
      <c r="K34" s="75"/>
      <c r="L34" s="75"/>
      <c r="M34" s="75"/>
      <c r="N34" s="75"/>
    </row>
    <row r="35" spans="1:14" s="23" customFormat="1" ht="14.25" customHeight="1">
      <c r="A35" s="612"/>
      <c r="B35" s="614" t="s">
        <v>378</v>
      </c>
      <c r="C35" s="613"/>
      <c r="D35" s="613"/>
      <c r="E35" s="613"/>
      <c r="F35" s="75"/>
      <c r="G35" s="75"/>
      <c r="H35" s="75"/>
      <c r="I35" s="75"/>
      <c r="J35" s="75"/>
      <c r="K35" s="75"/>
      <c r="L35" s="75"/>
      <c r="M35" s="75"/>
      <c r="N35" s="75"/>
    </row>
    <row r="36" spans="1:14" s="23" customFormat="1" ht="13.5" customHeight="1">
      <c r="A36" s="612"/>
      <c r="B36" s="614" t="s">
        <v>380</v>
      </c>
      <c r="C36" s="613"/>
      <c r="D36" s="613"/>
      <c r="E36" s="613"/>
      <c r="F36" s="75"/>
      <c r="G36" s="75"/>
      <c r="H36" s="75"/>
      <c r="I36" s="75"/>
      <c r="J36" s="75"/>
      <c r="K36" s="75"/>
      <c r="L36" s="75"/>
      <c r="M36" s="75"/>
      <c r="N36" s="75"/>
    </row>
    <row r="37" spans="1:14" s="23" customFormat="1" ht="13.5" customHeight="1">
      <c r="A37" s="612"/>
      <c r="B37" s="614" t="s">
        <v>379</v>
      </c>
      <c r="C37" s="613"/>
      <c r="D37" s="613"/>
      <c r="E37" s="613"/>
      <c r="F37" s="75"/>
      <c r="G37" s="75"/>
      <c r="H37" s="75"/>
      <c r="I37" s="75"/>
      <c r="J37" s="75"/>
      <c r="K37" s="75"/>
      <c r="L37" s="75"/>
      <c r="M37" s="75"/>
      <c r="N37" s="75"/>
    </row>
    <row r="38" spans="1:14" s="23" customFormat="1" ht="13.5" customHeight="1">
      <c r="A38" s="613"/>
      <c r="B38" s="614" t="s">
        <v>381</v>
      </c>
      <c r="C38" s="613"/>
      <c r="D38" s="613"/>
      <c r="E38" s="613"/>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5" t="s">
        <v>368</v>
      </c>
      <c r="B40" s="616" t="s">
        <v>369</v>
      </c>
      <c r="C40" s="615" t="s">
        <v>370</v>
      </c>
      <c r="D40" s="615" t="s">
        <v>373</v>
      </c>
      <c r="E40" s="616" t="s">
        <v>490</v>
      </c>
      <c r="F40" s="617" t="s">
        <v>372</v>
      </c>
      <c r="G40" s="75"/>
      <c r="H40" s="75"/>
      <c r="I40" s="75"/>
      <c r="J40" s="75"/>
      <c r="K40" s="75"/>
      <c r="L40" s="75"/>
      <c r="M40" s="75"/>
      <c r="N40" s="75"/>
    </row>
    <row r="41" spans="1:14" ht="32.25" customHeight="1">
      <c r="A41" s="678" t="e">
        <f>S.Notice.StartInvolveResources</f>
        <v>#REF!</v>
      </c>
      <c r="B41" s="658" t="str">
        <f>"Sponsoring Partner: "&amp;S.Staff.Program.Mgr.FirstName</f>
        <v>Sponsoring Partner: Leah</v>
      </c>
      <c r="C41" s="667" t="s">
        <v>384</v>
      </c>
      <c r="D41" s="679" t="s">
        <v>385</v>
      </c>
      <c r="E41" s="667" t="s">
        <v>386</v>
      </c>
      <c r="F41" s="674" t="s">
        <v>205</v>
      </c>
      <c r="G41" s="75"/>
      <c r="H41" s="75"/>
      <c r="I41" s="75"/>
      <c r="J41" s="75"/>
      <c r="K41" s="75"/>
      <c r="L41" s="75"/>
      <c r="M41" s="75"/>
      <c r="N41" s="75"/>
    </row>
    <row r="42" spans="1:14" s="23" customFormat="1" ht="31.5" customHeight="1">
      <c r="A42" s="622" t="e">
        <f>S.Notice.EndInvolveResources</f>
        <v>#REF!</v>
      </c>
      <c r="B42" s="684" t="s">
        <v>386</v>
      </c>
      <c r="C42" s="620" t="s">
        <v>383</v>
      </c>
      <c r="D42" s="619" t="s">
        <v>387</v>
      </c>
      <c r="E42" s="683" t="str">
        <f>S.Staff.Program.Mgr.FirstName</f>
        <v>Leah</v>
      </c>
      <c r="F42" s="621" t="s">
        <v>205</v>
      </c>
      <c r="G42" s="75"/>
      <c r="H42" s="75"/>
      <c r="I42" s="75"/>
      <c r="J42" s="75"/>
      <c r="K42" s="75"/>
      <c r="L42" s="75"/>
      <c r="M42" s="75"/>
      <c r="N42" s="75"/>
    </row>
    <row r="43" spans="1:14" s="23" customFormat="1" ht="30.75" customHeight="1">
      <c r="A43" s="669"/>
      <c r="B43" s="658" t="str">
        <f>"Sponsoring Partner: "&amp;S.Staff.Program.Mgr.FirstName</f>
        <v>Sponsoring Partner: Leah</v>
      </c>
      <c r="C43" s="667" t="s">
        <v>384</v>
      </c>
      <c r="D43" s="667" t="s">
        <v>496</v>
      </c>
      <c r="E43" s="667" t="str">
        <f>S.Staff.RG.Lead.FirstName</f>
        <v>AndreaG</v>
      </c>
      <c r="F43" s="674" t="s">
        <v>205</v>
      </c>
      <c r="G43" s="75"/>
      <c r="H43" s="75"/>
      <c r="I43" s="75"/>
      <c r="J43" s="75"/>
      <c r="K43" s="75"/>
      <c r="L43" s="75"/>
      <c r="M43" s="75"/>
      <c r="N43" s="75"/>
    </row>
    <row r="44" spans="1:14" ht="121.5" customHeight="1">
      <c r="A44" s="682"/>
      <c r="B44" s="657" t="str">
        <f>"Rules Group Partner: "&amp;S.Staff.RG.Lead.FirstName</f>
        <v>Rules Group Partner: AndreaG</v>
      </c>
      <c r="C44" s="657" t="s">
        <v>384</v>
      </c>
      <c r="D44" s="666" t="s">
        <v>388</v>
      </c>
      <c r="E44" s="683" t="str">
        <f>S.Staff.Program.Mgr.FirstName</f>
        <v>Leah</v>
      </c>
      <c r="F44" s="675" t="s">
        <v>205</v>
      </c>
      <c r="G44" s="75"/>
      <c r="H44" s="75"/>
      <c r="I44" s="75"/>
      <c r="J44" s="75"/>
      <c r="K44" s="75"/>
      <c r="L44" s="75"/>
      <c r="M44" s="75"/>
      <c r="N44" s="75"/>
    </row>
    <row r="45" spans="1:14" s="23" customFormat="1" ht="62.25" customHeight="1">
      <c r="A45" s="669"/>
      <c r="B45" s="658" t="str">
        <f>"Sponsoring Partner: "&amp;S.Staff.Program.Mgr.FirstName</f>
        <v>Sponsoring Partner: Leah</v>
      </c>
      <c r="C45" s="667" t="s">
        <v>497</v>
      </c>
      <c r="D45" s="667" t="s">
        <v>504</v>
      </c>
      <c r="E45" s="667" t="str">
        <f>S.Staff.RG.Lead.FirstName</f>
        <v>AndreaG</v>
      </c>
      <c r="F45" s="674" t="s">
        <v>205</v>
      </c>
      <c r="G45" s="75"/>
      <c r="H45" s="75"/>
      <c r="I45" s="75"/>
      <c r="J45" s="75"/>
      <c r="K45" s="75"/>
      <c r="L45" s="75"/>
      <c r="M45" s="75"/>
      <c r="N45" s="75"/>
    </row>
    <row r="46" spans="1:14" ht="61.5" customHeight="1">
      <c r="A46" s="669">
        <f>S.Notice.PreviewBegin</f>
        <v>0</v>
      </c>
      <c r="B46" s="658" t="str">
        <f>"Sponsoring Partner: "&amp;S.Staff.Program.Mgr.FirstName</f>
        <v>Sponsoring Partner: Leah</v>
      </c>
      <c r="C46" s="667" t="s">
        <v>498</v>
      </c>
      <c r="D46" s="679" t="s">
        <v>97</v>
      </c>
      <c r="E46" s="667" t="str">
        <f>S.Staff.Assistant.DA.ShortName</f>
        <v>Lydia</v>
      </c>
      <c r="F46" s="674" t="s">
        <v>205</v>
      </c>
      <c r="G46" s="75"/>
      <c r="H46" s="75"/>
      <c r="I46" s="75"/>
      <c r="J46" s="75"/>
      <c r="K46" s="75"/>
      <c r="L46" s="75"/>
      <c r="M46" s="75"/>
      <c r="N46" s="75"/>
    </row>
    <row r="47" spans="1:14" s="23" customFormat="1" ht="35.25" customHeight="1">
      <c r="A47" s="622">
        <f>CodeName.ScheduleOfTasks!AH593</f>
        <v>0</v>
      </c>
      <c r="B47" s="639" t="str">
        <f>"Sponsoring Partner's Manager: "&amp;S.Staff.Assistant.DA.ShortName</f>
        <v>Sponsoring Partner's Manager: Lydia</v>
      </c>
      <c r="C47" s="639" t="s">
        <v>497</v>
      </c>
      <c r="D47" s="639" t="s">
        <v>393</v>
      </c>
      <c r="E47" s="683" t="str">
        <f>S.Staff.Program.Mgr.FirstName</f>
        <v>Leah</v>
      </c>
      <c r="F47" s="639"/>
      <c r="G47" s="75"/>
      <c r="H47" s="75"/>
      <c r="I47" s="75"/>
      <c r="J47" s="75"/>
      <c r="K47" s="75"/>
      <c r="L47" s="75"/>
      <c r="M47" s="75"/>
      <c r="N47" s="75"/>
    </row>
    <row r="48" spans="1:14" s="23" customFormat="1" ht="34.5" customHeight="1">
      <c r="A48" s="639"/>
      <c r="B48" s="639" t="str">
        <f>"Division Administrator "&amp;S.Staff.DA.ForProgram.FirstName</f>
        <v>Division Administrator Lydia</v>
      </c>
      <c r="C48" s="639" t="s">
        <v>413</v>
      </c>
      <c r="D48" s="639" t="s">
        <v>391</v>
      </c>
      <c r="E48" s="683" t="str">
        <f>S.Staff.Program.Mgr.FirstName</f>
        <v>Leah</v>
      </c>
      <c r="F48" s="639"/>
      <c r="G48" s="75"/>
      <c r="H48" s="75"/>
      <c r="I48" s="75"/>
      <c r="J48" s="75"/>
      <c r="K48" s="75"/>
      <c r="L48" s="75"/>
      <c r="M48" s="75"/>
      <c r="N48" s="75"/>
    </row>
    <row r="49" spans="1:14" s="23" customFormat="1" ht="46.5" customHeight="1">
      <c r="A49" s="639"/>
      <c r="B49" s="639" t="str">
        <f>"Sponsoring Partner's Manager: "&amp;S.Staff.Assistant.DA.ShortName</f>
        <v>Sponsoring Partner's Manager: Lydia</v>
      </c>
      <c r="C49" s="639" t="s">
        <v>394</v>
      </c>
      <c r="D49" s="639" t="s">
        <v>395</v>
      </c>
      <c r="E49" s="639" t="str">
        <f>S.Staff.RG.Lead.FirstName</f>
        <v>AndreaG</v>
      </c>
      <c r="F49" s="639"/>
      <c r="G49" s="75"/>
      <c r="H49" s="75"/>
      <c r="I49" s="75"/>
      <c r="J49" s="75"/>
      <c r="K49" s="75"/>
      <c r="L49" s="75"/>
      <c r="M49" s="75"/>
      <c r="N49" s="75"/>
    </row>
    <row r="50" spans="1:14" s="23" customFormat="1" ht="33" customHeight="1">
      <c r="A50" s="677"/>
      <c r="B50" s="677" t="str">
        <f>"Rules Group Partner: "&amp;S.Staff.RG.Lead.FirstName</f>
        <v>Rules Group Partner: AndreaG</v>
      </c>
      <c r="C50" s="677" t="s">
        <v>396</v>
      </c>
      <c r="D50" s="677" t="s">
        <v>397</v>
      </c>
      <c r="E50" s="677" t="s">
        <v>398</v>
      </c>
      <c r="F50" s="677"/>
      <c r="G50" s="75"/>
      <c r="H50" s="75"/>
      <c r="I50" s="75"/>
      <c r="J50" s="75"/>
      <c r="K50" s="75"/>
      <c r="L50" s="75"/>
      <c r="M50" s="75"/>
      <c r="N50" s="75"/>
    </row>
    <row r="51" spans="1:14" s="23" customFormat="1" ht="28.5">
      <c r="A51" s="680"/>
      <c r="B51" s="658" t="str">
        <f>"Sponsoring Partner: "&amp;S.Staff.Program.Mgr.FirstName</f>
        <v>Sponsoring Partner: Leah</v>
      </c>
      <c r="C51" s="680" t="s">
        <v>399</v>
      </c>
      <c r="D51" s="680" t="s">
        <v>97</v>
      </c>
      <c r="E51" s="667" t="str">
        <f>S.Staff.RG.Lead.FirstName</f>
        <v>AndreaG</v>
      </c>
      <c r="F51" s="680"/>
      <c r="G51" s="75"/>
      <c r="H51" s="75"/>
      <c r="I51" s="75"/>
      <c r="J51" s="75"/>
      <c r="K51" s="75"/>
      <c r="L51" s="75"/>
      <c r="M51" s="75"/>
      <c r="N51" s="75"/>
    </row>
    <row r="52" spans="1:14" s="23" customFormat="1" ht="85.5">
      <c r="A52" s="680"/>
      <c r="B52" s="658" t="str">
        <f>"Sponsoring Partner: "&amp;S.Staff.Program.Mgr.FirstName</f>
        <v>Sponsoring Partner: Leah</v>
      </c>
      <c r="C52" s="680" t="s">
        <v>414</v>
      </c>
      <c r="D52" s="667" t="s">
        <v>496</v>
      </c>
      <c r="E52" s="680" t="e">
        <f>S.Staff.Subject.Expert.FirstName&amp;", "&amp;S.Staff.HearingsOfficer&amp;" and "&amp;S.Staff.RG.Lead.FirstName</f>
        <v>#NAME?</v>
      </c>
      <c r="F52" s="680"/>
      <c r="G52" s="75"/>
      <c r="H52" s="75"/>
      <c r="I52" s="75"/>
      <c r="J52" s="75"/>
      <c r="K52" s="75"/>
      <c r="L52" s="75"/>
      <c r="M52" s="75"/>
      <c r="N52" s="75"/>
    </row>
    <row r="53" spans="1:14" s="23" customFormat="1">
      <c r="A53" s="672"/>
      <c r="B53" s="672"/>
      <c r="C53" s="672"/>
      <c r="D53" s="672"/>
      <c r="E53" s="672"/>
      <c r="F53" s="672"/>
      <c r="G53" s="75"/>
    </row>
    <row r="54" spans="1:14" s="23" customFormat="1" ht="15">
      <c r="A54" s="608" t="s">
        <v>400</v>
      </c>
      <c r="B54" s="75"/>
      <c r="C54" s="75"/>
      <c r="D54" s="75"/>
      <c r="E54" s="75"/>
      <c r="F54" s="75"/>
      <c r="G54" s="75"/>
    </row>
    <row r="55" spans="1:14" s="23" customFormat="1">
      <c r="A55" s="612"/>
      <c r="B55" s="75"/>
      <c r="C55" s="75"/>
      <c r="D55" s="75"/>
      <c r="E55" s="75"/>
      <c r="F55" s="75"/>
      <c r="G55" s="75"/>
    </row>
    <row r="56" spans="1:14" s="627" customFormat="1" ht="25.5">
      <c r="A56" s="616" t="s">
        <v>368</v>
      </c>
      <c r="B56" s="616" t="s">
        <v>390</v>
      </c>
      <c r="C56" s="616" t="s">
        <v>370</v>
      </c>
      <c r="D56" s="616" t="s">
        <v>373</v>
      </c>
      <c r="E56" s="616" t="s">
        <v>490</v>
      </c>
      <c r="F56" s="616" t="s">
        <v>372</v>
      </c>
    </row>
    <row r="57" spans="1:14" s="627" customFormat="1" ht="99.75">
      <c r="A57" s="667"/>
      <c r="B57" s="658" t="str">
        <f>"Sponsoring Partner: "&amp;S.Staff.Program.Mgr.FirstName</f>
        <v>Sponsoring Partner: Leah</v>
      </c>
      <c r="C57" s="667" t="s">
        <v>419</v>
      </c>
      <c r="D57" s="667" t="s">
        <v>496</v>
      </c>
      <c r="E57" s="667" t="str">
        <f>S.Staff.RG.Lead.FirstName</f>
        <v>AndreaG</v>
      </c>
      <c r="F57" s="674" t="s">
        <v>205</v>
      </c>
    </row>
    <row r="58" spans="1:14" s="627" customFormat="1" ht="85.5">
      <c r="A58" s="676"/>
      <c r="B58" s="677" t="str">
        <f>"Rules Group Partner: "&amp;S.Staff.RG.Lead.FirstName</f>
        <v>Rules Group Partner: AndreaG</v>
      </c>
      <c r="C58" s="677" t="s">
        <v>499</v>
      </c>
      <c r="D58" s="676" t="s">
        <v>401</v>
      </c>
      <c r="E58" s="677" t="str">
        <f>S.Staff.DA.Support.ForProgram.FirstName&amp;", Legislative staff and Web staff"</f>
        <v>Carol, Legislative staff and Web staff</v>
      </c>
      <c r="F58" s="676" t="s">
        <v>205</v>
      </c>
    </row>
    <row r="59" spans="1:14" s="627" customFormat="1">
      <c r="A59" s="672"/>
      <c r="B59" s="672"/>
      <c r="C59" s="672"/>
      <c r="D59" s="672"/>
      <c r="E59" s="672"/>
      <c r="F59" s="672"/>
      <c r="G59" s="75"/>
    </row>
    <row r="60" spans="1:14" s="627" customFormat="1" ht="15">
      <c r="A60" s="608" t="s">
        <v>402</v>
      </c>
      <c r="B60" s="75"/>
      <c r="C60" s="75"/>
      <c r="D60" s="75"/>
      <c r="E60" s="75"/>
      <c r="F60" s="75"/>
      <c r="G60" s="75"/>
    </row>
    <row r="61" spans="1:14" s="627" customFormat="1">
      <c r="A61" s="75"/>
      <c r="B61" s="614" t="s">
        <v>403</v>
      </c>
      <c r="C61" s="75"/>
      <c r="D61" s="75"/>
      <c r="E61" s="75"/>
      <c r="F61" s="75"/>
      <c r="G61" s="75"/>
    </row>
    <row r="62" spans="1:14" s="627" customFormat="1">
      <c r="A62" s="75"/>
      <c r="B62" s="614" t="s">
        <v>379</v>
      </c>
      <c r="C62" s="75"/>
      <c r="D62" s="75"/>
      <c r="E62" s="75"/>
      <c r="F62" s="75"/>
      <c r="G62" s="75"/>
    </row>
    <row r="63" spans="1:14" s="627" customFormat="1">
      <c r="A63" s="673"/>
      <c r="B63" s="75"/>
      <c r="C63" s="75"/>
      <c r="D63" s="75"/>
      <c r="E63" s="75"/>
      <c r="F63" s="75"/>
      <c r="G63" s="75"/>
    </row>
    <row r="64" spans="1:14" s="637" customFormat="1" ht="25.5">
      <c r="A64" s="616" t="s">
        <v>368</v>
      </c>
      <c r="B64" s="616" t="s">
        <v>390</v>
      </c>
      <c r="C64" s="616" t="s">
        <v>370</v>
      </c>
      <c r="D64" s="616" t="s">
        <v>373</v>
      </c>
      <c r="E64" s="616" t="s">
        <v>490</v>
      </c>
      <c r="F64" s="616" t="s">
        <v>372</v>
      </c>
    </row>
    <row r="65" spans="1:7" s="627" customFormat="1" ht="42.75">
      <c r="A65" s="680"/>
      <c r="B65" s="658" t="str">
        <f>"Sponsoring Partner: "&amp;S.Staff.Program.Mgr.FirstName</f>
        <v>Sponsoring Partner: Leah</v>
      </c>
      <c r="C65" s="680" t="s">
        <v>404</v>
      </c>
      <c r="D65" s="679" t="s">
        <v>385</v>
      </c>
      <c r="E65" s="667" t="s">
        <v>386</v>
      </c>
      <c r="F65" s="674" t="s">
        <v>205</v>
      </c>
    </row>
    <row r="66" spans="1:7" s="627" customFormat="1" ht="34.5" customHeight="1">
      <c r="A66" s="675"/>
      <c r="B66" s="677" t="str">
        <f>"Rules Group Partner: "&amp;S.Staff.RG.Lead.FirstName</f>
        <v>Rules Group Partner: AndreaG</v>
      </c>
      <c r="C66" s="677" t="s">
        <v>502</v>
      </c>
      <c r="D66" s="677" t="s">
        <v>496</v>
      </c>
      <c r="E66" s="676" t="str">
        <f>S.Staff.Program.Mgr.FirstName</f>
        <v>Leah</v>
      </c>
      <c r="F66" s="675" t="s">
        <v>205</v>
      </c>
    </row>
    <row r="67" spans="1:7" s="627" customFormat="1" ht="27.75" customHeight="1">
      <c r="A67" s="639"/>
      <c r="B67" s="639" t="s">
        <v>405</v>
      </c>
      <c r="C67" s="639" t="s">
        <v>502</v>
      </c>
      <c r="D67" s="639" t="s">
        <v>500</v>
      </c>
      <c r="E67" s="639" t="str">
        <f>S.Staff.Program.Mgr.FirstName</f>
        <v>Leah</v>
      </c>
      <c r="F67" s="621" t="s">
        <v>205</v>
      </c>
    </row>
    <row r="68" spans="1:7" s="627" customFormat="1" ht="28.5">
      <c r="A68" s="680"/>
      <c r="B68" s="658" t="str">
        <f>"Sponsoring Partner: "&amp;S.Staff.Program.Mgr.FirstName</f>
        <v>Sponsoring Partner: Leah</v>
      </c>
      <c r="C68" s="680" t="s">
        <v>406</v>
      </c>
      <c r="D68" s="680" t="s">
        <v>393</v>
      </c>
      <c r="E68" s="680" t="str">
        <f>S.Staff.Assistant.DA.ShortName</f>
        <v>Lydia</v>
      </c>
      <c r="F68" s="674" t="s">
        <v>205</v>
      </c>
    </row>
    <row r="69" spans="1:7" s="627" customFormat="1" ht="32.25" customHeight="1">
      <c r="A69" s="639"/>
      <c r="B69" s="639" t="str">
        <f>"Division Administrator: "&amp;S.Staff.DA.ForProgram.FirstName</f>
        <v>Division Administrator: Lydia</v>
      </c>
      <c r="C69" s="639" t="s">
        <v>420</v>
      </c>
      <c r="D69" s="639" t="s">
        <v>391</v>
      </c>
      <c r="E69" s="639" t="str">
        <f>S.Staff.Program.Mgr.FirstName</f>
        <v>Leah</v>
      </c>
      <c r="F69" s="621" t="s">
        <v>205</v>
      </c>
    </row>
    <row r="70" spans="1:7" s="627" customFormat="1">
      <c r="A70" s="680"/>
      <c r="B70" s="658" t="str">
        <f>"Sponsoring Partner: "&amp;S.Staff.Program.Mgr.FirstName</f>
        <v>Sponsoring Partner: Leah</v>
      </c>
      <c r="C70" s="680" t="s">
        <v>407</v>
      </c>
      <c r="D70" s="680" t="s">
        <v>395</v>
      </c>
      <c r="E70" s="667" t="str">
        <f>S.Staff.RG.Lead.FirstName</f>
        <v>AndreaG</v>
      </c>
      <c r="F70" s="674" t="s">
        <v>205</v>
      </c>
    </row>
    <row r="71" spans="1:7" s="627" customFormat="1" ht="28.5">
      <c r="A71" s="676"/>
      <c r="B71" s="677" t="str">
        <f>"Rules Group Partner: "&amp;S.Staff.RG.Lead.FirstName</f>
        <v>Rules Group Partner: AndreaG</v>
      </c>
      <c r="C71" s="676" t="s">
        <v>396</v>
      </c>
      <c r="D71" s="676" t="s">
        <v>408</v>
      </c>
      <c r="E71" s="676" t="str">
        <f>S.Staff.EQCAssistant</f>
        <v>StephanieC</v>
      </c>
      <c r="F71" s="675" t="s">
        <v>205</v>
      </c>
    </row>
    <row r="72" spans="1:7" s="627" customFormat="1">
      <c r="A72" s="75"/>
      <c r="B72" s="75"/>
      <c r="C72" s="75"/>
      <c r="D72" s="75"/>
      <c r="E72" s="75"/>
      <c r="F72" s="75"/>
      <c r="G72" s="75"/>
    </row>
    <row r="73" spans="1:7" s="627" customFormat="1">
      <c r="A73" s="75"/>
      <c r="B73" s="75"/>
      <c r="C73" s="75"/>
      <c r="D73" s="75"/>
      <c r="E73" s="75"/>
      <c r="F73" s="75"/>
      <c r="G73" s="75"/>
    </row>
    <row r="74" spans="1:7" s="627" customFormat="1" ht="15">
      <c r="A74" s="608" t="s">
        <v>409</v>
      </c>
      <c r="B74" s="75"/>
      <c r="C74" s="75"/>
      <c r="D74" s="75"/>
      <c r="E74" s="75"/>
      <c r="F74" s="75"/>
      <c r="G74" s="75"/>
    </row>
    <row r="75" spans="1:7" s="627" customFormat="1">
      <c r="A75" s="673"/>
      <c r="B75" s="75"/>
      <c r="C75" s="75"/>
      <c r="D75" s="75"/>
      <c r="E75" s="75"/>
      <c r="F75" s="75"/>
      <c r="G75" s="75"/>
    </row>
    <row r="76" spans="1:7" s="627" customFormat="1" ht="25.5">
      <c r="A76" s="616" t="s">
        <v>368</v>
      </c>
      <c r="B76" s="616" t="s">
        <v>390</v>
      </c>
      <c r="C76" s="616" t="s">
        <v>370</v>
      </c>
      <c r="D76" s="616" t="s">
        <v>373</v>
      </c>
      <c r="E76" s="616" t="s">
        <v>371</v>
      </c>
      <c r="F76" s="616" t="s">
        <v>372</v>
      </c>
    </row>
    <row r="77" spans="1:7" s="627" customFormat="1" ht="85.5">
      <c r="A77" s="667"/>
      <c r="B77" s="658" t="str">
        <f>"Sponsoring Partner: "&amp;S.Staff.Program.Mgr.FirstName</f>
        <v>Sponsoring Partner: Leah</v>
      </c>
      <c r="C77" s="667" t="s">
        <v>415</v>
      </c>
      <c r="D77" s="667" t="s">
        <v>496</v>
      </c>
      <c r="E77" s="667" t="str">
        <f>S.Staff.RG.Lead.FirstName</f>
        <v>AndreaG</v>
      </c>
      <c r="F77" s="674" t="s">
        <v>205</v>
      </c>
    </row>
    <row r="78" spans="1:7" s="627" customFormat="1" ht="32.25" customHeight="1">
      <c r="A78" s="666"/>
      <c r="B78" s="657" t="str">
        <f>"Rules Group Partner: "&amp;S.Staff.RG.Lead.FirstName</f>
        <v>Rules Group Partner: AndreaG</v>
      </c>
      <c r="C78" s="666" t="s">
        <v>495</v>
      </c>
      <c r="D78" s="666" t="s">
        <v>408</v>
      </c>
      <c r="E78" s="676" t="str">
        <f>S.Staff.EQCAssistant</f>
        <v>StephanieC</v>
      </c>
      <c r="F78" s="675" t="s">
        <v>205</v>
      </c>
    </row>
    <row r="79" spans="1:7" s="627" customFormat="1" ht="75" customHeight="1">
      <c r="A79" s="666"/>
      <c r="B79" s="657" t="str">
        <f>"Rules Group Partner: "&amp;S.Staff.RG.Lead.FirstName</f>
        <v>Rules Group Partner: AndreaG</v>
      </c>
      <c r="C79" s="666" t="s">
        <v>501</v>
      </c>
      <c r="D79" s="666" t="s">
        <v>410</v>
      </c>
      <c r="E79" s="666" t="s">
        <v>416</v>
      </c>
      <c r="F79" s="675" t="s">
        <v>205</v>
      </c>
    </row>
    <row r="80" spans="1:7" s="627" customFormat="1">
      <c r="A80" s="629"/>
    </row>
    <row r="81" spans="1:14" s="627" customFormat="1">
      <c r="A81" s="628"/>
    </row>
    <row r="82" spans="1:14" s="627" customFormat="1" ht="15">
      <c r="A82" s="608" t="s">
        <v>411</v>
      </c>
    </row>
    <row r="83" spans="1:14" s="627" customFormat="1">
      <c r="A83" s="629"/>
    </row>
    <row r="84" spans="1:14" s="627" customFormat="1" ht="25.5">
      <c r="A84" s="616" t="s">
        <v>368</v>
      </c>
      <c r="B84" s="616" t="s">
        <v>390</v>
      </c>
      <c r="C84" s="616" t="s">
        <v>370</v>
      </c>
      <c r="D84" s="616" t="s">
        <v>373</v>
      </c>
      <c r="E84" s="616" t="s">
        <v>371</v>
      </c>
      <c r="F84" s="616" t="s">
        <v>372</v>
      </c>
    </row>
    <row r="85" spans="1:14" s="627" customFormat="1" ht="71.25">
      <c r="A85" s="680"/>
      <c r="B85" s="658" t="str">
        <f>"Sponsoring Partner: "&amp;S.Staff.Program.Mgr.FirstName</f>
        <v>Sponsoring Partner: Leah</v>
      </c>
      <c r="C85" s="658" t="s">
        <v>506</v>
      </c>
      <c r="D85" s="680" t="s">
        <v>97</v>
      </c>
      <c r="E85" s="667" t="str">
        <f>S.Staff.RG.Lead.FirstName</f>
        <v>AndreaG</v>
      </c>
      <c r="F85" s="674" t="s">
        <v>205</v>
      </c>
    </row>
    <row r="86" spans="1:14" s="627" customFormat="1" ht="71.25">
      <c r="A86" s="677"/>
      <c r="B86" s="657" t="str">
        <f>"Rules Group Partner: "&amp;S.Staff.RG.Lead.FirstName</f>
        <v>Rules Group Partner: AndreaG</v>
      </c>
      <c r="C86" s="666" t="s">
        <v>505</v>
      </c>
      <c r="D86" s="666" t="s">
        <v>507</v>
      </c>
      <c r="E86" s="666" t="s">
        <v>283</v>
      </c>
      <c r="F86" s="675" t="s">
        <v>205</v>
      </c>
    </row>
    <row r="87" spans="1:14" s="627" customFormat="1" ht="15.75">
      <c r="A87" s="630"/>
    </row>
    <row r="88" spans="1:14" s="23" customFormat="1" ht="20.25">
      <c r="A88" s="624"/>
    </row>
    <row r="89" spans="1:14" ht="184.5" customHeight="1">
      <c r="A89" s="625" t="s">
        <v>0</v>
      </c>
    </row>
    <row r="92" spans="1:14">
      <c r="A92" s="626"/>
    </row>
    <row r="94" spans="1:14" s="23" customFormat="1" ht="15">
      <c r="A94" s="608" t="s">
        <v>417</v>
      </c>
      <c r="B94" s="640"/>
      <c r="C94" s="640"/>
      <c r="D94" s="640"/>
      <c r="E94" s="640"/>
      <c r="F94" s="640"/>
      <c r="G94" s="75"/>
      <c r="H94" s="341"/>
      <c r="I94" s="75"/>
      <c r="J94" s="75"/>
      <c r="K94" s="75"/>
      <c r="L94" s="75"/>
      <c r="M94" s="75"/>
      <c r="N94" s="75"/>
    </row>
    <row r="95" spans="1:14" s="23" customFormat="1" ht="15">
      <c r="A95" s="608"/>
      <c r="B95" s="640"/>
      <c r="C95" s="640"/>
      <c r="D95" s="640"/>
      <c r="E95" s="640"/>
      <c r="F95" s="640"/>
      <c r="G95" s="75"/>
      <c r="H95" s="648"/>
      <c r="I95" s="75"/>
      <c r="J95" s="75"/>
      <c r="K95" s="75"/>
      <c r="L95" s="75"/>
      <c r="M95" s="75"/>
      <c r="N95" s="75"/>
    </row>
    <row r="96" spans="1:14" s="23" customFormat="1" ht="25.5">
      <c r="A96" s="615" t="s">
        <v>368</v>
      </c>
      <c r="B96" s="616" t="s">
        <v>369</v>
      </c>
      <c r="C96" s="615" t="s">
        <v>370</v>
      </c>
      <c r="D96" s="615" t="s">
        <v>373</v>
      </c>
      <c r="E96" s="617" t="s">
        <v>371</v>
      </c>
      <c r="F96" s="617" t="s">
        <v>372</v>
      </c>
      <c r="G96" s="75"/>
      <c r="H96" s="341"/>
      <c r="I96" s="75"/>
      <c r="J96" s="75"/>
      <c r="K96" s="75"/>
      <c r="L96" s="75"/>
      <c r="M96" s="75"/>
      <c r="N96" s="75"/>
    </row>
    <row r="97" spans="1:14" s="23" customFormat="1">
      <c r="A97" s="622"/>
      <c r="B97" s="623"/>
      <c r="C97" s="622"/>
      <c r="D97" s="622"/>
      <c r="E97" s="622"/>
      <c r="F97" s="622"/>
      <c r="G97" s="75"/>
      <c r="H97" s="648"/>
      <c r="I97" s="75"/>
      <c r="J97" s="75"/>
      <c r="K97" s="75"/>
      <c r="L97" s="75"/>
      <c r="M97" s="75"/>
      <c r="N97" s="75"/>
    </row>
    <row r="98" spans="1:14" s="23" customFormat="1">
      <c r="A98" s="622"/>
      <c r="B98" s="618"/>
      <c r="C98" s="622"/>
      <c r="D98" s="622"/>
      <c r="E98" s="622"/>
      <c r="F98" s="622"/>
      <c r="G98" s="75"/>
      <c r="H98" s="648"/>
      <c r="I98" s="75"/>
      <c r="J98" s="75"/>
      <c r="K98" s="75"/>
      <c r="L98" s="75"/>
      <c r="M98" s="75"/>
      <c r="N98" s="75"/>
    </row>
    <row r="99" spans="1:14" s="23" customFormat="1">
      <c r="A99" s="622"/>
      <c r="B99" s="622"/>
      <c r="C99" s="622"/>
      <c r="D99" s="622"/>
      <c r="E99" s="622"/>
      <c r="F99" s="622"/>
      <c r="G99" s="75"/>
      <c r="H99" s="75"/>
      <c r="I99" s="75"/>
      <c r="J99" s="75"/>
      <c r="K99" s="75"/>
      <c r="L99" s="75"/>
      <c r="M99" s="75"/>
      <c r="N99" s="75"/>
    </row>
    <row r="100" spans="1:14" s="23" customFormat="1">
      <c r="A100" s="622"/>
      <c r="B100" s="622"/>
      <c r="C100" s="622"/>
      <c r="D100" s="622"/>
      <c r="E100" s="622"/>
      <c r="F100" s="622"/>
      <c r="G100" s="75"/>
      <c r="H100" s="75"/>
      <c r="I100" s="75"/>
      <c r="J100" s="75"/>
      <c r="K100" s="75"/>
      <c r="L100" s="75"/>
      <c r="M100" s="75"/>
      <c r="N100" s="75"/>
    </row>
    <row r="101" spans="1:14" s="23" customFormat="1">
      <c r="A101" s="640"/>
      <c r="B101" s="640"/>
      <c r="C101" s="640"/>
      <c r="D101" s="640"/>
      <c r="E101" s="640"/>
      <c r="F101" s="640"/>
      <c r="G101" s="75"/>
      <c r="H101" s="75"/>
      <c r="I101" s="75"/>
      <c r="J101" s="75"/>
      <c r="K101" s="75"/>
      <c r="L101" s="75"/>
      <c r="M101" s="75"/>
      <c r="N101" s="75"/>
    </row>
    <row r="103" spans="1:14" s="23" customFormat="1" ht="15" thickBot="1">
      <c r="A103" s="1059" t="s">
        <v>358</v>
      </c>
      <c r="B103" s="1059"/>
      <c r="C103" s="611"/>
      <c r="D103" s="611"/>
      <c r="E103" s="611"/>
      <c r="F103" s="75"/>
      <c r="G103" s="75"/>
      <c r="H103" s="75"/>
      <c r="I103" s="75"/>
      <c r="J103" s="75"/>
      <c r="K103" s="75"/>
      <c r="L103" s="75"/>
      <c r="M103" s="75"/>
      <c r="N103" s="75"/>
    </row>
    <row r="104" spans="1:14" s="23" customFormat="1" ht="20.25">
      <c r="A104" s="612"/>
      <c r="B104" s="75"/>
      <c r="C104" s="1060" t="str">
        <f>S.Staff.Program.Mgr.FullName&amp;", "&amp;S.Staff.Program.Mgr.Div&amp;": "&amp;S.Staff.Program.Mgr.SectionName&amp;"     DATE"</f>
        <v>Leah Feldon, OP: Air Quality Planning     DATE</v>
      </c>
      <c r="D104" s="1060"/>
      <c r="E104" s="1060"/>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59" t="s">
        <v>477</v>
      </c>
      <c r="B106" s="1059"/>
      <c r="C106" s="611"/>
      <c r="D106" s="611"/>
      <c r="E106" s="611"/>
      <c r="F106" s="75"/>
      <c r="G106" s="75"/>
      <c r="H106" s="75"/>
      <c r="I106" s="75"/>
      <c r="J106" s="75"/>
      <c r="K106" s="75"/>
      <c r="L106" s="75"/>
      <c r="M106" s="75"/>
      <c r="N106" s="75"/>
    </row>
    <row r="107" spans="1:14" s="23" customFormat="1" ht="30.75" customHeight="1">
      <c r="A107" s="75"/>
      <c r="B107" s="75"/>
      <c r="C107" s="1061" t="str">
        <f>S.Staff.RG.Lead.Full.Name&amp;", "&amp;S.Staff.RG.Lead.Div&amp;": "&amp;S.Staff.RG.Lead.SectionName&amp;"     DATE"</f>
        <v>Andrea Gartenbaum, OP: Agency Rules     DATE</v>
      </c>
      <c r="D107" s="1061"/>
      <c r="E107" s="1061"/>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508</v>
      </c>
    </row>
    <row r="2" spans="1:1">
      <c r="A2" t="s">
        <v>509</v>
      </c>
    </row>
    <row r="3" spans="1:1">
      <c r="A3" t="s">
        <v>510</v>
      </c>
    </row>
    <row r="4" spans="1:1">
      <c r="A4" t="s">
        <v>511</v>
      </c>
    </row>
    <row r="5" spans="1:1">
      <c r="A5" t="s">
        <v>512</v>
      </c>
    </row>
    <row r="6" spans="1:1">
      <c r="A6" t="s">
        <v>513</v>
      </c>
    </row>
    <row r="7" spans="1:1">
      <c r="A7" t="s">
        <v>514</v>
      </c>
    </row>
    <row r="9" spans="1:1">
      <c r="A9" t="s">
        <v>516</v>
      </c>
    </row>
    <row r="10" spans="1:1">
      <c r="A10" t="s">
        <v>517</v>
      </c>
    </row>
    <row r="11" spans="1:1">
      <c r="A11" t="s">
        <v>518</v>
      </c>
    </row>
    <row r="12" spans="1:1">
      <c r="A12" t="s">
        <v>519</v>
      </c>
    </row>
    <row r="13" spans="1:1">
      <c r="A13" t="s">
        <v>520</v>
      </c>
    </row>
    <row r="14" spans="1:1">
      <c r="A14" t="s">
        <v>521</v>
      </c>
    </row>
    <row r="15" spans="1:1">
      <c r="A15" t="s">
        <v>522</v>
      </c>
    </row>
    <row r="16" spans="1:1">
      <c r="A16" t="s">
        <v>523</v>
      </c>
    </row>
    <row r="17" spans="1:1">
      <c r="A17" t="s">
        <v>524</v>
      </c>
    </row>
    <row r="18" spans="1:1">
      <c r="A18" t="s">
        <v>525</v>
      </c>
    </row>
    <row r="19" spans="1:1">
      <c r="A19" t="s">
        <v>526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42C7ADFC-4B3A-40AD-892B-C7FADB2DB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2014-08-12T16:53:02Z</cp:lastPrinted>
  <dcterms:created xsi:type="dcterms:W3CDTF">2012-04-11T21:44:01Z</dcterms:created>
  <dcterms:modified xsi:type="dcterms:W3CDTF">2014-09-10T18:13:42Z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