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1388" tabRatio="960" firstSheet="3" activeTab="7"/>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concurrentCalc="0"/>
</workbook>
</file>

<file path=xl/calcChain.xml><?xml version="1.0" encoding="utf-8"?>
<calcChain xmlns="http://schemas.openxmlformats.org/spreadsheetml/2006/main">
  <c r="G15" i="89"/>
  <c r="G14"/>
  <c r="G13"/>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c r="H265"/>
  <c r="J265"/>
  <c r="H266"/>
  <c r="J266"/>
  <c r="H267"/>
  <c r="J267"/>
  <c r="H268"/>
  <c r="I268"/>
  <c r="H269"/>
  <c r="I269"/>
  <c r="H270"/>
  <c r="J270"/>
  <c r="H271"/>
  <c r="J271"/>
  <c r="H272"/>
  <c r="J272"/>
  <c r="H273"/>
  <c r="I273"/>
  <c r="H274"/>
  <c r="J274"/>
  <c r="H275"/>
  <c r="J275"/>
  <c r="H276"/>
  <c r="I276"/>
  <c r="H277"/>
  <c r="J277"/>
  <c r="H278"/>
  <c r="I278"/>
  <c r="H279"/>
  <c r="I279"/>
  <c r="H280"/>
  <c r="I280"/>
  <c r="H281"/>
  <c r="J281"/>
  <c r="H282"/>
  <c r="J282"/>
  <c r="H283"/>
  <c r="J283"/>
  <c r="H284"/>
  <c r="I284"/>
  <c r="H285"/>
  <c r="I285"/>
  <c r="H286"/>
  <c r="J286"/>
  <c r="H287"/>
  <c r="J287"/>
  <c r="H288"/>
  <c r="J288"/>
  <c r="H289"/>
  <c r="J289"/>
  <c r="H290"/>
  <c r="J290"/>
  <c r="H291"/>
  <c r="J291"/>
  <c r="H292"/>
  <c r="I292"/>
  <c r="H293"/>
  <c r="I293"/>
  <c r="H294"/>
  <c r="I294"/>
  <c r="H295"/>
  <c r="I295"/>
  <c r="H296"/>
  <c r="I296"/>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c r="H76"/>
  <c r="H22" i="88"/>
  <c r="E22"/>
  <c r="T14" i="109"/>
  <c r="S14"/>
  <c r="U14"/>
  <c r="T16"/>
  <c r="S16"/>
  <c r="U16"/>
  <c r="T17"/>
  <c r="S17"/>
  <c r="U17"/>
  <c r="T15"/>
  <c r="S15"/>
  <c r="U15"/>
  <c r="T18"/>
  <c r="S18"/>
  <c r="U18"/>
  <c r="I291" i="119"/>
  <c r="I289"/>
  <c r="I287"/>
  <c r="J296"/>
  <c r="J279"/>
  <c r="J295"/>
  <c r="J280"/>
  <c r="G19"/>
  <c r="H19"/>
  <c r="I281"/>
  <c r="J273"/>
  <c r="G18"/>
  <c r="H18"/>
  <c r="I282"/>
  <c r="I265"/>
  <c r="G16"/>
  <c r="H16"/>
  <c r="I283"/>
  <c r="I266"/>
  <c r="I274"/>
  <c r="I275"/>
  <c r="I267"/>
  <c r="I76"/>
  <c r="J76"/>
  <c r="I277"/>
  <c r="J292"/>
  <c r="J284"/>
  <c r="J276"/>
  <c r="J268"/>
  <c r="J293"/>
  <c r="J285"/>
  <c r="J269"/>
  <c r="I270"/>
  <c r="J294"/>
  <c r="J278"/>
  <c r="I223"/>
  <c r="J223"/>
  <c r="G20"/>
  <c r="H20"/>
  <c r="G17"/>
  <c r="H17"/>
  <c r="V18" i="109"/>
  <c r="V15"/>
  <c r="V17"/>
  <c r="V16"/>
  <c r="V14"/>
  <c r="V4" i="89"/>
  <c r="H8"/>
  <c r="H9"/>
  <c r="H10"/>
  <c r="D4" i="88"/>
  <c r="D9"/>
  <c r="G2" i="89"/>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c r="H186"/>
  <c r="S15" i="117"/>
  <c r="E5"/>
  <c r="U5"/>
  <c r="T5"/>
  <c r="U25"/>
  <c r="G192" i="119"/>
  <c r="H192"/>
  <c r="J186"/>
  <c r="I186"/>
  <c r="U23" i="117"/>
  <c r="G190" i="119"/>
  <c r="H190"/>
  <c r="U15" i="117"/>
  <c r="G185" i="119"/>
  <c r="H185"/>
  <c r="U22" i="117"/>
  <c r="G189" i="119"/>
  <c r="H189"/>
  <c r="U18" i="117"/>
  <c r="G188" i="119"/>
  <c r="H188"/>
  <c r="U17" i="117"/>
  <c r="G187" i="119"/>
  <c r="H187"/>
  <c r="U24" i="117"/>
  <c r="G191" i="119"/>
  <c r="H191"/>
  <c r="U16" i="117"/>
  <c r="S7"/>
  <c r="T4"/>
  <c r="T6"/>
  <c r="S4"/>
  <c r="I191" i="119"/>
  <c r="J191"/>
  <c r="J185"/>
  <c r="I185"/>
  <c r="U4" i="117"/>
  <c r="H18" i="88"/>
  <c r="I189" i="119"/>
  <c r="J189"/>
  <c r="J192"/>
  <c r="I192"/>
  <c r="I188"/>
  <c r="J188"/>
  <c r="J187"/>
  <c r="I187"/>
  <c r="I190"/>
  <c r="J190"/>
  <c r="E4" i="117"/>
  <c r="S5"/>
  <c r="S6"/>
  <c r="T105" i="114"/>
  <c r="S105"/>
  <c r="T104"/>
  <c r="S104"/>
  <c r="T103"/>
  <c r="S103"/>
  <c r="T102"/>
  <c r="S102"/>
  <c r="T98"/>
  <c r="S98"/>
  <c r="T97"/>
  <c r="S97"/>
  <c r="T96"/>
  <c r="S96"/>
  <c r="T95"/>
  <c r="S95"/>
  <c r="U95"/>
  <c r="G257" i="119"/>
  <c r="H257"/>
  <c r="U102" i="114"/>
  <c r="G261" i="119"/>
  <c r="H261"/>
  <c r="U97" i="114"/>
  <c r="G259" i="119"/>
  <c r="H259"/>
  <c r="U104" i="114"/>
  <c r="G263" i="119"/>
  <c r="H263"/>
  <c r="U96" i="114"/>
  <c r="G258" i="119"/>
  <c r="H258"/>
  <c r="U103" i="114"/>
  <c r="G262" i="119"/>
  <c r="H262"/>
  <c r="U6" i="117"/>
  <c r="U98" i="114"/>
  <c r="G260" i="119"/>
  <c r="H260"/>
  <c r="U105" i="114"/>
  <c r="G264" i="119"/>
  <c r="H264"/>
  <c r="T23" i="110"/>
  <c r="S23"/>
  <c r="T22"/>
  <c r="S22"/>
  <c r="D66" i="106"/>
  <c r="S3" i="105"/>
  <c r="T3"/>
  <c r="U3"/>
  <c r="T5"/>
  <c r="U5"/>
  <c r="S3" i="110"/>
  <c r="T3"/>
  <c r="U3"/>
  <c r="D23" i="89"/>
  <c r="D19" i="90"/>
  <c r="D51" i="107"/>
  <c r="U11" i="88"/>
  <c r="V11"/>
  <c r="Q11"/>
  <c r="U10"/>
  <c r="V10"/>
  <c r="Q10"/>
  <c r="U9"/>
  <c r="V9"/>
  <c r="Q9"/>
  <c r="I260" i="119"/>
  <c r="J260"/>
  <c r="I263"/>
  <c r="J263"/>
  <c r="I264"/>
  <c r="J264"/>
  <c r="J258"/>
  <c r="I258"/>
  <c r="I257"/>
  <c r="J257"/>
  <c r="I262"/>
  <c r="J262"/>
  <c r="J261"/>
  <c r="I261"/>
  <c r="I259"/>
  <c r="J259"/>
  <c r="U22" i="110"/>
  <c r="G109" i="119"/>
  <c r="H109"/>
  <c r="U23" i="110"/>
  <c r="G110" i="119"/>
  <c r="H110"/>
  <c r="E26" i="88"/>
  <c r="H26"/>
  <c r="D73" i="116"/>
  <c r="U71"/>
  <c r="T71"/>
  <c r="V71"/>
  <c r="U70"/>
  <c r="T70"/>
  <c r="V70"/>
  <c r="U69"/>
  <c r="T69"/>
  <c r="V69"/>
  <c r="U68"/>
  <c r="T68"/>
  <c r="V68"/>
  <c r="U64"/>
  <c r="T64"/>
  <c r="V64"/>
  <c r="U63"/>
  <c r="T63"/>
  <c r="V63"/>
  <c r="U62"/>
  <c r="T62"/>
  <c r="V62"/>
  <c r="U61"/>
  <c r="T61"/>
  <c r="V61"/>
  <c r="U55"/>
  <c r="T55"/>
  <c r="V55"/>
  <c r="U54"/>
  <c r="T54"/>
  <c r="V54"/>
  <c r="U53"/>
  <c r="T53"/>
  <c r="V53"/>
  <c r="U52"/>
  <c r="T52"/>
  <c r="V52"/>
  <c r="U48"/>
  <c r="T48"/>
  <c r="V48"/>
  <c r="U47"/>
  <c r="T47"/>
  <c r="V47"/>
  <c r="U46"/>
  <c r="T46"/>
  <c r="V46"/>
  <c r="U45"/>
  <c r="T45"/>
  <c r="V45"/>
  <c r="U39"/>
  <c r="T39"/>
  <c r="V39"/>
  <c r="U38"/>
  <c r="T38"/>
  <c r="V38"/>
  <c r="U37"/>
  <c r="T37"/>
  <c r="V37"/>
  <c r="U36"/>
  <c r="T36"/>
  <c r="V36"/>
  <c r="U32"/>
  <c r="T32"/>
  <c r="V32"/>
  <c r="U31"/>
  <c r="T31"/>
  <c r="V31"/>
  <c r="U30"/>
  <c r="T30"/>
  <c r="V30"/>
  <c r="U29"/>
  <c r="T29"/>
  <c r="V29"/>
  <c r="U23"/>
  <c r="T23"/>
  <c r="V23"/>
  <c r="U22"/>
  <c r="T22"/>
  <c r="V22"/>
  <c r="U21"/>
  <c r="T21"/>
  <c r="V21"/>
  <c r="U20"/>
  <c r="T20"/>
  <c r="V20"/>
  <c r="U16"/>
  <c r="T16"/>
  <c r="V16"/>
  <c r="U15"/>
  <c r="T15"/>
  <c r="V15"/>
  <c r="U14"/>
  <c r="T14"/>
  <c r="U13"/>
  <c r="T13"/>
  <c r="V13"/>
  <c r="E5"/>
  <c r="V4"/>
  <c r="U4"/>
  <c r="V2"/>
  <c r="U2"/>
  <c r="T2"/>
  <c r="D21" i="88"/>
  <c r="T89" i="114"/>
  <c r="S89"/>
  <c r="T88"/>
  <c r="S88"/>
  <c r="T87"/>
  <c r="S87"/>
  <c r="T86"/>
  <c r="S86"/>
  <c r="T82"/>
  <c r="S82"/>
  <c r="T81"/>
  <c r="S81"/>
  <c r="T80"/>
  <c r="S80"/>
  <c r="T79"/>
  <c r="S79"/>
  <c r="G249" i="119"/>
  <c r="H249"/>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c r="T23"/>
  <c r="S23"/>
  <c r="T22"/>
  <c r="S22"/>
  <c r="U22"/>
  <c r="T18"/>
  <c r="S18"/>
  <c r="T17"/>
  <c r="S17"/>
  <c r="T16"/>
  <c r="S16"/>
  <c r="G219" i="119"/>
  <c r="H219"/>
  <c r="T15" i="114"/>
  <c r="S15"/>
  <c r="G218" i="119"/>
  <c r="H218"/>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c r="H194"/>
  <c r="T16" i="115"/>
  <c r="S16"/>
  <c r="G193" i="119"/>
  <c r="H193"/>
  <c r="E6" i="115"/>
  <c r="U5"/>
  <c r="T5"/>
  <c r="E18" i="88"/>
  <c r="U3" i="115"/>
  <c r="T3"/>
  <c r="S3"/>
  <c r="D17" i="88"/>
  <c r="D16"/>
  <c r="D15"/>
  <c r="U35" i="115"/>
  <c r="G204" i="119"/>
  <c r="H204"/>
  <c r="U58" i="115"/>
  <c r="G216" i="119"/>
  <c r="H216"/>
  <c r="U41" i="114"/>
  <c r="G232" i="119"/>
  <c r="H232"/>
  <c r="U66" i="114"/>
  <c r="G244" i="119"/>
  <c r="H244"/>
  <c r="U18" i="115"/>
  <c r="G195" i="119"/>
  <c r="H195"/>
  <c r="U41" i="115"/>
  <c r="G207" i="119"/>
  <c r="H207"/>
  <c r="U50" i="115"/>
  <c r="G211" i="119"/>
  <c r="H211"/>
  <c r="U65" i="114"/>
  <c r="G243" i="119"/>
  <c r="H243"/>
  <c r="I110"/>
  <c r="J110"/>
  <c r="J193"/>
  <c r="I193"/>
  <c r="U32" i="115"/>
  <c r="G201" i="119"/>
  <c r="H201"/>
  <c r="U39" i="115"/>
  <c r="G205" i="119"/>
  <c r="H205"/>
  <c r="U48" i="115"/>
  <c r="G209" i="119"/>
  <c r="H209"/>
  <c r="U55" i="115"/>
  <c r="G213" i="119"/>
  <c r="H213"/>
  <c r="U31" i="114"/>
  <c r="G225" i="119"/>
  <c r="H225"/>
  <c r="U47" i="114"/>
  <c r="G233" i="119"/>
  <c r="H233"/>
  <c r="U54" i="114"/>
  <c r="G237" i="119"/>
  <c r="H237"/>
  <c r="U70" i="114"/>
  <c r="G245" i="119"/>
  <c r="H245"/>
  <c r="U82" i="114"/>
  <c r="G252" i="119"/>
  <c r="H252"/>
  <c r="U89" i="114"/>
  <c r="G256" i="119"/>
  <c r="H256"/>
  <c r="U26" i="115"/>
  <c r="G200" i="119"/>
  <c r="H200"/>
  <c r="U18" i="114"/>
  <c r="G221" i="119"/>
  <c r="H221"/>
  <c r="U50" i="114"/>
  <c r="G236" i="119"/>
  <c r="H236"/>
  <c r="U81" i="114"/>
  <c r="G251" i="119"/>
  <c r="H251"/>
  <c r="U34" i="115"/>
  <c r="G203" i="119"/>
  <c r="H203"/>
  <c r="U17" i="114"/>
  <c r="G220" i="119"/>
  <c r="H220"/>
  <c r="U49" i="114"/>
  <c r="G235" i="119"/>
  <c r="H235"/>
  <c r="U80" i="114"/>
  <c r="G250" i="119"/>
  <c r="H250"/>
  <c r="I194"/>
  <c r="J194"/>
  <c r="U24" i="115"/>
  <c r="G198" i="119"/>
  <c r="H198"/>
  <c r="U33" i="115"/>
  <c r="G202" i="119"/>
  <c r="H202"/>
  <c r="U40" i="115"/>
  <c r="G206" i="119"/>
  <c r="H206"/>
  <c r="U49" i="115"/>
  <c r="G210" i="119"/>
  <c r="H210"/>
  <c r="U56" i="115"/>
  <c r="G214" i="119"/>
  <c r="H214"/>
  <c r="I219"/>
  <c r="J219"/>
  <c r="U23" i="114"/>
  <c r="G222" i="119"/>
  <c r="H222"/>
  <c r="U39" i="114"/>
  <c r="G230" i="119"/>
  <c r="H230"/>
  <c r="U48" i="114"/>
  <c r="G234" i="119"/>
  <c r="H234"/>
  <c r="U55" i="114"/>
  <c r="G238" i="119"/>
  <c r="H238"/>
  <c r="U64" i="114"/>
  <c r="G242" i="119"/>
  <c r="H242"/>
  <c r="U71" i="114"/>
  <c r="G246" i="119"/>
  <c r="H246"/>
  <c r="I249"/>
  <c r="J249"/>
  <c r="U86" i="114"/>
  <c r="G253" i="119"/>
  <c r="H253"/>
  <c r="U42" i="115"/>
  <c r="G208" i="119"/>
  <c r="H208"/>
  <c r="U25" i="114"/>
  <c r="G224" i="119"/>
  <c r="H224"/>
  <c r="U57" i="114"/>
  <c r="G240" i="119"/>
  <c r="H240"/>
  <c r="U88" i="114"/>
  <c r="G255" i="119"/>
  <c r="H255"/>
  <c r="I109"/>
  <c r="J109"/>
  <c r="U25" i="115"/>
  <c r="G199" i="119"/>
  <c r="H199"/>
  <c r="U57" i="115"/>
  <c r="G215" i="119"/>
  <c r="H215"/>
  <c r="U40" i="114"/>
  <c r="G231" i="119"/>
  <c r="H231"/>
  <c r="U72" i="114"/>
  <c r="G247" i="119"/>
  <c r="H247"/>
  <c r="U19" i="115"/>
  <c r="G196" i="119"/>
  <c r="H196"/>
  <c r="U51" i="115"/>
  <c r="G212" i="119"/>
  <c r="H212"/>
  <c r="U73" i="114"/>
  <c r="G248" i="119"/>
  <c r="H248"/>
  <c r="U56" i="114"/>
  <c r="G239" i="119"/>
  <c r="H239"/>
  <c r="U87" i="114"/>
  <c r="G254" i="119"/>
  <c r="H254"/>
  <c r="U23" i="115"/>
  <c r="G197" i="119"/>
  <c r="H197"/>
  <c r="J218"/>
  <c r="I218"/>
  <c r="U38" i="114"/>
  <c r="G229" i="119"/>
  <c r="H229"/>
  <c r="U63" i="114"/>
  <c r="G241" i="119"/>
  <c r="H241"/>
  <c r="U34" i="114"/>
  <c r="G228" i="119"/>
  <c r="H228"/>
  <c r="U33" i="114"/>
  <c r="G227" i="119"/>
  <c r="H227"/>
  <c r="U32" i="114"/>
  <c r="G226" i="119"/>
  <c r="H226"/>
  <c r="U17" i="115"/>
  <c r="U16" i="114"/>
  <c r="S7"/>
  <c r="T4" i="115"/>
  <c r="E19" i="88"/>
  <c r="U16" i="115"/>
  <c r="S4"/>
  <c r="E5"/>
  <c r="T3" i="114"/>
  <c r="U15"/>
  <c r="S3"/>
  <c r="U3" i="116"/>
  <c r="E21" i="88"/>
  <c r="V14" i="116"/>
  <c r="V3"/>
  <c r="H21" i="88"/>
  <c r="T3" i="116"/>
  <c r="U79" i="114"/>
  <c r="D59" i="113"/>
  <c r="T57"/>
  <c r="S57"/>
  <c r="T56"/>
  <c r="S56"/>
  <c r="T55"/>
  <c r="S55"/>
  <c r="T54"/>
  <c r="S54"/>
  <c r="T50"/>
  <c r="S50"/>
  <c r="T49"/>
  <c r="S49"/>
  <c r="T48"/>
  <c r="S48"/>
  <c r="T47"/>
  <c r="S47"/>
  <c r="T41"/>
  <c r="S41"/>
  <c r="T40"/>
  <c r="S40"/>
  <c r="T39"/>
  <c r="S39"/>
  <c r="T38"/>
  <c r="S38"/>
  <c r="T34"/>
  <c r="S34"/>
  <c r="T33"/>
  <c r="S33"/>
  <c r="T32"/>
  <c r="S32"/>
  <c r="T31"/>
  <c r="S31"/>
  <c r="G169" i="119"/>
  <c r="H169"/>
  <c r="T25" i="113"/>
  <c r="S25"/>
  <c r="T24"/>
  <c r="S24"/>
  <c r="T23"/>
  <c r="S23"/>
  <c r="T22"/>
  <c r="S22"/>
  <c r="T18"/>
  <c r="S18"/>
  <c r="T17"/>
  <c r="S17"/>
  <c r="T16"/>
  <c r="S16"/>
  <c r="G162" i="119"/>
  <c r="H162"/>
  <c r="T15" i="113"/>
  <c r="S15"/>
  <c r="G161" i="119"/>
  <c r="H16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c r="H131"/>
  <c r="T16" i="112"/>
  <c r="S16"/>
  <c r="T15"/>
  <c r="S15"/>
  <c r="U4"/>
  <c r="T4"/>
  <c r="U2"/>
  <c r="T2"/>
  <c r="S2"/>
  <c r="D13" i="88"/>
  <c r="D12"/>
  <c r="D11"/>
  <c r="D10"/>
  <c r="T27" i="109"/>
  <c r="S27"/>
  <c r="G24" i="119"/>
  <c r="H24"/>
  <c r="T26" i="109"/>
  <c r="S26"/>
  <c r="G23" i="119"/>
  <c r="H23"/>
  <c r="T25" i="109"/>
  <c r="S25"/>
  <c r="G22" i="119"/>
  <c r="H22"/>
  <c r="T24" i="109"/>
  <c r="S24"/>
  <c r="G21" i="119"/>
  <c r="H21"/>
  <c r="T13" i="109"/>
  <c r="S13"/>
  <c r="I212" i="119"/>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c r="U18" i="113"/>
  <c r="G164" i="119"/>
  <c r="H164"/>
  <c r="U34" i="113"/>
  <c r="G172" i="119"/>
  <c r="H172"/>
  <c r="U50" i="113"/>
  <c r="G180" i="119"/>
  <c r="H180"/>
  <c r="U57" i="113"/>
  <c r="G184" i="119"/>
  <c r="H184"/>
  <c r="U22" i="112"/>
  <c r="G133" i="119"/>
  <c r="H133"/>
  <c r="U47" i="112"/>
  <c r="G145" i="119"/>
  <c r="H145"/>
  <c r="U17" i="113"/>
  <c r="G163" i="119"/>
  <c r="H163"/>
  <c r="U40" i="113"/>
  <c r="G175" i="119"/>
  <c r="H175"/>
  <c r="U18" i="112"/>
  <c r="G132" i="119"/>
  <c r="H132"/>
  <c r="U41" i="112"/>
  <c r="G144" i="119"/>
  <c r="H144"/>
  <c r="U66" i="112"/>
  <c r="G156" i="119"/>
  <c r="H156"/>
  <c r="U23" i="113"/>
  <c r="G166" i="119"/>
  <c r="H166"/>
  <c r="U32" i="113"/>
  <c r="G170" i="119"/>
  <c r="H170"/>
  <c r="U39" i="113"/>
  <c r="G174" i="119"/>
  <c r="H174"/>
  <c r="U48" i="113"/>
  <c r="G178" i="119"/>
  <c r="H178"/>
  <c r="U55" i="113"/>
  <c r="G182" i="119"/>
  <c r="H182"/>
  <c r="U24" i="113"/>
  <c r="G167" i="119"/>
  <c r="H167"/>
  <c r="U50" i="112"/>
  <c r="G148" i="119"/>
  <c r="H148"/>
  <c r="U24" i="112"/>
  <c r="G135" i="119"/>
  <c r="H135"/>
  <c r="U33" i="112"/>
  <c r="G139" i="119"/>
  <c r="H139"/>
  <c r="U40" i="112"/>
  <c r="G143" i="119"/>
  <c r="H143"/>
  <c r="U49" i="112"/>
  <c r="G147" i="119"/>
  <c r="H147"/>
  <c r="U56" i="112"/>
  <c r="G151" i="119"/>
  <c r="H151"/>
  <c r="U65" i="112"/>
  <c r="G155" i="119"/>
  <c r="H155"/>
  <c r="U72" i="112"/>
  <c r="G159" i="119"/>
  <c r="H159"/>
  <c r="U25" i="113"/>
  <c r="G168" i="119"/>
  <c r="H168"/>
  <c r="S7" i="112"/>
  <c r="G129" i="119"/>
  <c r="H129"/>
  <c r="U38" i="112"/>
  <c r="G141" i="119"/>
  <c r="H141"/>
  <c r="U63" i="112"/>
  <c r="G153" i="119"/>
  <c r="H153"/>
  <c r="U49" i="113"/>
  <c r="G179" i="119"/>
  <c r="H179"/>
  <c r="U34" i="112"/>
  <c r="G140" i="119"/>
  <c r="H140"/>
  <c r="U73" i="112"/>
  <c r="G160" i="119"/>
  <c r="H160"/>
  <c r="U38" i="113"/>
  <c r="G173" i="119"/>
  <c r="H173"/>
  <c r="U47" i="113"/>
  <c r="G177" i="119"/>
  <c r="H177"/>
  <c r="U54" i="113"/>
  <c r="G181" i="119"/>
  <c r="H181"/>
  <c r="U41" i="113"/>
  <c r="G176" i="119"/>
  <c r="H176"/>
  <c r="U31" i="112"/>
  <c r="G137" i="119"/>
  <c r="H137"/>
  <c r="U54" i="112"/>
  <c r="G149" i="119"/>
  <c r="H149"/>
  <c r="U70" i="112"/>
  <c r="G157" i="119"/>
  <c r="H157"/>
  <c r="U33" i="113"/>
  <c r="G171" i="119"/>
  <c r="H171"/>
  <c r="U56" i="113"/>
  <c r="G183" i="119"/>
  <c r="H183"/>
  <c r="U25" i="112"/>
  <c r="G136" i="119"/>
  <c r="H136"/>
  <c r="U57" i="112"/>
  <c r="G152" i="119"/>
  <c r="H152"/>
  <c r="U22" i="113"/>
  <c r="G165" i="119"/>
  <c r="H165"/>
  <c r="U16" i="112"/>
  <c r="G130" i="119"/>
  <c r="H130"/>
  <c r="U23" i="112"/>
  <c r="G134" i="119"/>
  <c r="H134"/>
  <c r="U32" i="112"/>
  <c r="G138" i="119"/>
  <c r="H138"/>
  <c r="U39" i="112"/>
  <c r="G142" i="119"/>
  <c r="H142"/>
  <c r="U48" i="112"/>
  <c r="G146" i="119"/>
  <c r="H146"/>
  <c r="U55" i="112"/>
  <c r="G150" i="119"/>
  <c r="H150"/>
  <c r="U64" i="112"/>
  <c r="G154" i="119"/>
  <c r="H154"/>
  <c r="U71" i="112"/>
  <c r="G158" i="119"/>
  <c r="H158"/>
  <c r="U31" i="113"/>
  <c r="U4" i="115"/>
  <c r="U6"/>
  <c r="S7" i="113"/>
  <c r="U17" i="112"/>
  <c r="S9"/>
  <c r="U24" i="109"/>
  <c r="V24"/>
  <c r="U25"/>
  <c r="V25"/>
  <c r="U26"/>
  <c r="V26"/>
  <c r="U27"/>
  <c r="V27"/>
  <c r="U16" i="113"/>
  <c r="T5" i="114"/>
  <c r="U5" i="116"/>
  <c r="T6" i="115"/>
  <c r="T3" i="112"/>
  <c r="T5"/>
  <c r="V5" i="116"/>
  <c r="T5"/>
  <c r="M5"/>
  <c r="T3" i="113"/>
  <c r="T5"/>
  <c r="T3" i="109"/>
  <c r="U13"/>
  <c r="V19"/>
  <c r="S3"/>
  <c r="U15" i="113"/>
  <c r="S3"/>
  <c r="U15" i="112"/>
  <c r="S3"/>
  <c r="S6" i="115"/>
  <c r="M6"/>
  <c r="S5"/>
  <c r="M5"/>
  <c r="U3" i="114"/>
  <c r="T4" i="116"/>
  <c r="M4"/>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c r="H107"/>
  <c r="T16" i="110"/>
  <c r="S16"/>
  <c r="T15"/>
  <c r="S15"/>
  <c r="U5"/>
  <c r="T5"/>
  <c r="D29" i="109"/>
  <c r="U4"/>
  <c r="T4"/>
  <c r="U2"/>
  <c r="T2"/>
  <c r="S2"/>
  <c r="T37" i="108"/>
  <c r="S37"/>
  <c r="T31"/>
  <c r="S31"/>
  <c r="D39"/>
  <c r="T25"/>
  <c r="S25"/>
  <c r="G12" i="119"/>
  <c r="H12"/>
  <c r="T19" i="108"/>
  <c r="S19"/>
  <c r="G11" i="119"/>
  <c r="H11"/>
  <c r="T13" i="108"/>
  <c r="S13"/>
  <c r="U4"/>
  <c r="T4"/>
  <c r="U2"/>
  <c r="T2"/>
  <c r="S2"/>
  <c r="T49" i="107"/>
  <c r="S49"/>
  <c r="G9" i="119"/>
  <c r="H9"/>
  <c r="T43" i="107"/>
  <c r="S43"/>
  <c r="G8" i="119"/>
  <c r="H8"/>
  <c r="T37" i="107"/>
  <c r="S37"/>
  <c r="G7" i="119"/>
  <c r="H7"/>
  <c r="T31" i="107"/>
  <c r="S31"/>
  <c r="G6" i="119"/>
  <c r="H6"/>
  <c r="T19" i="107"/>
  <c r="S19"/>
  <c r="G4" i="119"/>
  <c r="H4"/>
  <c r="S13" i="107"/>
  <c r="T13"/>
  <c r="T25"/>
  <c r="S25"/>
  <c r="G5" i="119"/>
  <c r="H5"/>
  <c r="U4" i="107"/>
  <c r="T4"/>
  <c r="U2"/>
  <c r="T2"/>
  <c r="S2"/>
  <c r="T63" i="106"/>
  <c r="S63"/>
  <c r="T62"/>
  <c r="S62"/>
  <c r="T61"/>
  <c r="S61"/>
  <c r="T60"/>
  <c r="S60"/>
  <c r="T55"/>
  <c r="S55"/>
  <c r="T54"/>
  <c r="S54"/>
  <c r="T53"/>
  <c r="S53"/>
  <c r="T52"/>
  <c r="S52"/>
  <c r="G49" i="119"/>
  <c r="H49"/>
  <c r="S2" i="106"/>
  <c r="U2"/>
  <c r="T2"/>
  <c r="T45"/>
  <c r="S45"/>
  <c r="T44"/>
  <c r="S44"/>
  <c r="T43"/>
  <c r="S43"/>
  <c r="G46" i="119"/>
  <c r="H46"/>
  <c r="G41"/>
  <c r="H41"/>
  <c r="T40" i="106"/>
  <c r="S40"/>
  <c r="T39"/>
  <c r="S39"/>
  <c r="T38"/>
  <c r="S38"/>
  <c r="T37"/>
  <c r="S37"/>
  <c r="T33"/>
  <c r="S33"/>
  <c r="T32"/>
  <c r="S32"/>
  <c r="T31"/>
  <c r="S31"/>
  <c r="T30"/>
  <c r="S30"/>
  <c r="G33" i="119"/>
  <c r="H33"/>
  <c r="T23" i="106"/>
  <c r="S23"/>
  <c r="T22"/>
  <c r="S22"/>
  <c r="T21"/>
  <c r="S21"/>
  <c r="T20"/>
  <c r="S20"/>
  <c r="T16"/>
  <c r="S16"/>
  <c r="T15"/>
  <c r="S15"/>
  <c r="T14"/>
  <c r="S14"/>
  <c r="T13"/>
  <c r="S13"/>
  <c r="G25" i="119"/>
  <c r="H25"/>
  <c r="U4" i="106"/>
  <c r="T4"/>
  <c r="T5" i="95"/>
  <c r="U5"/>
  <c r="U3"/>
  <c r="T3"/>
  <c r="S3"/>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c r="G13" i="119"/>
  <c r="H13"/>
  <c r="G14"/>
  <c r="H14"/>
  <c r="U54" i="106"/>
  <c r="G51" i="119"/>
  <c r="H51"/>
  <c r="U33" i="106"/>
  <c r="G36" i="119"/>
  <c r="H36"/>
  <c r="U45" i="106"/>
  <c r="G48" i="119"/>
  <c r="H48"/>
  <c r="U24" i="110"/>
  <c r="G111" i="119"/>
  <c r="H111"/>
  <c r="U49" i="110"/>
  <c r="G123" i="119"/>
  <c r="H123"/>
  <c r="U15" i="106"/>
  <c r="G27" i="119"/>
  <c r="H27"/>
  <c r="U44" i="106"/>
  <c r="G47" i="119"/>
  <c r="H47"/>
  <c r="U18" i="110"/>
  <c r="G108" i="119"/>
  <c r="H108"/>
  <c r="U32" i="110"/>
  <c r="G114" i="119"/>
  <c r="H114"/>
  <c r="U39" i="110"/>
  <c r="G118" i="119"/>
  <c r="H118"/>
  <c r="U48" i="110"/>
  <c r="G122" i="119"/>
  <c r="H122"/>
  <c r="U55" i="110"/>
  <c r="G126" i="119"/>
  <c r="H126"/>
  <c r="U60" i="106"/>
  <c r="G53" i="119"/>
  <c r="H53"/>
  <c r="U62" i="106"/>
  <c r="G55" i="119"/>
  <c r="H55"/>
  <c r="U16" i="106"/>
  <c r="G28" i="119"/>
  <c r="H28"/>
  <c r="G44"/>
  <c r="H44"/>
  <c r="U33" i="110"/>
  <c r="G115" i="119"/>
  <c r="H115"/>
  <c r="U32" i="106"/>
  <c r="G35" i="119"/>
  <c r="H35"/>
  <c r="G43"/>
  <c r="H43"/>
  <c r="U21" i="106"/>
  <c r="G30" i="119"/>
  <c r="H30"/>
  <c r="U31" i="106"/>
  <c r="G34" i="119"/>
  <c r="H34"/>
  <c r="U38" i="106"/>
  <c r="G38" i="119"/>
  <c r="H38"/>
  <c r="G42"/>
  <c r="H42"/>
  <c r="U31" i="110"/>
  <c r="G113" i="119"/>
  <c r="H113"/>
  <c r="U38" i="110"/>
  <c r="G117" i="119"/>
  <c r="H117"/>
  <c r="U47" i="110"/>
  <c r="G121" i="119"/>
  <c r="H121"/>
  <c r="U54" i="110"/>
  <c r="G125" i="119"/>
  <c r="H125"/>
  <c r="U40" i="106"/>
  <c r="G40" i="119"/>
  <c r="H40"/>
  <c r="U53" i="106"/>
  <c r="G50" i="119"/>
  <c r="H50"/>
  <c r="U22" i="106"/>
  <c r="G31" i="119"/>
  <c r="H31"/>
  <c r="U55" i="106"/>
  <c r="G52" i="119"/>
  <c r="H52"/>
  <c r="U23" i="106"/>
  <c r="G32" i="119"/>
  <c r="H32"/>
  <c r="S7" i="110"/>
  <c r="G105" i="119"/>
  <c r="H105"/>
  <c r="U40" i="110"/>
  <c r="G119" i="119"/>
  <c r="H119"/>
  <c r="U56" i="110"/>
  <c r="G127" i="119"/>
  <c r="H127"/>
  <c r="U61" i="106"/>
  <c r="G54" i="119"/>
  <c r="H54"/>
  <c r="U39" i="106"/>
  <c r="G39" i="119"/>
  <c r="H39"/>
  <c r="U14" i="106"/>
  <c r="G26" i="119"/>
  <c r="H26"/>
  <c r="U63" i="106"/>
  <c r="G56" i="119"/>
  <c r="H56"/>
  <c r="U20" i="106"/>
  <c r="V23"/>
  <c r="G29" i="119"/>
  <c r="H29"/>
  <c r="U37" i="106"/>
  <c r="G37" i="119"/>
  <c r="H37"/>
  <c r="G45"/>
  <c r="H45"/>
  <c r="U16" i="110"/>
  <c r="G106" i="119"/>
  <c r="H106"/>
  <c r="U25" i="110"/>
  <c r="G112" i="119"/>
  <c r="H112"/>
  <c r="U34" i="110"/>
  <c r="G116" i="119"/>
  <c r="H116"/>
  <c r="U41" i="110"/>
  <c r="G120" i="119"/>
  <c r="H120"/>
  <c r="U50" i="110"/>
  <c r="G124" i="119"/>
  <c r="H124"/>
  <c r="U57" i="110"/>
  <c r="G128" i="119"/>
  <c r="H128"/>
  <c r="U43" i="106"/>
  <c r="S7"/>
  <c r="H19" i="88"/>
  <c r="G3" i="119"/>
  <c r="H3"/>
  <c r="G10"/>
  <c r="H10"/>
  <c r="U3" i="112"/>
  <c r="H16" i="88"/>
  <c r="U3" i="113"/>
  <c r="U5"/>
  <c r="V28" i="109"/>
  <c r="E16" i="88"/>
  <c r="V13" i="109"/>
  <c r="U30" i="106"/>
  <c r="U52"/>
  <c r="V60"/>
  <c r="U3" i="109"/>
  <c r="U5"/>
  <c r="T3" i="106"/>
  <c r="T5"/>
  <c r="U17" i="110"/>
  <c r="U31" i="108"/>
  <c r="U37"/>
  <c r="U19"/>
  <c r="U25"/>
  <c r="U5" i="114"/>
  <c r="S5"/>
  <c r="M5"/>
  <c r="U31" i="107"/>
  <c r="U49"/>
  <c r="U43"/>
  <c r="U37"/>
  <c r="U25"/>
  <c r="U19"/>
  <c r="E4" i="112"/>
  <c r="T4" i="110"/>
  <c r="T6"/>
  <c r="S5" i="113"/>
  <c r="U13" i="106"/>
  <c r="S3"/>
  <c r="U13" i="107"/>
  <c r="S3"/>
  <c r="U13" i="108"/>
  <c r="S3"/>
  <c r="U15" i="110"/>
  <c r="S4"/>
  <c r="E4"/>
  <c r="E17" i="88"/>
  <c r="S4" i="112"/>
  <c r="M4"/>
  <c r="E4" i="113"/>
  <c r="S4"/>
  <c r="M4"/>
  <c r="T5" i="109"/>
  <c r="E11" i="88"/>
  <c r="E4" i="109"/>
  <c r="D57" i="105"/>
  <c r="T55"/>
  <c r="S55"/>
  <c r="T54"/>
  <c r="S54"/>
  <c r="T53"/>
  <c r="S53"/>
  <c r="T52"/>
  <c r="S52"/>
  <c r="T48"/>
  <c r="U48"/>
  <c r="T47"/>
  <c r="S47"/>
  <c r="T46"/>
  <c r="S46"/>
  <c r="T45"/>
  <c r="S45"/>
  <c r="T39"/>
  <c r="S39"/>
  <c r="U39"/>
  <c r="T38"/>
  <c r="S38"/>
  <c r="U38"/>
  <c r="T37"/>
  <c r="S37"/>
  <c r="U37"/>
  <c r="T36"/>
  <c r="S36"/>
  <c r="T32"/>
  <c r="S32"/>
  <c r="T31"/>
  <c r="S31"/>
  <c r="T30"/>
  <c r="S30"/>
  <c r="T29"/>
  <c r="S29"/>
  <c r="T23"/>
  <c r="S23"/>
  <c r="T22"/>
  <c r="S22"/>
  <c r="T21"/>
  <c r="S21"/>
  <c r="T20"/>
  <c r="S20"/>
  <c r="G61" i="119"/>
  <c r="H61"/>
  <c r="T16" i="105"/>
  <c r="S16"/>
  <c r="T15"/>
  <c r="S15"/>
  <c r="T14"/>
  <c r="S14"/>
  <c r="G58" i="119"/>
  <c r="H58"/>
  <c r="T13" i="105"/>
  <c r="S13"/>
  <c r="G57" i="119"/>
  <c r="H57"/>
  <c r="S6" i="107"/>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c r="U16" i="105"/>
  <c r="G60" i="119"/>
  <c r="H60"/>
  <c r="U23" i="105"/>
  <c r="G64" i="119"/>
  <c r="H64"/>
  <c r="U15" i="105"/>
  <c r="G59" i="119"/>
  <c r="H59"/>
  <c r="U22" i="105"/>
  <c r="G63" i="119"/>
  <c r="H63"/>
  <c r="U31" i="105"/>
  <c r="G67" i="119"/>
  <c r="H67"/>
  <c r="G71"/>
  <c r="H71"/>
  <c r="U47" i="105"/>
  <c r="G75" i="119"/>
  <c r="H75"/>
  <c r="U54" i="105"/>
  <c r="G79" i="119"/>
  <c r="H79"/>
  <c r="V55" i="106"/>
  <c r="U32" i="105"/>
  <c r="G68" i="119"/>
  <c r="H68"/>
  <c r="G72"/>
  <c r="H72"/>
  <c r="W40" i="106"/>
  <c r="U52" i="105"/>
  <c r="G77" i="119"/>
  <c r="H77"/>
  <c r="U55" i="105"/>
  <c r="G80" i="119"/>
  <c r="H80"/>
  <c r="U21" i="105"/>
  <c r="G62" i="119"/>
  <c r="H62"/>
  <c r="U30" i="105"/>
  <c r="G66" i="119"/>
  <c r="H66"/>
  <c r="G70"/>
  <c r="H70"/>
  <c r="U53" i="105"/>
  <c r="G78" i="119"/>
  <c r="H78"/>
  <c r="U36" i="105"/>
  <c r="G69" i="119"/>
  <c r="H69"/>
  <c r="U45" i="105"/>
  <c r="G73" i="119"/>
  <c r="H73"/>
  <c r="U46" i="105"/>
  <c r="G74" i="119"/>
  <c r="H74"/>
  <c r="U14" i="105"/>
  <c r="S7"/>
  <c r="U3" i="106"/>
  <c r="U5"/>
  <c r="S5"/>
  <c r="U4" i="110"/>
  <c r="U6"/>
  <c r="S6"/>
  <c r="U5" i="112"/>
  <c r="S5"/>
  <c r="S4" i="109"/>
  <c r="M4"/>
  <c r="H11" i="88"/>
  <c r="H17"/>
  <c r="W45" i="106"/>
  <c r="V33"/>
  <c r="W23"/>
  <c r="V17"/>
  <c r="W63"/>
  <c r="U3" i="108"/>
  <c r="U5"/>
  <c r="T3"/>
  <c r="T5"/>
  <c r="S5" i="109"/>
  <c r="M5"/>
  <c r="T3" i="107"/>
  <c r="E9" i="88"/>
  <c r="U3" i="107"/>
  <c r="U5"/>
  <c r="E15" i="88"/>
  <c r="S4" i="105"/>
  <c r="E4"/>
  <c r="T4"/>
  <c r="T6"/>
  <c r="U13"/>
  <c r="U20"/>
  <c r="S4" i="106"/>
  <c r="M4"/>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c r="H81"/>
  <c r="D14" i="88"/>
  <c r="D7"/>
  <c r="H2"/>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c r="U24" i="95"/>
  <c r="G87" i="119"/>
  <c r="H87"/>
  <c r="U56" i="95"/>
  <c r="G103" i="119"/>
  <c r="H103"/>
  <c r="U32" i="95"/>
  <c r="G90" i="119"/>
  <c r="H90"/>
  <c r="U34" i="95"/>
  <c r="G92" i="119"/>
  <c r="H92"/>
  <c r="U33" i="95"/>
  <c r="G91" i="119"/>
  <c r="H91"/>
  <c r="U40" i="95"/>
  <c r="G95" i="119"/>
  <c r="H95"/>
  <c r="U22" i="95"/>
  <c r="G85" i="119"/>
  <c r="H85"/>
  <c r="U49" i="95"/>
  <c r="G99" i="119"/>
  <c r="H99"/>
  <c r="U16" i="95"/>
  <c r="G82" i="119"/>
  <c r="H82"/>
  <c r="U18" i="95"/>
  <c r="G84" i="119"/>
  <c r="H84"/>
  <c r="U55" i="95"/>
  <c r="G102" i="119"/>
  <c r="H102"/>
  <c r="U31" i="95"/>
  <c r="G89" i="119"/>
  <c r="H89"/>
  <c r="U17" i="95"/>
  <c r="G83" i="119"/>
  <c r="H83"/>
  <c r="U47" i="95"/>
  <c r="G97" i="119"/>
  <c r="H97"/>
  <c r="U54" i="95"/>
  <c r="G101" i="119"/>
  <c r="H101"/>
  <c r="U23" i="95"/>
  <c r="G86" i="119"/>
  <c r="H86"/>
  <c r="U39" i="95"/>
  <c r="G94" i="119"/>
  <c r="H94"/>
  <c r="U25" i="95"/>
  <c r="G88" i="119"/>
  <c r="H88"/>
  <c r="U41" i="95"/>
  <c r="G96" i="119"/>
  <c r="H96"/>
  <c r="U50" i="95"/>
  <c r="G100" i="119"/>
  <c r="H100"/>
  <c r="U57" i="95"/>
  <c r="G104" i="119"/>
  <c r="H104"/>
  <c r="U48" i="95"/>
  <c r="G98" i="119"/>
  <c r="H98"/>
  <c r="H12" i="88"/>
  <c r="S5" i="110"/>
  <c r="S7" i="95"/>
  <c r="H15" i="88"/>
  <c r="H10"/>
  <c r="T4" i="95"/>
  <c r="E14" i="88"/>
  <c r="S5" i="108"/>
  <c r="M5"/>
  <c r="S4"/>
  <c r="E10" i="88"/>
  <c r="E13"/>
  <c r="S4" i="107"/>
  <c r="T5"/>
  <c r="S5"/>
  <c r="M5"/>
  <c r="H9" i="88"/>
  <c r="U4" i="105"/>
  <c r="U15" i="95"/>
  <c r="S4"/>
  <c r="U16" i="88"/>
  <c r="Q16"/>
  <c r="J96" i="119"/>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c r="E27"/>
  <c r="U4" i="95"/>
  <c r="H14" i="88"/>
  <c r="M4" i="108"/>
  <c r="M4" i="107"/>
  <c r="U6" i="105"/>
  <c r="S5"/>
  <c r="M4"/>
  <c r="H13" i="88"/>
  <c r="M5" i="110"/>
  <c r="M4"/>
  <c r="S5" i="95"/>
  <c r="M4"/>
  <c r="E4"/>
  <c r="H23" i="88"/>
  <c r="H25"/>
  <c r="H27"/>
  <c r="U6" i="95"/>
  <c r="S6" i="105"/>
  <c r="M5"/>
  <c r="M5" i="112"/>
  <c r="M5" i="106"/>
  <c r="T6" i="95"/>
  <c r="S6"/>
  <c r="M5"/>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<sst xmlns="http://schemas.openxmlformats.org/spreadsheetml/2006/main" count="4432" uniqueCount="601">
  <si>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</si>
  <si>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</si>
  <si>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</si>
  <si>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</si>
  <si>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</si>
  <si>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</si>
  <si>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</si>
  <si>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</si>
  <si>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</si>
  <si>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</si>
  <si>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</si>
  <si>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</si>
  <si>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</si>
  <si>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</si>
  <si>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</si>
  <si>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</si>
  <si>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</si>
  <si>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</si>
  <si>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</si>
  <si>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</si>
  <si>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</si>
  <si>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</si>
  <si>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</si>
  <si>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</si>
  <si>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</si>
  <si>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</si>
  <si>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</si>
  <si>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</si>
  <si>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</si>
  <si>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</si>
  <si>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</si>
  <si>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</si>
  <si>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</si>
  <si>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</si>
  <si>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</si>
  <si>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</si>
  <si>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</si>
  <si>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</si>
  <si>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</si>
  <si>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</si>
  <si>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</si>
  <si>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</si>
  <si>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</si>
  <si>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</si>
  <si>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</si>
  <si>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</si>
  <si>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</si>
  <si>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</si>
  <si>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</si>
  <si>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</si>
  <si>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</si>
  <si>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</si>
  <si>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</si>
  <si>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</si>
  <si>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</si>
  <si>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</si>
  <si>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</si>
  <si>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</si>
  <si>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</si>
  <si>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</si>
  <si>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</si>
  <si>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</si>
  <si>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</si>
  <si>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</si>
  <si>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</si>
  <si>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</si>
  <si>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</si>
  <si>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</si>
  <si>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</si>
  <si>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</si>
  <si>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</si>
  <si>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</si>
  <si>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</si>
  <si>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</si>
  <si>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</si>
  <si>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</si>
  <si>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</si>
  <si>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</si>
  <si>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</si>
  <si>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</si>
  <si>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</si>
  <si>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</si>
  <si>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</si>
  <si>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</si>
  <si>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</si>
  <si>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</si>
  <si>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</si>
  <si>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</si>
  <si>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</si>
  <si>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</si>
  <si>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</si>
  <si>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</si>
  <si>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</si>
  <si>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</si>
  <si>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</si>
  <si>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</si>
  <si>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</si>
  <si>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</si>
  <si>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</si>
  <si>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</si>
  <si>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</si>
  <si>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</si>
  <si>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</si>
  <si>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</si>
  <si>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</si>
  <si>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</si>
  <si>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</si>
  <si>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</si>
  <si>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</si>
  <si>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</si>
  <si>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</si>
  <si>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</si>
  <si>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</si>
  <si>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</si>
  <si>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</si>
  <si>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</si>
  <si>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</si>
  <si>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</si>
  <si>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</si>
  <si>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</si>
  <si>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</si>
  <si>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</si>
  <si>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</si>
  <si>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</si>
  <si>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</si>
  <si>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</si>
  <si>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</si>
  <si>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</si>
  <si>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</si>
  <si>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</si>
  <si>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</si>
  <si>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</si>
  <si>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</si>
  <si>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</si>
  <si>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</si>
  <si>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</si>
  <si>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</si>
  <si>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</si>
  <si>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</si>
  <si>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</si>
  <si>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</si>
  <si>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</si>
  <si>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</si>
  <si>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</si>
  <si>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</si>
  <si>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</si>
  <si>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</si>
  <si>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</si>
  <si>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</si>
  <si>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</si>
  <si>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</si>
  <si>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</si>
  <si>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</si>
  <si>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</si>
  <si>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</si>
  <si>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</si>
  <si>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</si>
  <si>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</si>
  <si>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</si>
  <si>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</si>
  <si>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</si>
  <si>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</si>
  <si>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</si>
  <si>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</si>
  <si>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</si>
  <si>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</si>
  <si>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</si>
  <si>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</si>
  <si>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</si>
  <si>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</si>
  <si>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</si>
  <si>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</si>
  <si>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</si>
  <si>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</si>
  <si>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</si>
  <si>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</si>
  <si>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</si>
  <si>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</si>
  <si>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</si>
  <si>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</si>
  <si>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</si>
  <si>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</si>
  <si>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</si>
  <si>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</si>
  <si>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</si>
  <si>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</si>
  <si>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</si>
  <si>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</si>
  <si>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</si>
  <si>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</si>
  <si>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</si>
  <si>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</si>
  <si>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</si>
  <si>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</si>
  <si>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</si>
  <si>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</si>
  <si>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</si>
  <si>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</si>
  <si>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</si>
  <si>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</si>
  <si>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</si>
  <si>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</si>
  <si>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</si>
  <si>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</si>
  <si>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</si>
  <si>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</si>
  <si>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</si>
  <si>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</si>
  <si>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</si>
  <si>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</si>
  <si>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</si>
  <si>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</si>
  <si>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</si>
  <si>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</si>
  <si>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</si>
  <si>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</si>
  <si>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</si>
  <si>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</si>
  <si>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</si>
  <si>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</si>
  <si>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</si>
  <si>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</si>
  <si>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</si>
  <si>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</si>
  <si>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</si>
  <si>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</si>
  <si>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</si>
  <si>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</si>
  <si>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</si>
  <si>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</si>
  <si>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</si>
  <si>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</si>
  <si>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</si>
  <si>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</si>
  <si>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</si>
  <si>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</si>
  <si>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</si>
  <si>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</si>
  <si>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</si>
  <si>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</si>
  <si>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</si>
  <si>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</si>
  <si>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</si>
  <si>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</si>
  <si>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</si>
  <si>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</si>
  <si>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</si>
  <si>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</si>
  <si>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</si>
  <si>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</si>
  <si>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</si>
  <si>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</si>
  <si>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</si>
  <si>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</si>
  <si>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</si>
  <si>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</si>
  <si>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</si>
  <si>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</si>
  <si>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</si>
  <si>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</si>
  <si>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</si>
  <si>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</si>
  <si>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</si>
  <si>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</si>
  <si>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</si>
  <si>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</si>
  <si>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</si>
  <si>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</si>
  <si>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</si>
  <si>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</si>
  <si>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</si>
  <si>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</si>
  <si>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</si>
  <si>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</si>
  <si>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</si>
  <si>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</si>
  <si>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</si>
  <si>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</si>
  <si>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</si>
  <si>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</si>
  <si>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</si>
  <si>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</si>
  <si>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</si>
  <si>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</si>
  <si>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</si>
  <si>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</si>
  <si>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</si>
  <si>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</si>
  <si>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</si>
  <si>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</si>
  <si>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</si>
  <si>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</si>
  <si>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</si>
  <si>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</si>
  <si>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</si>
  <si>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</si>
  <si>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</si>
  <si>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</si>
  <si>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</si>
  <si>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</si>
  <si>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</si>
  <si>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</si>
  <si>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</si>
  <si>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</si>
  <si>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</si>
  <si>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</si>
  <si>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</si>
  <si>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</si>
  <si>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</si>
  <si>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</si>
  <si>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</si>
  <si>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</si>
  <si>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</si>
  <si>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</si>
  <si>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</si>
  <si>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</si>
  <si>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</si>
  <si>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</si>
  <si>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</si>
  <si>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</si>
  <si>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</si>
  <si>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</si>
  <si>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</si>
  <si>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</si>
  <si>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</si>
  <si>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</si>
  <si>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</si>
  <si>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</si>
  <si>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</si>
  <si>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</si>
  <si>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</si>
  <si>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</si>
  <si>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</si>
  <si>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</si>
  <si>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</si>
  <si>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</si>
  <si>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</si>
  <si>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</si>
  <si>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</si>
  <si>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</si>
  <si>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</si>
  <si>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</si>
  <si>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</si>
  <si>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</si>
  <si>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</si>
  <si>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</si>
  <si>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</si>
  <si>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</si>
  <si>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</si>
  <si>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</si>
  <si>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</si>
  <si>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</si>
  <si>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</si>
  <si>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</si>
  <si>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</si>
  <si>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</si>
  <si>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</si>
  <si>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</si>
  <si>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</si>
  <si>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</si>
  <si>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</si>
  <si>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</si>
  <si>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</si>
  <si>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</si>
  <si>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</si>
  <si>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</si>
  <si>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</si>
  <si>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</si>
  <si>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</si>
  <si>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</si>
  <si>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</si>
  <si>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</si>
  <si>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</si>
  <si>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</si>
  <si>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</si>
  <si>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</si>
  <si>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</si>
  <si>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</si>
  <si>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</si>
  <si>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</si>
  <si>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</si>
  <si>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</si>
  <si>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</si>
  <si>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</si>
  <si>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</si>
  <si>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</si>
  <si>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</si>
  <si>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</si>
  <si>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</si>
  <si>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</si>
  <si>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</si>
  <si>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</si>
  <si>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</si>
  <si>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</si>
  <si>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</si>
  <si>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</si>
  <si>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</si>
  <si>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</si>
  <si>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</si>
  <si>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</si>
  <si>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</si>
  <si>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</si>
  <si>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</si>
  <si>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</si>
  <si>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</si>
  <si>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</si>
  <si>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</si>
  <si>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</si>
  <si>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</si>
  <si>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</si>
  <si>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</si>
  <si>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</si>
  <si>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</si>
  <si>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</si>
  <si>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</si>
  <si>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</si>
  <si>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</si>
  <si>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</si>
  <si>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</si>
  <si>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</si>
  <si>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</si>
  <si>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</si>
  <si>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</si>
  <si>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</si>
  <si>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</si>
  <si>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</si>
  <si>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</si>
  <si>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</si>
  <si>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</si>
  <si>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</si>
  <si>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</si>
  <si>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</si>
  <si>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</si>
  <si>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</si>
  <si>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</si>
  <si>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</si>
  <si>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</si>
  <si>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</si>
  <si>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</si>
  <si>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</si>
  <si>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</si>
  <si>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</si>
  <si>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</si>
  <si>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</si>
  <si>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</si>
  <si>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</si>
  <si>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</si>
  <si>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</si>
  <si>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</si>
  <si>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</si>
  <si>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</si>
  <si>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</si>
  <si>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</si>
  <si>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</si>
  <si>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</si>
  <si>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</si>
  <si>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</si>
  <si>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</si>
  <si>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</si>
  <si>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</si>
  <si>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</si>
  <si>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</si>
  <si>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</si>
  <si>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</si>
  <si>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</si>
  <si>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</si>
  <si>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</si>
  <si>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</si>
  <si>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</si>
  <si>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</si>
  <si>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</si>
  <si>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</si>
  <si>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</si>
  <si>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</si>
  <si>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</si>
  <si>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</si>
  <si>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</si>
  <si>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</si>
  <si>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</si>
  <si>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</si>
  <si>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</si>
  <si>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</si>
  <si>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</si>
  <si>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</si>
  <si>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</si>
  <si>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</si>
  <si>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</si>
  <si>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</si>
  <si>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</si>
  <si>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</si>
  <si>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</si>
  <si>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</si>
  <si>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</si>
  <si>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</si>
  <si>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</si>
  <si>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</si>
  <si>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</si>
  <si>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</si>
  <si>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</si>
  <si>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</si>
  <si>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</si>
  <si>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</si>
  <si>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</si>
  <si>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</si>
  <si>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</si>
  <si>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</si>
  <si>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</si>
  <si>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</si>
  <si>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</si>
  <si>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</si>
  <si>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</si>
  <si>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</si>
  <si>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</si>
  <si>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</si>
  <si>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</si>
  <si>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</si>
  <si>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</si>
  <si>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</si>
  <si>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</si>
  <si>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</si>
  <si>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</si>
  <si>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</si>
  <si>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</si>
  <si>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</si>
  <si>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</si>
  <si>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</si>
  <si>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</si>
  <si>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</si>
  <si>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</si>
  <si>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</si>
  <si>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</si>
  <si>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</si>
  <si>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</si>
  <si>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</si>
  <si>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</si>
  <si>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</si>
  <si>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</si>
  <si>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</si>
  <si>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</si>
  <si>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</si>
  <si>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</si>
  <si>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</si>
  <si>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</si>
  <si>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</si>
  <si>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</si>
  <si>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</si>
  <si>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</si>
  <si>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</si>
  <si>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</si>
  <si>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</si>
  <si>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</si>
  <si>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</si>
  <si>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</si>
  <si>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</si>
  <si>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</si>
  <si>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</si>
  <si>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</si>
  <si>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</si>
  <si>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</si>
  <si>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</si>
  <si>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</si>
  <si>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</si>
  <si>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</si>
  <si>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</si>
  <si>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</si>
  <si>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</si>
  <si>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</si>
  <si>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</si>
  <si>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</si>
  <si>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</si>
  <si>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</si>
  <si>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</si>
  <si>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</si>
  <si>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</si>
  <si>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</si>
  <si>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</si>
  <si>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</si>
  <si>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</si>
  <si>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</si>
  <si>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</si>
  <si>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Andrea Gartenbaum</t>
  </si>
  <si>
    <t>Melinda Eden</t>
  </si>
  <si>
    <t>Divisions</t>
  </si>
  <si>
    <t>Operations</t>
  </si>
  <si>
    <t>Environmental Solutions</t>
  </si>
  <si>
    <t>Central Service</t>
  </si>
  <si>
    <t>Brian White</t>
  </si>
  <si>
    <t>Michele Thompson</t>
  </si>
  <si>
    <t>Procurement</t>
  </si>
  <si>
    <t>Greenhouse Gas Permitting - Temporary</t>
  </si>
  <si>
    <t>None</t>
  </si>
  <si>
    <t>Jerry Ebersole</t>
  </si>
  <si>
    <t>Leah Feldon</t>
  </si>
  <si>
    <t>Lydia Emer</t>
  </si>
  <si>
    <t>To be determined</t>
  </si>
  <si>
    <t>Stephanie Caldera</t>
  </si>
  <si>
    <t>Jill Inahara</t>
  </si>
  <si>
    <t>Write rules</t>
  </si>
  <si>
    <t>George Davis</t>
  </si>
  <si>
    <t>GHGTemp</t>
  </si>
  <si>
    <t>Paul Garrahan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</si>
</sst>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0" fontId="18" fillId="2" borderId="1"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vertical="center"/>
      <protection locked="0"/>
    </xf>
    <xf numFmtId="0" fontId="108" fillId="26" borderId="4" xfId="1" applyNumberFormat="1" applyFont="1" applyFill="1" applyBorder="1" applyAlignment="1" applyProtection="1">
      <alignment horizontal="left" vertical="center"/>
    </xf>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164" fontId="8" fillId="4" borderId="0" xfId="0" applyFont="1" applyFill="1" applyBorder="1" applyAlignment="1" applyProtection="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4" fillId="2" borderId="33" xfId="0" applyNumberFormat="1" applyFont="1" applyFill="1" applyBorder="1" applyAlignment="1" applyProtection="1">
      <alignment horizontal="left" vertic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0"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7" customWidth="1"/>
    <col min="2" max="2" width="26.8984375" style="17" customWidth="1"/>
    <col min="3" max="3" width="25.5" style="5" customWidth="1"/>
    <col min="4" max="4" width="17.19921875" style="5" customWidth="1"/>
    <col min="5" max="5" width="9.3984375" style="5" customWidth="1"/>
    <col min="6" max="6" width="15" style="5" bestFit="1" customWidth="1"/>
    <col min="7" max="16384" width="9" style="5"/>
  </cols>
  <sheetData>
    <row r="1" spans="1:6">
      <c r="A1" s="14"/>
      <c r="B1" s="14"/>
      <c r="C1" s="10"/>
      <c r="D1" s="10"/>
      <c r="E1" s="10"/>
    </row>
    <row r="2" spans="1:6">
      <c r="A2" s="14"/>
      <c r="B2" s="14"/>
      <c r="C2" s="10"/>
      <c r="D2" s="10"/>
      <c r="E2" s="10"/>
    </row>
    <row r="3" spans="1:6" ht="22.8">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293</v>
      </c>
      <c r="C13" s="10"/>
      <c r="D13" s="10"/>
      <c r="E13" s="10"/>
      <c r="F13" s="526"/>
    </row>
    <row r="14" spans="1:6">
      <c r="A14" s="15" t="s">
        <v>67</v>
      </c>
      <c r="B14" s="164" t="s">
        <v>68</v>
      </c>
      <c r="C14" s="164" t="s">
        <v>23</v>
      </c>
      <c r="D14" s="164" t="s">
        <v>24</v>
      </c>
      <c r="E14" s="10"/>
      <c r="F14" s="526"/>
    </row>
    <row r="15" spans="1:6">
      <c r="A15" s="20" t="s">
        <v>199</v>
      </c>
      <c r="B15" s="21">
        <v>0</v>
      </c>
      <c r="C15" s="21">
        <v>0</v>
      </c>
      <c r="D15" s="21">
        <v>0</v>
      </c>
      <c r="E15" s="10"/>
      <c r="F15" s="526"/>
    </row>
    <row r="16" spans="1:6">
      <c r="A16" s="20" t="s">
        <v>201</v>
      </c>
      <c r="B16" s="21">
        <v>1</v>
      </c>
      <c r="C16" s="21">
        <v>1</v>
      </c>
      <c r="D16" s="21">
        <v>8</v>
      </c>
      <c r="E16" s="10"/>
      <c r="F16" s="526"/>
    </row>
    <row r="17" spans="1:6">
      <c r="A17" s="20" t="s">
        <v>202</v>
      </c>
      <c r="B17" s="21">
        <v>2</v>
      </c>
      <c r="C17" s="21">
        <v>8</v>
      </c>
      <c r="D17" s="21">
        <v>40</v>
      </c>
      <c r="E17" s="10"/>
      <c r="F17" s="526"/>
    </row>
    <row r="18" spans="1:6">
      <c r="A18" s="20" t="s">
        <v>203</v>
      </c>
      <c r="B18" s="21">
        <v>3</v>
      </c>
      <c r="C18" s="21">
        <v>40</v>
      </c>
      <c r="D18" s="21">
        <v>80</v>
      </c>
      <c r="E18" s="10"/>
      <c r="F18" s="526"/>
    </row>
    <row r="19" spans="1:6">
      <c r="A19" s="20" t="s">
        <v>204</v>
      </c>
      <c r="B19" s="21">
        <v>4</v>
      </c>
      <c r="C19" s="21">
        <v>80</v>
      </c>
      <c r="D19" s="21">
        <v>170</v>
      </c>
      <c r="E19" s="10"/>
      <c r="F19" s="526"/>
    </row>
    <row r="20" spans="1:6">
      <c r="A20" s="20" t="s">
        <v>205</v>
      </c>
      <c r="B20" s="21">
        <v>5</v>
      </c>
      <c r="C20" s="21">
        <v>170</v>
      </c>
      <c r="D20" s="21">
        <v>340</v>
      </c>
      <c r="E20" s="10"/>
      <c r="F20" s="526"/>
    </row>
    <row r="21" spans="1:6">
      <c r="A21" s="20" t="s">
        <v>206</v>
      </c>
      <c r="B21" s="21">
        <v>6</v>
      </c>
      <c r="C21" s="21">
        <v>340</v>
      </c>
      <c r="D21" s="21">
        <v>680</v>
      </c>
      <c r="E21" s="10"/>
      <c r="F21" s="526">
        <v>25</v>
      </c>
    </row>
    <row r="22" spans="1:6">
      <c r="A22" s="20" t="s">
        <v>207</v>
      </c>
      <c r="B22" s="21">
        <v>7</v>
      </c>
      <c r="C22" s="21">
        <v>680</v>
      </c>
      <c r="D22" s="21">
        <v>1020</v>
      </c>
      <c r="E22" s="10"/>
      <c r="F22" s="527">
        <v>0.5</v>
      </c>
    </row>
    <row r="23" spans="1:6">
      <c r="A23" s="20" t="s">
        <v>208</v>
      </c>
      <c r="B23" s="21">
        <v>8</v>
      </c>
      <c r="C23" s="21">
        <v>1020</v>
      </c>
      <c r="D23" s="21">
        <v>1360</v>
      </c>
      <c r="E23" s="10"/>
      <c r="F23" s="526"/>
    </row>
    <row r="24" spans="1:6">
      <c r="A24" s="20" t="s">
        <v>200</v>
      </c>
      <c r="B24" s="21">
        <v>9</v>
      </c>
      <c r="C24" s="21">
        <v>1360</v>
      </c>
      <c r="D24" s="21">
        <v>2080</v>
      </c>
      <c r="E24" s="10"/>
      <c r="F24" s="526"/>
    </row>
    <row r="25" spans="1:6">
      <c r="A25" s="20" t="s">
        <v>209</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520</v>
      </c>
      <c r="B33" s="51"/>
      <c r="C33" s="51"/>
      <c r="D33" s="51"/>
      <c r="E33" s="51"/>
    </row>
    <row r="34" spans="1:5">
      <c r="A34" s="20" t="s">
        <v>521</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226</v>
      </c>
      <c r="B46" s="50"/>
      <c r="C46" s="50"/>
      <c r="D46" s="50"/>
      <c r="E46" s="50"/>
    </row>
    <row r="47" spans="1:5">
      <c r="A47" s="522" t="s">
        <v>184</v>
      </c>
      <c r="B47" s="50"/>
      <c r="C47" s="50"/>
      <c r="D47" s="50"/>
      <c r="E47" s="50"/>
    </row>
    <row r="48" spans="1:5">
      <c r="A48" s="522" t="s">
        <v>227</v>
      </c>
      <c r="B48" s="50"/>
      <c r="C48" s="50"/>
      <c r="D48" s="50"/>
      <c r="E48" s="50"/>
    </row>
    <row r="49" spans="1:5">
      <c r="A49" s="522" t="s">
        <v>228</v>
      </c>
      <c r="B49" s="50"/>
      <c r="C49" s="50"/>
      <c r="D49" s="50"/>
      <c r="E49" s="50"/>
    </row>
    <row r="50" spans="1:5">
      <c r="A50" s="522" t="s">
        <v>229</v>
      </c>
      <c r="B50" s="50"/>
      <c r="C50" s="50"/>
      <c r="D50" s="50"/>
      <c r="E50" s="50"/>
    </row>
    <row r="51" spans="1:5">
      <c r="A51" s="522" t="s">
        <v>230</v>
      </c>
      <c r="B51" s="50"/>
      <c r="C51" s="50"/>
      <c r="D51" s="50"/>
      <c r="E51" s="50"/>
    </row>
    <row r="52" spans="1:5">
      <c r="A52" s="522" t="s">
        <v>231</v>
      </c>
      <c r="B52" s="50"/>
      <c r="C52" s="50"/>
      <c r="D52" s="50"/>
      <c r="E52" s="50"/>
    </row>
    <row r="53" spans="1:5">
      <c r="A53" s="522" t="s">
        <v>232</v>
      </c>
      <c r="B53" s="50"/>
      <c r="C53" s="50"/>
      <c r="D53" s="50"/>
      <c r="E53" s="50"/>
    </row>
    <row r="54" spans="1:5">
      <c r="A54" s="522" t="s">
        <v>233</v>
      </c>
      <c r="B54" s="50"/>
      <c r="C54" s="50"/>
      <c r="D54" s="50"/>
      <c r="E54" s="50"/>
    </row>
    <row r="55" spans="1:5">
      <c r="A55" s="522" t="s">
        <v>234</v>
      </c>
      <c r="B55" s="50"/>
      <c r="C55" s="50"/>
      <c r="D55" s="50"/>
      <c r="E55" s="50"/>
    </row>
    <row r="56" spans="1:5">
      <c r="A56" s="522" t="s">
        <v>235</v>
      </c>
      <c r="B56" s="50"/>
      <c r="C56" s="50"/>
      <c r="D56" s="50"/>
      <c r="E56" s="50"/>
    </row>
    <row r="57" spans="1:5">
      <c r="A57" s="522" t="s">
        <v>236</v>
      </c>
      <c r="B57" s="50"/>
      <c r="C57" s="50"/>
      <c r="D57" s="50"/>
      <c r="E57" s="50"/>
    </row>
    <row r="58" spans="1:5">
      <c r="A58" s="522" t="s">
        <v>237</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196</v>
      </c>
      <c r="B62" s="51"/>
      <c r="C62" s="51" t="s">
        <v>0</v>
      </c>
      <c r="D62" s="51"/>
      <c r="E62" s="51"/>
    </row>
    <row r="63" spans="1:5">
      <c r="A63" s="20" t="s">
        <v>152</v>
      </c>
      <c r="B63" s="51"/>
      <c r="C63" s="51"/>
      <c r="D63" s="51"/>
      <c r="E63" s="51"/>
    </row>
    <row r="64" spans="1:5">
      <c r="A64" s="20" t="s">
        <v>153</v>
      </c>
      <c r="B64" s="51"/>
      <c r="C64" s="51"/>
      <c r="D64" s="51"/>
      <c r="E64" s="51"/>
    </row>
    <row r="65" spans="1:5">
      <c r="A65" s="20" t="s">
        <v>197</v>
      </c>
      <c r="B65" s="51"/>
      <c r="C65" s="51"/>
      <c r="D65" s="51"/>
      <c r="E65" s="51"/>
    </row>
    <row r="66" spans="1:5">
      <c r="A66" s="20" t="s">
        <v>198</v>
      </c>
      <c r="B66" s="51"/>
      <c r="C66" s="51"/>
      <c r="D66" s="51"/>
      <c r="E66" s="51"/>
    </row>
    <row r="67" spans="1:5">
      <c r="A67" s="18" t="s">
        <v>10</v>
      </c>
      <c r="B67" s="19"/>
      <c r="C67" s="51"/>
      <c r="D67" s="51"/>
      <c r="E67" s="51"/>
    </row>
    <row r="68" spans="1:5">
      <c r="A68" s="14"/>
      <c r="B68" s="14"/>
      <c r="C68" s="51"/>
      <c r="D68" s="51"/>
      <c r="E68" s="51"/>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7" customWidth="1"/>
    <col min="2" max="2" width="9.3984375" style="36" customWidth="1"/>
    <col min="3" max="3" width="9" style="568"/>
    <col min="4" max="4" width="10.3984375" style="559" customWidth="1"/>
    <col min="5" max="5" width="12" style="559" customWidth="1"/>
    <col min="6" max="6" width="8.09765625" style="498" customWidth="1"/>
    <col min="7" max="7" width="26.19921875" style="569" customWidth="1"/>
    <col min="8" max="8" width="23.8984375" style="569" customWidth="1"/>
    <col min="9" max="9" width="9.3984375" style="569" customWidth="1"/>
    <col min="10" max="10" width="8.5" style="568"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13" t="s">
        <v>294</v>
      </c>
      <c r="B1" s="613"/>
      <c r="C1" s="613"/>
      <c r="D1" s="613"/>
      <c r="E1" s="613"/>
      <c r="F1" s="613"/>
      <c r="G1" s="613"/>
      <c r="H1" s="562"/>
      <c r="I1" s="562"/>
      <c r="J1" s="614" t="s">
        <v>295</v>
      </c>
      <c r="K1" s="614"/>
      <c r="L1" s="614"/>
      <c r="M1" s="614"/>
      <c r="N1" s="614"/>
      <c r="O1" s="614"/>
      <c r="P1" s="614"/>
      <c r="Q1" s="614"/>
      <c r="R1" s="614"/>
      <c r="S1" s="614"/>
      <c r="T1" s="614"/>
      <c r="U1" s="614"/>
      <c r="V1" s="614"/>
      <c r="W1" s="614"/>
      <c r="X1" s="614"/>
      <c r="Y1" s="614"/>
      <c r="Z1" s="614"/>
      <c r="AA1" s="614"/>
      <c r="AB1" s="614"/>
      <c r="AC1" s="614"/>
      <c r="AD1" s="614"/>
      <c r="AE1" s="614"/>
      <c r="AF1" s="563"/>
      <c r="AG1" s="563"/>
      <c r="AH1" s="563"/>
      <c r="AI1" s="563"/>
    </row>
    <row r="2" spans="1:35">
      <c r="A2" s="564" t="s">
        <v>296</v>
      </c>
      <c r="B2" s="542" t="s">
        <v>297</v>
      </c>
      <c r="C2" s="565" t="s">
        <v>298</v>
      </c>
      <c r="D2" s="443" t="s">
        <v>190</v>
      </c>
      <c r="E2" s="443" t="s">
        <v>224</v>
      </c>
      <c r="F2" s="542" t="s">
        <v>299</v>
      </c>
      <c r="G2" s="566" t="s">
        <v>300</v>
      </c>
      <c r="H2" s="566" t="s">
        <v>301</v>
      </c>
      <c r="I2" s="566" t="s">
        <v>435</v>
      </c>
      <c r="J2" s="565" t="s">
        <v>302</v>
      </c>
      <c r="K2" s="443" t="s">
        <v>303</v>
      </c>
      <c r="L2" s="443" t="s">
        <v>304</v>
      </c>
      <c r="M2" s="542" t="s">
        <v>305</v>
      </c>
      <c r="N2" s="542" t="s">
        <v>306</v>
      </c>
      <c r="O2" s="542" t="s">
        <v>307</v>
      </c>
      <c r="P2" s="542" t="s">
        <v>308</v>
      </c>
      <c r="Q2" s="542" t="s">
        <v>309</v>
      </c>
      <c r="R2" s="542" t="s">
        <v>310</v>
      </c>
      <c r="S2" s="542" t="s">
        <v>311</v>
      </c>
      <c r="T2" s="542" t="s">
        <v>312</v>
      </c>
      <c r="U2" s="542" t="s">
        <v>313</v>
      </c>
      <c r="V2" s="542" t="s">
        <v>314</v>
      </c>
      <c r="W2" s="542" t="s">
        <v>315</v>
      </c>
      <c r="X2" s="542" t="s">
        <v>316</v>
      </c>
      <c r="Y2" s="542" t="s">
        <v>317</v>
      </c>
      <c r="Z2" s="542" t="s">
        <v>318</v>
      </c>
      <c r="AA2" s="542" t="s">
        <v>319</v>
      </c>
      <c r="AB2" s="542" t="s">
        <v>320</v>
      </c>
      <c r="AC2" s="542" t="s">
        <v>321</v>
      </c>
      <c r="AD2" s="542" t="s">
        <v>322</v>
      </c>
      <c r="AE2" s="542" t="s">
        <v>323</v>
      </c>
      <c r="AF2" s="542" t="s">
        <v>324</v>
      </c>
      <c r="AG2" s="542" t="s">
        <v>325</v>
      </c>
      <c r="AH2" s="542" t="s">
        <v>326</v>
      </c>
      <c r="AI2" s="542" t="s">
        <v>327</v>
      </c>
    </row>
    <row r="3" spans="1:35" ht="27.6" hidden="1">
      <c r="A3" s="567">
        <v>1</v>
      </c>
      <c r="B3" s="36">
        <v>1</v>
      </c>
      <c r="C3" s="568">
        <v>41144</v>
      </c>
      <c r="D3" s="559" t="s">
        <v>328</v>
      </c>
      <c r="E3" s="574" t="s">
        <v>334</v>
      </c>
      <c r="F3" s="498" t="s">
        <v>329</v>
      </c>
      <c r="G3" s="569" t="s">
        <v>330</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7">
        <v>1</v>
      </c>
      <c r="B4" s="36">
        <v>2</v>
      </c>
      <c r="C4" s="568">
        <v>41144</v>
      </c>
      <c r="D4" s="559" t="s">
        <v>328</v>
      </c>
      <c r="E4" s="559" t="s">
        <v>334</v>
      </c>
      <c r="F4" s="498" t="s">
        <v>331</v>
      </c>
      <c r="G4" s="569" t="s">
        <v>332</v>
      </c>
      <c r="H4" s="569" t="s">
        <v>333</v>
      </c>
      <c r="I4" s="569" t="str">
        <f>Table1[[#This Row],[Staff]]</f>
        <v>Nicole</v>
      </c>
      <c r="J4" s="568">
        <f>Table1[[#This Row],[Date]]</f>
        <v>41144</v>
      </c>
      <c r="K4" s="525"/>
      <c r="L4" s="525"/>
    </row>
    <row r="5" spans="1:35" hidden="1">
      <c r="A5" s="567">
        <v>1</v>
      </c>
      <c r="B5" s="36">
        <v>3</v>
      </c>
      <c r="C5" s="568">
        <v>41144</v>
      </c>
      <c r="D5" s="559" t="s">
        <v>328</v>
      </c>
      <c r="E5" s="559" t="s">
        <v>335</v>
      </c>
      <c r="F5" s="498" t="s">
        <v>336</v>
      </c>
      <c r="G5" s="569" t="s">
        <v>337</v>
      </c>
      <c r="H5" s="569" t="s">
        <v>338</v>
      </c>
      <c r="I5" s="569" t="str">
        <f>Table1[[#This Row],[Staff]]</f>
        <v>Nicole</v>
      </c>
      <c r="J5" s="568">
        <f>Table1[[#This Row],[Date]]</f>
        <v>41144</v>
      </c>
      <c r="K5" s="525"/>
      <c r="L5" s="525"/>
    </row>
    <row r="6" spans="1:35" ht="27.6" hidden="1">
      <c r="A6" s="567">
        <v>1</v>
      </c>
      <c r="B6" s="36">
        <v>4</v>
      </c>
      <c r="C6" s="568">
        <v>41144</v>
      </c>
      <c r="D6" s="559" t="s">
        <v>328</v>
      </c>
      <c r="E6" s="559" t="s">
        <v>335</v>
      </c>
      <c r="F6" s="498" t="s">
        <v>339</v>
      </c>
      <c r="G6" s="569" t="s">
        <v>340</v>
      </c>
      <c r="H6" s="569" t="s">
        <v>341</v>
      </c>
      <c r="I6" s="569" t="str">
        <f>Table1[[#This Row],[Staff]]</f>
        <v>Nicole</v>
      </c>
      <c r="J6" s="568">
        <f>Table1[[#This Row],[Date]]</f>
        <v>41144</v>
      </c>
      <c r="K6" s="525"/>
      <c r="L6" s="525"/>
    </row>
    <row r="7" spans="1:35" hidden="1">
      <c r="A7" s="567">
        <v>1</v>
      </c>
      <c r="B7" s="36">
        <v>5</v>
      </c>
      <c r="C7" s="568">
        <v>41144</v>
      </c>
      <c r="D7" s="559" t="s">
        <v>328</v>
      </c>
      <c r="E7" s="559" t="s">
        <v>144</v>
      </c>
      <c r="F7" s="498" t="s">
        <v>336</v>
      </c>
      <c r="G7" s="569" t="s">
        <v>337</v>
      </c>
      <c r="H7" s="569" t="s">
        <v>350</v>
      </c>
      <c r="I7" s="569" t="str">
        <f>Table1[[#This Row],[Staff]]</f>
        <v>Nicole</v>
      </c>
      <c r="J7" s="568">
        <f>Table1[[#This Row],[Date]]</f>
        <v>41144</v>
      </c>
      <c r="K7" s="525"/>
      <c r="L7" s="525"/>
    </row>
    <row r="8" spans="1:35" hidden="1">
      <c r="A8" s="567">
        <v>1</v>
      </c>
      <c r="B8" s="36">
        <v>6</v>
      </c>
      <c r="C8" s="568">
        <v>41144</v>
      </c>
      <c r="D8" s="559" t="s">
        <v>328</v>
      </c>
      <c r="E8" s="559" t="s">
        <v>144</v>
      </c>
      <c r="F8" s="498" t="s">
        <v>342</v>
      </c>
      <c r="G8" s="569" t="s">
        <v>346</v>
      </c>
      <c r="H8" s="569" t="s">
        <v>343</v>
      </c>
      <c r="I8" s="569" t="str">
        <f>Table1[[#This Row],[Staff]]</f>
        <v>Nicole</v>
      </c>
      <c r="J8" s="568">
        <f>Table1[[#This Row],[Date]]</f>
        <v>41144</v>
      </c>
      <c r="K8" s="525"/>
      <c r="L8" s="525"/>
    </row>
    <row r="9" spans="1:35" hidden="1">
      <c r="A9" s="567">
        <v>1</v>
      </c>
      <c r="B9" s="36">
        <v>7</v>
      </c>
      <c r="C9" s="568">
        <v>41144</v>
      </c>
      <c r="D9" s="559" t="s">
        <v>328</v>
      </c>
      <c r="E9" s="559" t="s">
        <v>344</v>
      </c>
      <c r="F9" s="498" t="s">
        <v>336</v>
      </c>
      <c r="G9" s="569" t="s">
        <v>337</v>
      </c>
      <c r="H9" s="569" t="s">
        <v>350</v>
      </c>
      <c r="I9" s="569" t="str">
        <f>Table1[[#This Row],[Staff]]</f>
        <v>Nicole</v>
      </c>
      <c r="J9" s="568">
        <f>Table1[[#This Row],[Date]]</f>
        <v>41144</v>
      </c>
      <c r="K9" s="525"/>
      <c r="L9" s="525"/>
    </row>
    <row r="10" spans="1:35" hidden="1">
      <c r="A10" s="567">
        <v>1</v>
      </c>
      <c r="B10" s="36">
        <v>8</v>
      </c>
      <c r="C10" s="568">
        <v>41144</v>
      </c>
      <c r="D10" s="559" t="s">
        <v>328</v>
      </c>
      <c r="E10" s="559" t="s">
        <v>5</v>
      </c>
      <c r="F10" s="498" t="s">
        <v>336</v>
      </c>
      <c r="G10" s="569" t="s">
        <v>337</v>
      </c>
      <c r="H10" s="569" t="s">
        <v>350</v>
      </c>
      <c r="I10" s="569" t="str">
        <f>Table1[[#This Row],[Staff]]</f>
        <v>Nicole</v>
      </c>
      <c r="J10" s="568">
        <f>Table1[[#This Row],[Date]]</f>
        <v>41144</v>
      </c>
      <c r="K10" s="525"/>
      <c r="L10" s="525"/>
    </row>
    <row r="11" spans="1:35" hidden="1">
      <c r="A11" s="567">
        <v>1</v>
      </c>
      <c r="B11" s="36">
        <v>9</v>
      </c>
      <c r="C11" s="568">
        <v>41144</v>
      </c>
      <c r="D11" s="559" t="s">
        <v>328</v>
      </c>
      <c r="E11" s="559" t="s">
        <v>5</v>
      </c>
      <c r="F11" s="498" t="s">
        <v>348</v>
      </c>
      <c r="G11" s="569" t="s">
        <v>346</v>
      </c>
      <c r="H11" s="569" t="s">
        <v>349</v>
      </c>
      <c r="I11" s="569" t="str">
        <f>Table1[[#This Row],[Staff]]</f>
        <v>Nicole</v>
      </c>
      <c r="J11" s="568">
        <f>Table1[[#This Row],[Date]]</f>
        <v>41144</v>
      </c>
      <c r="K11" s="525"/>
      <c r="L11" s="525"/>
    </row>
    <row r="12" spans="1:35" hidden="1">
      <c r="A12" s="567">
        <v>1</v>
      </c>
      <c r="B12" s="36">
        <v>10</v>
      </c>
      <c r="C12" s="568">
        <v>41144</v>
      </c>
      <c r="D12" s="559" t="s">
        <v>328</v>
      </c>
      <c r="E12" s="559" t="s">
        <v>344</v>
      </c>
      <c r="F12" s="498" t="s">
        <v>345</v>
      </c>
      <c r="G12" s="569" t="s">
        <v>346</v>
      </c>
      <c r="H12" s="569" t="s">
        <v>347</v>
      </c>
      <c r="I12" s="569" t="str">
        <f>Table1[[#This Row],[Staff]]</f>
        <v>Nicole</v>
      </c>
      <c r="J12" s="568">
        <f>Table1[[#This Row],[Date]]</f>
        <v>41144</v>
      </c>
      <c r="K12" s="525"/>
      <c r="L12" s="525"/>
    </row>
    <row r="13" spans="1:35" hidden="1">
      <c r="A13" s="567">
        <v>1</v>
      </c>
      <c r="B13" s="36">
        <v>11</v>
      </c>
      <c r="C13" s="568">
        <v>41144</v>
      </c>
      <c r="D13" s="559" t="s">
        <v>328</v>
      </c>
      <c r="E13" s="559" t="s">
        <v>351</v>
      </c>
      <c r="F13" s="498" t="s">
        <v>336</v>
      </c>
      <c r="G13" s="569" t="s">
        <v>337</v>
      </c>
      <c r="H13" s="569" t="s">
        <v>350</v>
      </c>
      <c r="I13" s="569" t="str">
        <f>Table1[[#This Row],[Staff]]</f>
        <v>Nicole</v>
      </c>
      <c r="J13" s="568">
        <f>Table1[[#This Row],[Date]]</f>
        <v>41144</v>
      </c>
      <c r="K13" s="525"/>
      <c r="L13" s="525"/>
    </row>
    <row r="14" spans="1:35" hidden="1">
      <c r="A14" s="567">
        <v>1</v>
      </c>
      <c r="B14" s="36">
        <v>12</v>
      </c>
      <c r="C14" s="568">
        <v>41144</v>
      </c>
      <c r="D14" s="559" t="s">
        <v>328</v>
      </c>
      <c r="E14" s="559" t="s">
        <v>351</v>
      </c>
      <c r="F14" s="498" t="s">
        <v>352</v>
      </c>
      <c r="G14" s="569" t="s">
        <v>346</v>
      </c>
      <c r="H14" s="569" t="s">
        <v>353</v>
      </c>
      <c r="I14" s="569" t="str">
        <f>Table1[[#This Row],[Staff]]</f>
        <v>Nicole</v>
      </c>
      <c r="J14" s="568">
        <f>Table1[[#This Row],[Date]]</f>
        <v>41144</v>
      </c>
      <c r="K14" s="525"/>
      <c r="L14" s="525"/>
    </row>
    <row r="15" spans="1:35" hidden="1">
      <c r="A15" s="567">
        <v>1</v>
      </c>
      <c r="B15" s="36">
        <v>13</v>
      </c>
      <c r="C15" s="568">
        <v>41144</v>
      </c>
      <c r="D15" s="559" t="s">
        <v>328</v>
      </c>
      <c r="E15" s="559" t="s">
        <v>354</v>
      </c>
      <c r="F15" s="498" t="s">
        <v>336</v>
      </c>
      <c r="G15" s="569" t="s">
        <v>337</v>
      </c>
      <c r="H15" s="569" t="s">
        <v>350</v>
      </c>
      <c r="I15" s="569" t="str">
        <f>Table1[[#This Row],[Staff]]</f>
        <v>Nicole</v>
      </c>
      <c r="J15" s="568">
        <f>Table1[[#This Row],[Date]]</f>
        <v>41144</v>
      </c>
      <c r="K15" s="525"/>
      <c r="L15" s="525"/>
    </row>
    <row r="16" spans="1:35" hidden="1">
      <c r="A16" s="567">
        <v>1</v>
      </c>
      <c r="B16" s="36">
        <v>14</v>
      </c>
      <c r="C16" s="568">
        <v>41144</v>
      </c>
      <c r="D16" s="559" t="s">
        <v>328</v>
      </c>
      <c r="E16" s="559" t="s">
        <v>354</v>
      </c>
      <c r="F16" s="498" t="s">
        <v>355</v>
      </c>
      <c r="G16" s="569" t="s">
        <v>346</v>
      </c>
      <c r="H16" s="569" t="s">
        <v>356</v>
      </c>
      <c r="I16" s="569" t="str">
        <f>Table1[[#This Row],[Staff]]</f>
        <v>Nicole</v>
      </c>
      <c r="J16" s="568">
        <f>Table1[[#This Row],[Date]]</f>
        <v>41144</v>
      </c>
      <c r="K16" s="525"/>
      <c r="L16" s="525"/>
    </row>
    <row r="17" spans="1:12" hidden="1">
      <c r="A17" s="567">
        <v>1</v>
      </c>
      <c r="B17" s="36">
        <v>15</v>
      </c>
      <c r="C17" s="568">
        <v>41144</v>
      </c>
      <c r="D17" s="559" t="s">
        <v>328</v>
      </c>
      <c r="E17" s="559" t="s">
        <v>57</v>
      </c>
      <c r="F17" s="498" t="s">
        <v>336</v>
      </c>
      <c r="G17" s="569" t="s">
        <v>337</v>
      </c>
      <c r="H17" s="569" t="s">
        <v>350</v>
      </c>
      <c r="I17" s="569" t="str">
        <f>Table1[[#This Row],[Staff]]</f>
        <v>Nicole</v>
      </c>
      <c r="J17" s="568">
        <f>Table1[[#This Row],[Date]]</f>
        <v>41144</v>
      </c>
      <c r="K17" s="525"/>
      <c r="L17" s="525"/>
    </row>
    <row r="18" spans="1:12" hidden="1">
      <c r="A18" s="567">
        <v>1</v>
      </c>
      <c r="B18" s="36">
        <v>16</v>
      </c>
      <c r="C18" s="568">
        <v>41144</v>
      </c>
      <c r="D18" s="559" t="s">
        <v>328</v>
      </c>
      <c r="E18" s="559" t="s">
        <v>57</v>
      </c>
      <c r="F18" s="498" t="s">
        <v>357</v>
      </c>
      <c r="G18" s="569" t="s">
        <v>346</v>
      </c>
      <c r="H18" s="569" t="s">
        <v>358</v>
      </c>
      <c r="I18" s="569" t="str">
        <f>Table1[[#This Row],[Staff]]</f>
        <v>Nicole</v>
      </c>
      <c r="J18" s="568">
        <f>Table1[[#This Row],[Date]]</f>
        <v>41144</v>
      </c>
      <c r="K18" s="525"/>
      <c r="L18" s="525"/>
    </row>
    <row r="19" spans="1:12" hidden="1">
      <c r="A19" s="567">
        <v>1</v>
      </c>
      <c r="B19" s="36">
        <v>17</v>
      </c>
      <c r="C19" s="568">
        <v>41144</v>
      </c>
      <c r="D19" s="559" t="s">
        <v>328</v>
      </c>
      <c r="E19" s="559" t="s">
        <v>359</v>
      </c>
      <c r="F19" s="498" t="s">
        <v>336</v>
      </c>
      <c r="G19" s="569" t="s">
        <v>337</v>
      </c>
      <c r="H19" s="569" t="s">
        <v>350</v>
      </c>
      <c r="I19" s="569" t="str">
        <f>Table1[[#This Row],[Staff]]</f>
        <v>Nicole</v>
      </c>
      <c r="J19" s="568">
        <f>Table1[[#This Row],[Date]]</f>
        <v>41144</v>
      </c>
      <c r="K19" s="525"/>
      <c r="L19" s="525"/>
    </row>
    <row r="20" spans="1:12" hidden="1">
      <c r="A20" s="567">
        <v>1</v>
      </c>
      <c r="B20" s="36">
        <v>18</v>
      </c>
      <c r="C20" s="568">
        <v>41144</v>
      </c>
      <c r="D20" s="559" t="s">
        <v>328</v>
      </c>
      <c r="E20" s="559" t="s">
        <v>359</v>
      </c>
      <c r="F20" s="498" t="s">
        <v>360</v>
      </c>
      <c r="I20" s="569" t="str">
        <f>Table1[[#This Row],[Staff]]</f>
        <v>Nicole</v>
      </c>
      <c r="J20" s="568">
        <f>Table1[[#This Row],[Date]]</f>
        <v>41144</v>
      </c>
      <c r="K20" s="525"/>
      <c r="L20" s="525"/>
    </row>
    <row r="21" spans="1:12" ht="27.6" hidden="1">
      <c r="A21" s="567">
        <v>1</v>
      </c>
      <c r="B21" s="36">
        <v>19</v>
      </c>
      <c r="C21" s="568">
        <v>41144</v>
      </c>
      <c r="D21" s="559" t="s">
        <v>328</v>
      </c>
      <c r="E21" s="559" t="s">
        <v>361</v>
      </c>
      <c r="F21" s="498" t="s">
        <v>362</v>
      </c>
      <c r="G21" s="569" t="s">
        <v>363</v>
      </c>
      <c r="H21" s="569" t="s">
        <v>364</v>
      </c>
      <c r="I21" s="569" t="str">
        <f>Table1[[#This Row],[Staff]]</f>
        <v>Nicole</v>
      </c>
      <c r="J21" s="568">
        <f>Table1[[#This Row],[Date]]</f>
        <v>41144</v>
      </c>
      <c r="K21" s="525"/>
      <c r="L21" s="525"/>
    </row>
    <row r="22" spans="1:12" hidden="1">
      <c r="A22" s="567">
        <v>1</v>
      </c>
      <c r="B22" s="36">
        <v>20</v>
      </c>
      <c r="C22" s="568">
        <v>41144</v>
      </c>
      <c r="D22" s="559" t="s">
        <v>328</v>
      </c>
      <c r="E22" s="559" t="s">
        <v>361</v>
      </c>
      <c r="F22" s="498" t="s">
        <v>336</v>
      </c>
      <c r="G22" s="569" t="s">
        <v>337</v>
      </c>
      <c r="H22" s="569" t="s">
        <v>350</v>
      </c>
      <c r="I22" s="569" t="str">
        <f>Table1[[#This Row],[Staff]]</f>
        <v>Nicole</v>
      </c>
      <c r="J22" s="568">
        <f>Table1[[#This Row],[Date]]</f>
        <v>41144</v>
      </c>
      <c r="K22" s="525"/>
      <c r="L22" s="525"/>
    </row>
    <row r="23" spans="1:12" hidden="1">
      <c r="A23" s="567">
        <v>1</v>
      </c>
      <c r="B23" s="36">
        <v>21</v>
      </c>
      <c r="C23" s="568">
        <v>41144</v>
      </c>
      <c r="D23" s="559" t="s">
        <v>328</v>
      </c>
      <c r="E23" s="559" t="s">
        <v>361</v>
      </c>
      <c r="F23" s="498" t="s">
        <v>360</v>
      </c>
      <c r="G23" s="569" t="s">
        <v>346</v>
      </c>
      <c r="H23" s="569" t="s">
        <v>365</v>
      </c>
      <c r="I23" s="569" t="str">
        <f>Table1[[#This Row],[Staff]]</f>
        <v>Nicole</v>
      </c>
      <c r="J23" s="568">
        <f>Table1[[#This Row],[Date]]</f>
        <v>41144</v>
      </c>
      <c r="K23" s="525"/>
      <c r="L23" s="525"/>
    </row>
    <row r="24" spans="1:12" ht="27.6" hidden="1">
      <c r="A24" s="567">
        <v>1</v>
      </c>
      <c r="B24" s="36">
        <v>22</v>
      </c>
      <c r="C24" s="568">
        <v>41144</v>
      </c>
      <c r="D24" s="559" t="s">
        <v>328</v>
      </c>
      <c r="E24" s="559" t="s">
        <v>367</v>
      </c>
      <c r="F24" s="498" t="s">
        <v>366</v>
      </c>
      <c r="G24" s="569" t="s">
        <v>368</v>
      </c>
      <c r="H24" s="569" t="s">
        <v>369</v>
      </c>
      <c r="I24" s="569" t="str">
        <f>Table1[[#This Row],[Staff]]</f>
        <v>Nicole</v>
      </c>
      <c r="J24" s="568">
        <f>Table1[[#This Row],[Date]]</f>
        <v>41144</v>
      </c>
      <c r="K24" s="525"/>
      <c r="L24" s="525"/>
    </row>
    <row r="25" spans="1:12" hidden="1">
      <c r="A25" s="567">
        <v>1</v>
      </c>
      <c r="B25" s="36">
        <v>23</v>
      </c>
      <c r="C25" s="568">
        <v>41144</v>
      </c>
      <c r="D25" s="559" t="s">
        <v>328</v>
      </c>
      <c r="E25" s="559" t="s">
        <v>367</v>
      </c>
      <c r="F25" s="498" t="s">
        <v>336</v>
      </c>
      <c r="G25" s="569" t="s">
        <v>337</v>
      </c>
      <c r="H25" s="569" t="s">
        <v>350</v>
      </c>
      <c r="I25" s="569" t="str">
        <f>Table1[[#This Row],[Staff]]</f>
        <v>Nicole</v>
      </c>
      <c r="J25" s="568">
        <f>Table1[[#This Row],[Date]]</f>
        <v>41144</v>
      </c>
      <c r="K25" s="525"/>
      <c r="L25" s="525"/>
    </row>
    <row r="26" spans="1:12" ht="27.6" hidden="1">
      <c r="A26" s="567">
        <v>1</v>
      </c>
      <c r="B26" s="36">
        <v>24</v>
      </c>
      <c r="C26" s="568">
        <v>41144</v>
      </c>
      <c r="D26" s="559" t="s">
        <v>328</v>
      </c>
      <c r="E26" s="559" t="s">
        <v>367</v>
      </c>
      <c r="F26" s="498" t="s">
        <v>371</v>
      </c>
      <c r="G26" s="569" t="s">
        <v>346</v>
      </c>
      <c r="H26" s="569" t="s">
        <v>370</v>
      </c>
      <c r="I26" s="569" t="str">
        <f>Table1[[#This Row],[Staff]]</f>
        <v>Nicole</v>
      </c>
      <c r="J26" s="568">
        <f>Table1[[#This Row],[Date]]</f>
        <v>41144</v>
      </c>
      <c r="K26" s="525"/>
      <c r="L26" s="525"/>
    </row>
    <row r="27" spans="1:12" hidden="1">
      <c r="A27" s="567">
        <v>1</v>
      </c>
      <c r="B27" s="36">
        <v>25</v>
      </c>
      <c r="C27" s="568">
        <v>41144</v>
      </c>
      <c r="D27" s="559" t="s">
        <v>328</v>
      </c>
      <c r="E27" s="559" t="s">
        <v>372</v>
      </c>
      <c r="F27" s="498" t="s">
        <v>336</v>
      </c>
      <c r="G27" s="569" t="s">
        <v>337</v>
      </c>
      <c r="H27" s="569" t="s">
        <v>350</v>
      </c>
      <c r="I27" s="569" t="str">
        <f>Table1[[#This Row],[Staff]]</f>
        <v>Nicole</v>
      </c>
      <c r="J27" s="568">
        <f>Table1[[#This Row],[Date]]</f>
        <v>41144</v>
      </c>
      <c r="K27" s="525"/>
      <c r="L27" s="525"/>
    </row>
    <row r="28" spans="1:12" ht="27.6" hidden="1">
      <c r="A28" s="567">
        <v>1</v>
      </c>
      <c r="B28" s="36">
        <v>26</v>
      </c>
      <c r="C28" s="568">
        <v>41144</v>
      </c>
      <c r="D28" s="559" t="s">
        <v>328</v>
      </c>
      <c r="E28" s="559" t="s">
        <v>372</v>
      </c>
      <c r="F28" s="498" t="s">
        <v>360</v>
      </c>
      <c r="G28" s="569" t="s">
        <v>346</v>
      </c>
      <c r="H28" s="569" t="s">
        <v>373</v>
      </c>
      <c r="I28" s="569" t="str">
        <f>Table1[[#This Row],[Staff]]</f>
        <v>Nicole</v>
      </c>
      <c r="J28" s="568">
        <f>Table1[[#This Row],[Date]]</f>
        <v>41144</v>
      </c>
      <c r="K28" s="525"/>
      <c r="L28" s="525"/>
    </row>
    <row r="29" spans="1:12" hidden="1">
      <c r="A29" s="567">
        <v>1</v>
      </c>
      <c r="B29" s="36">
        <v>27</v>
      </c>
      <c r="C29" s="568">
        <v>41144</v>
      </c>
      <c r="D29" s="559" t="s">
        <v>328</v>
      </c>
      <c r="E29" s="559" t="s">
        <v>375</v>
      </c>
      <c r="F29" s="498" t="s">
        <v>336</v>
      </c>
      <c r="G29" s="569" t="s">
        <v>337</v>
      </c>
      <c r="H29" s="569" t="s">
        <v>350</v>
      </c>
      <c r="I29" s="569" t="str">
        <f>Table1[[#This Row],[Staff]]</f>
        <v>Nicole</v>
      </c>
      <c r="J29" s="568">
        <f>Table1[[#This Row],[Date]]</f>
        <v>41144</v>
      </c>
      <c r="K29" s="525"/>
      <c r="L29" s="525"/>
    </row>
    <row r="30" spans="1:12" ht="27.6" hidden="1">
      <c r="A30" s="567">
        <v>1</v>
      </c>
      <c r="B30" s="36">
        <v>28</v>
      </c>
      <c r="C30" s="568">
        <v>41144</v>
      </c>
      <c r="D30" s="559" t="s">
        <v>328</v>
      </c>
      <c r="E30" s="559" t="s">
        <v>375</v>
      </c>
      <c r="F30" s="498" t="s">
        <v>374</v>
      </c>
      <c r="G30" s="569" t="s">
        <v>346</v>
      </c>
      <c r="H30" s="569" t="s">
        <v>376</v>
      </c>
      <c r="I30" s="569" t="str">
        <f>Table1[[#This Row],[Staff]]</f>
        <v>Nicole</v>
      </c>
      <c r="J30" s="568">
        <f>Table1[[#This Row],[Date]]</f>
        <v>41144</v>
      </c>
      <c r="K30" s="525"/>
      <c r="L30" s="525"/>
    </row>
    <row r="31" spans="1:12" hidden="1">
      <c r="A31" s="567">
        <v>1</v>
      </c>
      <c r="B31" s="36">
        <v>29</v>
      </c>
      <c r="C31" s="568">
        <v>41144</v>
      </c>
      <c r="D31" s="559" t="s">
        <v>328</v>
      </c>
      <c r="E31" s="559" t="s">
        <v>70</v>
      </c>
      <c r="F31" s="498" t="s">
        <v>336</v>
      </c>
      <c r="G31" s="569" t="s">
        <v>337</v>
      </c>
      <c r="H31" s="569" t="s">
        <v>350</v>
      </c>
      <c r="I31" s="569" t="str">
        <f>Table1[[#This Row],[Staff]]</f>
        <v>Nicole</v>
      </c>
      <c r="J31" s="568">
        <f>Table1[[#This Row],[Date]]</f>
        <v>41144</v>
      </c>
      <c r="K31" s="525"/>
      <c r="L31" s="525"/>
    </row>
    <row r="32" spans="1:12" ht="27.6" hidden="1">
      <c r="A32" s="567">
        <v>1</v>
      </c>
      <c r="B32" s="36">
        <v>30</v>
      </c>
      <c r="C32" s="568">
        <v>41144</v>
      </c>
      <c r="D32" s="559" t="s">
        <v>328</v>
      </c>
      <c r="E32" s="559" t="s">
        <v>70</v>
      </c>
      <c r="F32" s="498" t="s">
        <v>377</v>
      </c>
      <c r="G32" s="569" t="s">
        <v>346</v>
      </c>
      <c r="H32" s="569" t="s">
        <v>378</v>
      </c>
      <c r="I32" s="569" t="str">
        <f>Table1[[#This Row],[Staff]]</f>
        <v>Nicole</v>
      </c>
      <c r="J32" s="568">
        <f>Table1[[#This Row],[Date]]</f>
        <v>41144</v>
      </c>
      <c r="K32" s="525"/>
      <c r="L32" s="525"/>
    </row>
    <row r="33" spans="1:12" hidden="1">
      <c r="A33" s="567">
        <v>1</v>
      </c>
      <c r="B33" s="36">
        <v>31</v>
      </c>
      <c r="C33" s="568">
        <v>41144</v>
      </c>
      <c r="D33" s="559" t="s">
        <v>328</v>
      </c>
      <c r="E33" s="559" t="s">
        <v>79</v>
      </c>
      <c r="F33" s="498" t="s">
        <v>336</v>
      </c>
      <c r="G33" s="569" t="s">
        <v>337</v>
      </c>
      <c r="H33" s="569" t="s">
        <v>350</v>
      </c>
      <c r="I33" s="569" t="str">
        <f>Table1[[#This Row],[Staff]]</f>
        <v>Nicole</v>
      </c>
      <c r="J33" s="568">
        <f>Table1[[#This Row],[Date]]</f>
        <v>41144</v>
      </c>
      <c r="K33" s="525"/>
      <c r="L33" s="525"/>
    </row>
    <row r="34" spans="1:12" ht="27.6" hidden="1">
      <c r="A34" s="567">
        <v>1</v>
      </c>
      <c r="B34" s="36">
        <v>32</v>
      </c>
      <c r="C34" s="568">
        <v>41144</v>
      </c>
      <c r="D34" s="559" t="s">
        <v>328</v>
      </c>
      <c r="E34" s="559" t="s">
        <v>79</v>
      </c>
      <c r="F34" s="498" t="s">
        <v>383</v>
      </c>
      <c r="G34" s="569" t="s">
        <v>346</v>
      </c>
      <c r="H34" s="569" t="s">
        <v>380</v>
      </c>
      <c r="I34" s="569" t="str">
        <f>Table1[[#This Row],[Staff]]</f>
        <v>Nicole</v>
      </c>
      <c r="J34" s="568">
        <f>Table1[[#This Row],[Date]]</f>
        <v>41144</v>
      </c>
      <c r="K34" s="525"/>
      <c r="L34" s="525"/>
    </row>
    <row r="35" spans="1:12" hidden="1">
      <c r="A35" s="567">
        <v>1</v>
      </c>
      <c r="B35" s="36">
        <v>33</v>
      </c>
      <c r="C35" s="568">
        <v>41144</v>
      </c>
      <c r="D35" s="559" t="s">
        <v>328</v>
      </c>
      <c r="E35" s="559" t="s">
        <v>379</v>
      </c>
      <c r="F35" s="498" t="s">
        <v>336</v>
      </c>
      <c r="G35" s="569" t="s">
        <v>337</v>
      </c>
      <c r="H35" s="569" t="s">
        <v>350</v>
      </c>
      <c r="I35" s="569" t="str">
        <f>Table1[[#This Row],[Staff]]</f>
        <v>Nicole</v>
      </c>
      <c r="J35" s="568">
        <f>Table1[[#This Row],[Date]]</f>
        <v>41144</v>
      </c>
      <c r="K35" s="525"/>
      <c r="L35" s="525"/>
    </row>
    <row r="36" spans="1:12" ht="27.6" hidden="1">
      <c r="A36" s="567">
        <v>1</v>
      </c>
      <c r="B36" s="36">
        <v>34</v>
      </c>
      <c r="C36" s="568">
        <v>41144</v>
      </c>
      <c r="D36" s="559" t="s">
        <v>328</v>
      </c>
      <c r="E36" s="559" t="s">
        <v>379</v>
      </c>
      <c r="F36" s="498" t="s">
        <v>382</v>
      </c>
      <c r="G36" s="569" t="s">
        <v>346</v>
      </c>
      <c r="H36" s="569" t="s">
        <v>381</v>
      </c>
      <c r="I36" s="569" t="str">
        <f>Table1[[#This Row],[Staff]]</f>
        <v>Nicole</v>
      </c>
      <c r="J36" s="568">
        <f>Table1[[#This Row],[Date]]</f>
        <v>41144</v>
      </c>
      <c r="K36" s="525"/>
      <c r="L36" s="525"/>
    </row>
    <row r="37" spans="1:12" ht="27.6" hidden="1">
      <c r="A37" s="567">
        <v>1</v>
      </c>
      <c r="B37" s="36">
        <v>35</v>
      </c>
      <c r="C37" s="568">
        <v>41145</v>
      </c>
      <c r="D37" s="560" t="s">
        <v>328</v>
      </c>
      <c r="E37" s="560" t="s">
        <v>335</v>
      </c>
      <c r="F37" s="498" t="s">
        <v>384</v>
      </c>
      <c r="G37" s="569" t="s">
        <v>385</v>
      </c>
      <c r="H37" s="569" t="s">
        <v>386</v>
      </c>
      <c r="I37" s="569" t="str">
        <f>Table1[[#This Row],[Staff]]</f>
        <v>Nicole</v>
      </c>
      <c r="J37" s="568">
        <f>Table1[[#This Row],[Date]]</f>
        <v>41145</v>
      </c>
      <c r="K37" s="525"/>
      <c r="L37" s="525"/>
    </row>
    <row r="38" spans="1:12" ht="27.6" hidden="1">
      <c r="A38" s="567">
        <v>1</v>
      </c>
      <c r="B38" s="36">
        <v>36</v>
      </c>
      <c r="C38" s="568">
        <v>41145</v>
      </c>
      <c r="D38" s="560" t="s">
        <v>328</v>
      </c>
      <c r="E38" s="560" t="s">
        <v>335</v>
      </c>
      <c r="F38" s="498" t="s">
        <v>387</v>
      </c>
      <c r="G38" s="569" t="s">
        <v>388</v>
      </c>
      <c r="H38" s="573" t="s">
        <v>437</v>
      </c>
      <c r="I38" s="573" t="s">
        <v>436</v>
      </c>
      <c r="J38" s="568">
        <v>41148</v>
      </c>
      <c r="K38" s="525"/>
      <c r="L38" s="525"/>
    </row>
    <row r="39" spans="1:12" ht="41.4" hidden="1">
      <c r="A39" s="567">
        <v>1</v>
      </c>
      <c r="B39" s="36">
        <v>37</v>
      </c>
      <c r="C39" s="568">
        <v>41145</v>
      </c>
      <c r="D39" s="560" t="s">
        <v>328</v>
      </c>
      <c r="E39" s="560" t="s">
        <v>335</v>
      </c>
      <c r="F39" s="498" t="s">
        <v>389</v>
      </c>
      <c r="G39" s="569" t="s">
        <v>390</v>
      </c>
      <c r="H39" s="569" t="s">
        <v>398</v>
      </c>
      <c r="I39" s="569" t="str">
        <f>Table1[[#This Row],[Staff]]</f>
        <v>Nicole</v>
      </c>
      <c r="J39" s="568">
        <f>Table1[[#This Row],[Date]]</f>
        <v>41145</v>
      </c>
      <c r="K39" s="525"/>
      <c r="L39" s="525"/>
    </row>
    <row r="40" spans="1:12" hidden="1">
      <c r="A40" s="567">
        <v>1</v>
      </c>
      <c r="B40" s="36">
        <v>38</v>
      </c>
      <c r="C40" s="568">
        <v>41145</v>
      </c>
      <c r="D40" s="560" t="s">
        <v>328</v>
      </c>
      <c r="E40" s="560" t="s">
        <v>344</v>
      </c>
      <c r="F40" s="498" t="s">
        <v>391</v>
      </c>
      <c r="G40" s="569" t="s">
        <v>390</v>
      </c>
      <c r="H40" s="569" t="s">
        <v>397</v>
      </c>
      <c r="I40" s="569" t="str">
        <f>Table1[[#This Row],[Staff]]</f>
        <v>Nicole</v>
      </c>
      <c r="J40" s="568">
        <f>Table1[[#This Row],[Date]]</f>
        <v>41145</v>
      </c>
      <c r="K40" s="525"/>
      <c r="L40" s="525"/>
    </row>
    <row r="41" spans="1:12" hidden="1">
      <c r="A41" s="567">
        <v>1</v>
      </c>
      <c r="B41" s="36">
        <v>39</v>
      </c>
      <c r="C41" s="568">
        <v>41145</v>
      </c>
      <c r="D41" s="560" t="s">
        <v>328</v>
      </c>
      <c r="E41" s="560" t="s">
        <v>344</v>
      </c>
      <c r="F41" s="498" t="s">
        <v>392</v>
      </c>
      <c r="G41" s="569" t="s">
        <v>390</v>
      </c>
      <c r="H41" s="569" t="s">
        <v>397</v>
      </c>
      <c r="I41" s="569" t="str">
        <f>Table1[[#This Row],[Staff]]</f>
        <v>Nicole</v>
      </c>
      <c r="J41" s="568">
        <f>Table1[[#This Row],[Date]]</f>
        <v>41145</v>
      </c>
      <c r="K41" s="525"/>
      <c r="L41" s="525"/>
    </row>
    <row r="42" spans="1:12" hidden="1">
      <c r="A42" s="567">
        <v>1</v>
      </c>
      <c r="B42" s="36">
        <v>40</v>
      </c>
      <c r="C42" s="568">
        <v>41145</v>
      </c>
      <c r="D42" s="560" t="s">
        <v>328</v>
      </c>
      <c r="E42" s="560" t="s">
        <v>344</v>
      </c>
      <c r="F42" s="498" t="s">
        <v>393</v>
      </c>
      <c r="G42" s="569" t="s">
        <v>390</v>
      </c>
      <c r="H42" s="569" t="s">
        <v>397</v>
      </c>
      <c r="I42" s="569" t="str">
        <f>Table1[[#This Row],[Staff]]</f>
        <v>Nicole</v>
      </c>
      <c r="J42" s="568">
        <f>Table1[[#This Row],[Date]]</f>
        <v>41145</v>
      </c>
      <c r="K42" s="525"/>
      <c r="L42" s="525"/>
    </row>
    <row r="43" spans="1:12" hidden="1">
      <c r="A43" s="567">
        <v>1</v>
      </c>
      <c r="B43" s="36">
        <v>41</v>
      </c>
      <c r="C43" s="568">
        <v>41145</v>
      </c>
      <c r="D43" s="560" t="s">
        <v>328</v>
      </c>
      <c r="E43" s="560" t="s">
        <v>344</v>
      </c>
      <c r="F43" s="498" t="s">
        <v>394</v>
      </c>
      <c r="G43" s="569" t="s">
        <v>390</v>
      </c>
      <c r="H43" s="569" t="s">
        <v>397</v>
      </c>
      <c r="I43" s="569" t="str">
        <f>Table1[[#This Row],[Staff]]</f>
        <v>Nicole</v>
      </c>
      <c r="J43" s="568">
        <f>Table1[[#This Row],[Date]]</f>
        <v>41145</v>
      </c>
      <c r="K43" s="525"/>
      <c r="L43" s="525"/>
    </row>
    <row r="44" spans="1:12" hidden="1">
      <c r="A44" s="567">
        <v>1</v>
      </c>
      <c r="B44" s="36">
        <v>42</v>
      </c>
      <c r="C44" s="568">
        <v>41145</v>
      </c>
      <c r="D44" s="560" t="s">
        <v>328</v>
      </c>
      <c r="E44" s="560" t="s">
        <v>344</v>
      </c>
      <c r="F44" s="498" t="s">
        <v>395</v>
      </c>
      <c r="G44" s="569" t="s">
        <v>390</v>
      </c>
      <c r="H44" s="569" t="s">
        <v>397</v>
      </c>
      <c r="I44" s="569" t="str">
        <f>Table1[[#This Row],[Staff]]</f>
        <v>Nicole</v>
      </c>
      <c r="J44" s="568">
        <f>Table1[[#This Row],[Date]]</f>
        <v>41145</v>
      </c>
      <c r="K44" s="525"/>
      <c r="L44" s="525"/>
    </row>
    <row r="45" spans="1:12" hidden="1">
      <c r="A45" s="567">
        <v>1</v>
      </c>
      <c r="B45" s="36">
        <v>43</v>
      </c>
      <c r="C45" s="568">
        <v>41145</v>
      </c>
      <c r="D45" s="560" t="s">
        <v>328</v>
      </c>
      <c r="E45" s="560" t="s">
        <v>344</v>
      </c>
      <c r="F45" s="498" t="s">
        <v>396</v>
      </c>
      <c r="G45" s="569" t="s">
        <v>390</v>
      </c>
      <c r="H45" s="569" t="s">
        <v>397</v>
      </c>
      <c r="I45" s="569" t="str">
        <f>Table1[[#This Row],[Staff]]</f>
        <v>Nicole</v>
      </c>
      <c r="J45" s="568">
        <f>Table1[[#This Row],[Date]]</f>
        <v>41145</v>
      </c>
      <c r="K45" s="525"/>
      <c r="L45" s="525"/>
    </row>
    <row r="46" spans="1:12" hidden="1">
      <c r="A46" s="567">
        <v>1</v>
      </c>
      <c r="B46" s="36">
        <v>44</v>
      </c>
      <c r="C46" s="568">
        <v>41145</v>
      </c>
      <c r="D46" s="560" t="s">
        <v>328</v>
      </c>
      <c r="E46" s="560" t="s">
        <v>5</v>
      </c>
      <c r="F46" s="498" t="s">
        <v>399</v>
      </c>
      <c r="G46" s="569" t="s">
        <v>390</v>
      </c>
      <c r="H46" s="569" t="s">
        <v>397</v>
      </c>
      <c r="I46" s="569" t="str">
        <f>Table1[[#This Row],[Staff]]</f>
        <v>Nicole</v>
      </c>
      <c r="J46" s="568">
        <f>Table1[[#This Row],[Date]]</f>
        <v>41145</v>
      </c>
      <c r="K46" s="525"/>
      <c r="L46" s="525"/>
    </row>
    <row r="47" spans="1:12" hidden="1">
      <c r="A47" s="567">
        <v>1</v>
      </c>
      <c r="B47" s="36">
        <v>45</v>
      </c>
      <c r="C47" s="568">
        <v>41145</v>
      </c>
      <c r="D47" s="560" t="s">
        <v>328</v>
      </c>
      <c r="E47" s="560" t="s">
        <v>5</v>
      </c>
      <c r="F47" s="498" t="s">
        <v>392</v>
      </c>
      <c r="G47" s="569" t="s">
        <v>390</v>
      </c>
      <c r="H47" s="569" t="s">
        <v>397</v>
      </c>
      <c r="I47" s="569" t="str">
        <f>Table1[[#This Row],[Staff]]</f>
        <v>Nicole</v>
      </c>
      <c r="J47" s="568">
        <f>Table1[[#This Row],[Date]]</f>
        <v>41145</v>
      </c>
      <c r="K47" s="525"/>
      <c r="L47" s="525"/>
    </row>
    <row r="48" spans="1:12" hidden="1">
      <c r="A48" s="567">
        <v>1</v>
      </c>
      <c r="B48" s="36">
        <v>46</v>
      </c>
      <c r="C48" s="568">
        <v>41145</v>
      </c>
      <c r="D48" s="560" t="s">
        <v>328</v>
      </c>
      <c r="E48" s="560" t="s">
        <v>5</v>
      </c>
      <c r="F48" s="498" t="s">
        <v>393</v>
      </c>
      <c r="G48" s="569" t="s">
        <v>390</v>
      </c>
      <c r="H48" s="569" t="s">
        <v>397</v>
      </c>
      <c r="I48" s="569" t="str">
        <f>Table1[[#This Row],[Staff]]</f>
        <v>Nicole</v>
      </c>
      <c r="J48" s="568">
        <f>Table1[[#This Row],[Date]]</f>
        <v>41145</v>
      </c>
      <c r="K48" s="525"/>
      <c r="L48" s="525"/>
    </row>
    <row r="49" spans="1:12" hidden="1">
      <c r="A49" s="567">
        <v>1</v>
      </c>
      <c r="B49" s="36">
        <v>47</v>
      </c>
      <c r="C49" s="568">
        <v>41145</v>
      </c>
      <c r="D49" s="560" t="s">
        <v>328</v>
      </c>
      <c r="E49" s="560" t="s">
        <v>5</v>
      </c>
      <c r="F49" s="498" t="s">
        <v>394</v>
      </c>
      <c r="G49" s="569" t="s">
        <v>390</v>
      </c>
      <c r="H49" s="569" t="s">
        <v>397</v>
      </c>
      <c r="I49" s="569" t="str">
        <f>Table1[[#This Row],[Staff]]</f>
        <v>Nicole</v>
      </c>
      <c r="J49" s="568">
        <f>Table1[[#This Row],[Date]]</f>
        <v>41145</v>
      </c>
      <c r="K49" s="525"/>
      <c r="L49" s="525"/>
    </row>
    <row r="50" spans="1:12" hidden="1">
      <c r="A50" s="567">
        <v>1</v>
      </c>
      <c r="B50" s="36">
        <v>48</v>
      </c>
      <c r="C50" s="568">
        <v>41145</v>
      </c>
      <c r="D50" s="560" t="s">
        <v>328</v>
      </c>
      <c r="E50" s="560" t="s">
        <v>5</v>
      </c>
      <c r="F50" s="498" t="s">
        <v>391</v>
      </c>
      <c r="G50" s="569" t="s">
        <v>390</v>
      </c>
      <c r="H50" s="569" t="s">
        <v>397</v>
      </c>
      <c r="I50" s="569" t="str">
        <f>Table1[[#This Row],[Staff]]</f>
        <v>Nicole</v>
      </c>
      <c r="J50" s="568">
        <f>Table1[[#This Row],[Date]]</f>
        <v>41145</v>
      </c>
      <c r="K50" s="525"/>
      <c r="L50" s="525"/>
    </row>
    <row r="51" spans="1:12" ht="27.6" hidden="1">
      <c r="A51" s="567">
        <v>1</v>
      </c>
      <c r="B51" s="36">
        <v>49</v>
      </c>
      <c r="C51" s="568">
        <v>41145</v>
      </c>
      <c r="D51" s="560" t="s">
        <v>328</v>
      </c>
      <c r="E51" s="560" t="s">
        <v>5</v>
      </c>
      <c r="F51" s="498" t="s">
        <v>400</v>
      </c>
      <c r="G51" s="569" t="s">
        <v>402</v>
      </c>
      <c r="H51" s="569" t="s">
        <v>403</v>
      </c>
      <c r="I51" s="569" t="str">
        <f>Table1[[#This Row],[Staff]]</f>
        <v>Nicole</v>
      </c>
      <c r="J51" s="568">
        <f>Table1[[#This Row],[Date]]</f>
        <v>41145</v>
      </c>
      <c r="K51" s="525"/>
      <c r="L51" s="525"/>
    </row>
    <row r="52" spans="1:12" ht="27.6" hidden="1">
      <c r="A52" s="567">
        <v>1</v>
      </c>
      <c r="B52" s="36">
        <v>50</v>
      </c>
      <c r="C52" s="568">
        <v>41145</v>
      </c>
      <c r="D52" s="560" t="s">
        <v>328</v>
      </c>
      <c r="E52" s="560" t="s">
        <v>5</v>
      </c>
      <c r="F52" s="498" t="s">
        <v>401</v>
      </c>
      <c r="G52" s="569" t="s">
        <v>402</v>
      </c>
      <c r="H52" s="569" t="s">
        <v>404</v>
      </c>
      <c r="I52" s="569" t="str">
        <f>Table1[[#This Row],[Staff]]</f>
        <v>Nicole</v>
      </c>
      <c r="J52" s="568">
        <f>Table1[[#This Row],[Date]]</f>
        <v>41145</v>
      </c>
      <c r="K52" s="525"/>
      <c r="L52" s="525"/>
    </row>
    <row r="53" spans="1:12" hidden="1">
      <c r="A53" s="567">
        <v>1</v>
      </c>
      <c r="B53" s="36">
        <v>51</v>
      </c>
      <c r="C53" s="568">
        <v>41145</v>
      </c>
      <c r="D53" s="560" t="s">
        <v>328</v>
      </c>
      <c r="E53" s="560" t="s">
        <v>351</v>
      </c>
      <c r="F53" s="498" t="s">
        <v>405</v>
      </c>
      <c r="G53" s="569" t="s">
        <v>390</v>
      </c>
      <c r="H53" s="569" t="s">
        <v>397</v>
      </c>
      <c r="I53" s="569" t="str">
        <f>Table1[[#This Row],[Staff]]</f>
        <v>Nicole</v>
      </c>
      <c r="J53" s="568">
        <f>Table1[[#This Row],[Date]]</f>
        <v>41145</v>
      </c>
      <c r="K53" s="525"/>
      <c r="L53" s="525"/>
    </row>
    <row r="54" spans="1:12" hidden="1">
      <c r="A54" s="567">
        <v>1</v>
      </c>
      <c r="B54" s="36">
        <v>52</v>
      </c>
      <c r="C54" s="568">
        <v>41145</v>
      </c>
      <c r="D54" s="560" t="s">
        <v>328</v>
      </c>
      <c r="E54" s="560" t="s">
        <v>351</v>
      </c>
      <c r="F54" s="498" t="s">
        <v>406</v>
      </c>
      <c r="G54" s="569" t="s">
        <v>390</v>
      </c>
      <c r="H54" s="569" t="s">
        <v>397</v>
      </c>
      <c r="I54" s="569" t="str">
        <f>Table1[[#This Row],[Staff]]</f>
        <v>Nicole</v>
      </c>
      <c r="J54" s="568">
        <f>Table1[[#This Row],[Date]]</f>
        <v>41145</v>
      </c>
      <c r="K54" s="525"/>
      <c r="L54" s="525"/>
    </row>
    <row r="55" spans="1:12" hidden="1">
      <c r="A55" s="567">
        <v>1</v>
      </c>
      <c r="B55" s="36">
        <v>53</v>
      </c>
      <c r="C55" s="568">
        <v>41145</v>
      </c>
      <c r="D55" s="560" t="s">
        <v>328</v>
      </c>
      <c r="E55" s="560" t="s">
        <v>351</v>
      </c>
      <c r="F55" s="498" t="s">
        <v>407</v>
      </c>
      <c r="G55" s="569" t="s">
        <v>390</v>
      </c>
      <c r="H55" s="569" t="s">
        <v>397</v>
      </c>
      <c r="I55" s="569" t="str">
        <f>Table1[[#This Row],[Staff]]</f>
        <v>Nicole</v>
      </c>
      <c r="J55" s="568">
        <f>Table1[[#This Row],[Date]]</f>
        <v>41145</v>
      </c>
      <c r="K55" s="525"/>
      <c r="L55" s="525"/>
    </row>
    <row r="56" spans="1:12" hidden="1">
      <c r="A56" s="567">
        <v>1</v>
      </c>
      <c r="B56" s="36">
        <v>54</v>
      </c>
      <c r="C56" s="568">
        <v>41145</v>
      </c>
      <c r="D56" s="560" t="s">
        <v>328</v>
      </c>
      <c r="E56" s="560" t="s">
        <v>351</v>
      </c>
      <c r="F56" s="498" t="s">
        <v>408</v>
      </c>
      <c r="G56" s="569" t="s">
        <v>390</v>
      </c>
      <c r="H56" s="569" t="s">
        <v>397</v>
      </c>
      <c r="I56" s="569" t="str">
        <f>Table1[[#This Row],[Staff]]</f>
        <v>Nicole</v>
      </c>
      <c r="J56" s="568">
        <f>Table1[[#This Row],[Date]]</f>
        <v>41145</v>
      </c>
      <c r="K56" s="525"/>
      <c r="L56" s="525"/>
    </row>
    <row r="57" spans="1:12" hidden="1">
      <c r="A57" s="567">
        <v>1</v>
      </c>
      <c r="B57" s="36">
        <v>55</v>
      </c>
      <c r="C57" s="568">
        <v>41145</v>
      </c>
      <c r="D57" s="560" t="s">
        <v>328</v>
      </c>
      <c r="E57" s="560" t="s">
        <v>351</v>
      </c>
      <c r="F57" s="498" t="s">
        <v>409</v>
      </c>
      <c r="G57" s="569" t="s">
        <v>390</v>
      </c>
      <c r="H57" s="569" t="s">
        <v>397</v>
      </c>
      <c r="I57" s="569" t="str">
        <f>Table1[[#This Row],[Staff]]</f>
        <v>Nicole</v>
      </c>
      <c r="J57" s="568">
        <f>Table1[[#This Row],[Date]]</f>
        <v>41145</v>
      </c>
      <c r="K57" s="525"/>
      <c r="L57" s="525"/>
    </row>
    <row r="58" spans="1:12" hidden="1">
      <c r="A58" s="567">
        <v>1</v>
      </c>
      <c r="B58" s="36">
        <v>56</v>
      </c>
      <c r="C58" s="568">
        <v>41145</v>
      </c>
      <c r="D58" s="560" t="s">
        <v>328</v>
      </c>
      <c r="E58" s="560" t="s">
        <v>351</v>
      </c>
      <c r="F58" s="498" t="s">
        <v>410</v>
      </c>
      <c r="G58" s="569" t="s">
        <v>390</v>
      </c>
      <c r="H58" s="569" t="s">
        <v>397</v>
      </c>
      <c r="I58" s="569" t="str">
        <f>Table1[[#This Row],[Staff]]</f>
        <v>Nicole</v>
      </c>
      <c r="J58" s="568">
        <f>Table1[[#This Row],[Date]]</f>
        <v>41145</v>
      </c>
      <c r="K58" s="525"/>
      <c r="L58" s="525"/>
    </row>
    <row r="59" spans="1:12" hidden="1">
      <c r="A59" s="567">
        <v>1</v>
      </c>
      <c r="B59" s="36">
        <v>57</v>
      </c>
      <c r="C59" s="568">
        <v>41145</v>
      </c>
      <c r="D59" s="560" t="s">
        <v>328</v>
      </c>
      <c r="E59" s="560" t="s">
        <v>351</v>
      </c>
      <c r="F59" s="498" t="s">
        <v>411</v>
      </c>
      <c r="G59" s="569" t="s">
        <v>390</v>
      </c>
      <c r="H59" s="569" t="s">
        <v>397</v>
      </c>
      <c r="I59" s="569" t="str">
        <f>Table1[[#This Row],[Staff]]</f>
        <v>Nicole</v>
      </c>
      <c r="J59" s="568">
        <f>Table1[[#This Row],[Date]]</f>
        <v>41145</v>
      </c>
      <c r="K59" s="525"/>
      <c r="L59" s="525"/>
    </row>
    <row r="60" spans="1:12" hidden="1">
      <c r="A60" s="567">
        <v>1</v>
      </c>
      <c r="B60" s="36">
        <v>58</v>
      </c>
      <c r="C60" s="568">
        <v>41145</v>
      </c>
      <c r="D60" s="560" t="s">
        <v>328</v>
      </c>
      <c r="E60" s="560" t="s">
        <v>351</v>
      </c>
      <c r="F60" s="498" t="s">
        <v>412</v>
      </c>
      <c r="G60" s="569" t="s">
        <v>390</v>
      </c>
      <c r="H60" s="569" t="s">
        <v>397</v>
      </c>
      <c r="I60" s="569" t="str">
        <f>Table1[[#This Row],[Staff]]</f>
        <v>Nicole</v>
      </c>
      <c r="J60" s="568">
        <f>Table1[[#This Row],[Date]]</f>
        <v>41145</v>
      </c>
      <c r="K60" s="525"/>
      <c r="L60" s="525"/>
    </row>
    <row r="61" spans="1:12" hidden="1">
      <c r="A61" s="567">
        <v>1</v>
      </c>
      <c r="B61" s="36">
        <v>59</v>
      </c>
      <c r="C61" s="568">
        <v>41145</v>
      </c>
      <c r="D61" s="560" t="s">
        <v>328</v>
      </c>
      <c r="E61" s="560" t="s">
        <v>351</v>
      </c>
      <c r="F61" s="498" t="s">
        <v>413</v>
      </c>
      <c r="G61" s="569" t="s">
        <v>390</v>
      </c>
      <c r="H61" s="569" t="s">
        <v>397</v>
      </c>
      <c r="I61" s="569" t="str">
        <f>Table1[[#This Row],[Staff]]</f>
        <v>Nicole</v>
      </c>
      <c r="J61" s="568">
        <f>Table1[[#This Row],[Date]]</f>
        <v>41145</v>
      </c>
      <c r="K61" s="525"/>
      <c r="L61" s="525"/>
    </row>
    <row r="62" spans="1:12" hidden="1">
      <c r="A62" s="567">
        <v>1</v>
      </c>
      <c r="B62" s="36">
        <v>60</v>
      </c>
      <c r="C62" s="568">
        <v>41145</v>
      </c>
      <c r="D62" s="560" t="s">
        <v>328</v>
      </c>
      <c r="E62" s="560" t="s">
        <v>351</v>
      </c>
      <c r="F62" s="498" t="s">
        <v>414</v>
      </c>
      <c r="G62" s="569" t="s">
        <v>390</v>
      </c>
      <c r="H62" s="569" t="s">
        <v>397</v>
      </c>
      <c r="I62" s="569" t="str">
        <f>Table1[[#This Row],[Staff]]</f>
        <v>Nicole</v>
      </c>
      <c r="J62" s="568">
        <f>Table1[[#This Row],[Date]]</f>
        <v>41145</v>
      </c>
      <c r="K62" s="525"/>
      <c r="L62" s="525"/>
    </row>
    <row r="63" spans="1:12" hidden="1">
      <c r="A63" s="567">
        <v>1</v>
      </c>
      <c r="B63" s="36">
        <v>61</v>
      </c>
      <c r="C63" s="568">
        <v>41145</v>
      </c>
      <c r="D63" s="560" t="s">
        <v>328</v>
      </c>
      <c r="E63" s="560" t="s">
        <v>354</v>
      </c>
      <c r="F63" s="498" t="s">
        <v>405</v>
      </c>
      <c r="G63" s="569" t="s">
        <v>390</v>
      </c>
      <c r="H63" s="569" t="s">
        <v>397</v>
      </c>
      <c r="I63" s="569" t="str">
        <f>Table1[[#This Row],[Staff]]</f>
        <v>Nicole</v>
      </c>
      <c r="J63" s="568">
        <f>Table1[[#This Row],[Date]]</f>
        <v>41145</v>
      </c>
      <c r="K63" s="525"/>
      <c r="L63" s="525"/>
    </row>
    <row r="64" spans="1:12" hidden="1">
      <c r="A64" s="567">
        <v>1</v>
      </c>
      <c r="B64" s="36">
        <v>62</v>
      </c>
      <c r="C64" s="568">
        <v>41145</v>
      </c>
      <c r="D64" s="560" t="s">
        <v>328</v>
      </c>
      <c r="E64" s="560" t="s">
        <v>354</v>
      </c>
      <c r="F64" s="498" t="s">
        <v>415</v>
      </c>
      <c r="G64" s="569" t="s">
        <v>390</v>
      </c>
      <c r="H64" s="569" t="s">
        <v>397</v>
      </c>
      <c r="I64" s="569" t="str">
        <f>Table1[[#This Row],[Staff]]</f>
        <v>Nicole</v>
      </c>
      <c r="J64" s="568">
        <f>Table1[[#This Row],[Date]]</f>
        <v>41145</v>
      </c>
      <c r="K64" s="525"/>
      <c r="L64" s="525"/>
    </row>
    <row r="65" spans="1:12" hidden="1">
      <c r="A65" s="567">
        <v>1</v>
      </c>
      <c r="B65" s="36">
        <v>63</v>
      </c>
      <c r="C65" s="568">
        <v>41145</v>
      </c>
      <c r="D65" s="560" t="s">
        <v>328</v>
      </c>
      <c r="E65" s="560" t="s">
        <v>354</v>
      </c>
      <c r="F65" s="498" t="s">
        <v>416</v>
      </c>
      <c r="G65" s="569" t="s">
        <v>390</v>
      </c>
      <c r="H65" s="569" t="s">
        <v>397</v>
      </c>
      <c r="I65" s="569" t="str">
        <f>Table1[[#This Row],[Staff]]</f>
        <v>Nicole</v>
      </c>
      <c r="J65" s="568">
        <f>Table1[[#This Row],[Date]]</f>
        <v>41145</v>
      </c>
      <c r="K65" s="525"/>
      <c r="L65" s="525"/>
    </row>
    <row r="66" spans="1:12" hidden="1">
      <c r="A66" s="567">
        <v>1</v>
      </c>
      <c r="B66" s="36">
        <v>64</v>
      </c>
      <c r="C66" s="568">
        <v>41145</v>
      </c>
      <c r="D66" s="560" t="s">
        <v>328</v>
      </c>
      <c r="E66" s="560" t="s">
        <v>354</v>
      </c>
      <c r="F66" s="498" t="s">
        <v>417</v>
      </c>
      <c r="G66" s="569" t="s">
        <v>390</v>
      </c>
      <c r="H66" s="569" t="s">
        <v>397</v>
      </c>
      <c r="I66" s="569" t="str">
        <f>Table1[[#This Row],[Staff]]</f>
        <v>Nicole</v>
      </c>
      <c r="J66" s="568">
        <f>Table1[[#This Row],[Date]]</f>
        <v>41145</v>
      </c>
      <c r="K66" s="525"/>
      <c r="L66" s="525"/>
    </row>
    <row r="67" spans="1:12" hidden="1">
      <c r="A67" s="567">
        <v>1</v>
      </c>
      <c r="B67" s="36">
        <v>65</v>
      </c>
      <c r="C67" s="568">
        <v>41145</v>
      </c>
      <c r="D67" s="560" t="s">
        <v>328</v>
      </c>
      <c r="E67" s="560" t="s">
        <v>354</v>
      </c>
      <c r="F67" s="498" t="s">
        <v>418</v>
      </c>
      <c r="G67" s="569" t="s">
        <v>390</v>
      </c>
      <c r="H67" s="569" t="s">
        <v>397</v>
      </c>
      <c r="I67" s="569" t="str">
        <f>Table1[[#This Row],[Staff]]</f>
        <v>Nicole</v>
      </c>
      <c r="J67" s="568">
        <f>Table1[[#This Row],[Date]]</f>
        <v>41145</v>
      </c>
      <c r="K67" s="525"/>
      <c r="L67" s="525"/>
    </row>
    <row r="68" spans="1:12" hidden="1">
      <c r="A68" s="567">
        <v>1</v>
      </c>
      <c r="B68" s="36">
        <v>66</v>
      </c>
      <c r="C68" s="568">
        <v>41145</v>
      </c>
      <c r="D68" s="560" t="s">
        <v>328</v>
      </c>
      <c r="E68" s="560" t="s">
        <v>354</v>
      </c>
      <c r="F68" s="498" t="s">
        <v>419</v>
      </c>
      <c r="G68" s="569" t="s">
        <v>390</v>
      </c>
      <c r="H68" s="569" t="s">
        <v>397</v>
      </c>
      <c r="I68" s="569" t="str">
        <f>Table1[[#This Row],[Staff]]</f>
        <v>Nicole</v>
      </c>
      <c r="J68" s="568">
        <f>Table1[[#This Row],[Date]]</f>
        <v>41145</v>
      </c>
      <c r="K68" s="525"/>
      <c r="L68" s="525"/>
    </row>
    <row r="69" spans="1:12" hidden="1">
      <c r="A69" s="567">
        <v>1</v>
      </c>
      <c r="B69" s="36">
        <v>67</v>
      </c>
      <c r="C69" s="568">
        <v>41145</v>
      </c>
      <c r="D69" s="560" t="s">
        <v>328</v>
      </c>
      <c r="E69" s="560" t="s">
        <v>354</v>
      </c>
      <c r="F69" s="498" t="s">
        <v>420</v>
      </c>
      <c r="G69" s="569" t="s">
        <v>390</v>
      </c>
      <c r="H69" s="569" t="s">
        <v>397</v>
      </c>
      <c r="I69" s="569" t="str">
        <f>Table1[[#This Row],[Staff]]</f>
        <v>Nicole</v>
      </c>
      <c r="J69" s="568">
        <f>Table1[[#This Row],[Date]]</f>
        <v>41145</v>
      </c>
      <c r="K69" s="525"/>
      <c r="L69" s="525"/>
    </row>
    <row r="70" spans="1:12" hidden="1">
      <c r="A70" s="567">
        <v>1</v>
      </c>
      <c r="B70" s="36">
        <v>68</v>
      </c>
      <c r="C70" s="568">
        <v>41145</v>
      </c>
      <c r="D70" s="560" t="s">
        <v>328</v>
      </c>
      <c r="E70" s="560" t="s">
        <v>354</v>
      </c>
      <c r="F70" s="498" t="s">
        <v>421</v>
      </c>
      <c r="G70" s="569" t="s">
        <v>390</v>
      </c>
      <c r="H70" s="569" t="s">
        <v>397</v>
      </c>
      <c r="I70" s="569" t="str">
        <f>Table1[[#This Row],[Staff]]</f>
        <v>Nicole</v>
      </c>
      <c r="J70" s="568">
        <f>Table1[[#This Row],[Date]]</f>
        <v>41145</v>
      </c>
      <c r="K70" s="525"/>
      <c r="L70" s="525"/>
    </row>
    <row r="71" spans="1:12" hidden="1">
      <c r="A71" s="567">
        <v>1</v>
      </c>
      <c r="B71" s="36">
        <v>69</v>
      </c>
      <c r="C71" s="568">
        <v>41145</v>
      </c>
      <c r="D71" s="560" t="s">
        <v>328</v>
      </c>
      <c r="E71" s="560" t="s">
        <v>351</v>
      </c>
      <c r="F71" s="498" t="s">
        <v>422</v>
      </c>
      <c r="G71" s="569" t="s">
        <v>423</v>
      </c>
      <c r="H71" s="569" t="s">
        <v>424</v>
      </c>
      <c r="I71" s="569" t="str">
        <f>Table1[[#This Row],[Staff]]</f>
        <v>Nicole</v>
      </c>
      <c r="J71" s="568">
        <f>Table1[[#This Row],[Date]]</f>
        <v>41145</v>
      </c>
      <c r="K71" s="525"/>
      <c r="L71" s="525"/>
    </row>
    <row r="72" spans="1:12" hidden="1">
      <c r="A72" s="567">
        <v>1</v>
      </c>
      <c r="B72" s="36">
        <v>70</v>
      </c>
      <c r="C72" s="568">
        <v>41145</v>
      </c>
      <c r="D72" s="560" t="s">
        <v>328</v>
      </c>
      <c r="E72" s="560" t="s">
        <v>57</v>
      </c>
      <c r="F72" s="498" t="s">
        <v>391</v>
      </c>
      <c r="G72" s="569" t="s">
        <v>390</v>
      </c>
      <c r="H72" s="569" t="s">
        <v>397</v>
      </c>
      <c r="I72" s="569" t="str">
        <f>Table1[[#This Row],[Staff]]</f>
        <v>Nicole</v>
      </c>
      <c r="J72" s="568">
        <f>Table1[[#This Row],[Date]]</f>
        <v>41145</v>
      </c>
      <c r="K72" s="525"/>
      <c r="L72" s="525"/>
    </row>
    <row r="73" spans="1:12" hidden="1">
      <c r="A73" s="567">
        <v>1</v>
      </c>
      <c r="B73" s="36">
        <v>71</v>
      </c>
      <c r="C73" s="568">
        <v>41145</v>
      </c>
      <c r="D73" s="560" t="s">
        <v>328</v>
      </c>
      <c r="E73" s="560" t="s">
        <v>57</v>
      </c>
      <c r="F73" s="498" t="s">
        <v>425</v>
      </c>
      <c r="G73" s="569" t="s">
        <v>390</v>
      </c>
      <c r="H73" s="569" t="s">
        <v>397</v>
      </c>
      <c r="I73" s="569" t="str">
        <f>Table1[[#This Row],[Staff]]</f>
        <v>Nicole</v>
      </c>
      <c r="J73" s="568">
        <f>Table1[[#This Row],[Date]]</f>
        <v>41145</v>
      </c>
      <c r="K73" s="525"/>
      <c r="L73" s="525"/>
    </row>
    <row r="74" spans="1:12" hidden="1">
      <c r="A74" s="567">
        <v>1</v>
      </c>
      <c r="B74" s="36">
        <v>72</v>
      </c>
      <c r="C74" s="568">
        <v>41145</v>
      </c>
      <c r="D74" s="560" t="s">
        <v>328</v>
      </c>
      <c r="E74" s="560" t="s">
        <v>57</v>
      </c>
      <c r="F74" s="498" t="s">
        <v>426</v>
      </c>
      <c r="G74" s="569" t="s">
        <v>390</v>
      </c>
      <c r="H74" s="569" t="s">
        <v>397</v>
      </c>
      <c r="I74" s="569" t="str">
        <f>Table1[[#This Row],[Staff]]</f>
        <v>Nicole</v>
      </c>
      <c r="J74" s="568">
        <f>Table1[[#This Row],[Date]]</f>
        <v>41145</v>
      </c>
      <c r="K74" s="525"/>
      <c r="L74" s="525"/>
    </row>
    <row r="75" spans="1:12" hidden="1">
      <c r="A75" s="567">
        <v>1</v>
      </c>
      <c r="B75" s="36">
        <v>73</v>
      </c>
      <c r="C75" s="568">
        <v>41145</v>
      </c>
      <c r="D75" s="560" t="s">
        <v>328</v>
      </c>
      <c r="E75" s="560" t="s">
        <v>57</v>
      </c>
      <c r="F75" s="498" t="s">
        <v>427</v>
      </c>
      <c r="G75" s="569" t="s">
        <v>390</v>
      </c>
      <c r="H75" s="569" t="s">
        <v>397</v>
      </c>
      <c r="I75" s="569" t="str">
        <f>Table1[[#This Row],[Staff]]</f>
        <v>Nicole</v>
      </c>
      <c r="J75" s="568">
        <f>Table1[[#This Row],[Date]]</f>
        <v>41145</v>
      </c>
      <c r="K75" s="525"/>
      <c r="L75" s="525"/>
    </row>
    <row r="76" spans="1:12" hidden="1">
      <c r="A76" s="567">
        <v>1</v>
      </c>
      <c r="B76" s="36">
        <v>74</v>
      </c>
      <c r="C76" s="568">
        <v>41145</v>
      </c>
      <c r="D76" s="560" t="s">
        <v>328</v>
      </c>
      <c r="E76" s="560" t="s">
        <v>57</v>
      </c>
      <c r="F76" s="498" t="s">
        <v>428</v>
      </c>
      <c r="G76" s="569" t="s">
        <v>390</v>
      </c>
      <c r="H76" s="569" t="s">
        <v>397</v>
      </c>
      <c r="I76" s="569" t="str">
        <f>Table1[[#This Row],[Staff]]</f>
        <v>Nicole</v>
      </c>
      <c r="J76" s="568">
        <f>Table1[[#This Row],[Date]]</f>
        <v>41145</v>
      </c>
      <c r="K76" s="525"/>
      <c r="L76" s="525"/>
    </row>
    <row r="77" spans="1:12" hidden="1">
      <c r="A77" s="567">
        <v>1</v>
      </c>
      <c r="B77" s="36">
        <v>75</v>
      </c>
      <c r="C77" s="568">
        <v>41145</v>
      </c>
      <c r="D77" s="560" t="s">
        <v>328</v>
      </c>
      <c r="E77" s="560" t="s">
        <v>57</v>
      </c>
      <c r="F77" s="498" t="s">
        <v>429</v>
      </c>
      <c r="G77" s="569" t="s">
        <v>390</v>
      </c>
      <c r="H77" s="569" t="s">
        <v>397</v>
      </c>
      <c r="I77" s="569" t="str">
        <f>Table1[[#This Row],[Staff]]</f>
        <v>Nicole</v>
      </c>
      <c r="J77" s="568">
        <f>Table1[[#This Row],[Date]]</f>
        <v>41145</v>
      </c>
      <c r="K77" s="525"/>
      <c r="L77" s="525"/>
    </row>
    <row r="78" spans="1:12" hidden="1">
      <c r="A78" s="567">
        <v>1</v>
      </c>
      <c r="B78" s="36">
        <v>76</v>
      </c>
      <c r="C78" s="568">
        <v>41145</v>
      </c>
      <c r="D78" s="570" t="s">
        <v>328</v>
      </c>
      <c r="E78" s="560" t="s">
        <v>359</v>
      </c>
      <c r="F78" s="498" t="s">
        <v>430</v>
      </c>
      <c r="G78" s="569" t="s">
        <v>390</v>
      </c>
      <c r="H78" s="569" t="s">
        <v>397</v>
      </c>
      <c r="I78" s="569" t="str">
        <f>Table1[[#This Row],[Staff]]</f>
        <v>Nicole</v>
      </c>
      <c r="J78" s="568">
        <f>Table1[[#This Row],[Date]]</f>
        <v>41145</v>
      </c>
      <c r="K78" s="525"/>
      <c r="L78" s="525"/>
    </row>
    <row r="79" spans="1:12" hidden="1">
      <c r="A79" s="567">
        <v>1</v>
      </c>
      <c r="B79" s="36">
        <v>77</v>
      </c>
      <c r="C79" s="568">
        <v>41145</v>
      </c>
      <c r="D79" s="570" t="s">
        <v>328</v>
      </c>
      <c r="E79" s="560" t="s">
        <v>359</v>
      </c>
      <c r="F79" s="498" t="s">
        <v>431</v>
      </c>
      <c r="G79" s="569" t="s">
        <v>390</v>
      </c>
      <c r="H79" s="569" t="s">
        <v>397</v>
      </c>
      <c r="I79" s="569" t="str">
        <f>Table1[[#This Row],[Staff]]</f>
        <v>Nicole</v>
      </c>
      <c r="J79" s="568">
        <f>Table1[[#This Row],[Date]]</f>
        <v>41145</v>
      </c>
      <c r="K79" s="525"/>
      <c r="L79" s="525"/>
    </row>
    <row r="80" spans="1:12" hidden="1">
      <c r="A80" s="567">
        <v>1</v>
      </c>
      <c r="B80" s="36">
        <v>78</v>
      </c>
      <c r="C80" s="568">
        <v>41145</v>
      </c>
      <c r="D80" s="570" t="s">
        <v>328</v>
      </c>
      <c r="E80" s="560" t="s">
        <v>359</v>
      </c>
      <c r="F80" s="498" t="s">
        <v>393</v>
      </c>
      <c r="G80" s="569" t="s">
        <v>390</v>
      </c>
      <c r="H80" s="569" t="s">
        <v>397</v>
      </c>
      <c r="I80" s="569" t="str">
        <f>Table1[[#This Row],[Staff]]</f>
        <v>Nicole</v>
      </c>
      <c r="J80" s="568">
        <f>Table1[[#This Row],[Date]]</f>
        <v>41145</v>
      </c>
      <c r="K80" s="525"/>
      <c r="L80" s="525"/>
    </row>
    <row r="81" spans="1:35" hidden="1">
      <c r="A81" s="567">
        <v>1</v>
      </c>
      <c r="B81" s="36">
        <v>79</v>
      </c>
      <c r="C81" s="568">
        <v>41145</v>
      </c>
      <c r="D81" s="570" t="s">
        <v>328</v>
      </c>
      <c r="E81" s="560" t="s">
        <v>359</v>
      </c>
      <c r="F81" s="498" t="s">
        <v>432</v>
      </c>
      <c r="G81" s="569" t="s">
        <v>390</v>
      </c>
      <c r="H81" s="569" t="s">
        <v>397</v>
      </c>
      <c r="I81" s="569" t="str">
        <f>Table1[[#This Row],[Staff]]</f>
        <v>Nicole</v>
      </c>
      <c r="J81" s="568">
        <f>Table1[[#This Row],[Date]]</f>
        <v>41145</v>
      </c>
      <c r="K81" s="525"/>
      <c r="L81" s="525"/>
    </row>
    <row r="82" spans="1:35" hidden="1">
      <c r="A82" s="567">
        <v>1</v>
      </c>
      <c r="B82" s="36">
        <v>80</v>
      </c>
      <c r="C82" s="568">
        <v>41145</v>
      </c>
      <c r="D82" s="570" t="s">
        <v>328</v>
      </c>
      <c r="E82" s="560" t="s">
        <v>359</v>
      </c>
      <c r="F82" s="498" t="s">
        <v>433</v>
      </c>
      <c r="G82" s="569" t="s">
        <v>390</v>
      </c>
      <c r="H82" s="569" t="s">
        <v>397</v>
      </c>
      <c r="I82" s="569" t="str">
        <f>Table1[[#This Row],[Staff]]</f>
        <v>Nicole</v>
      </c>
      <c r="J82" s="568">
        <f>Table1[[#This Row],[Date]]</f>
        <v>41145</v>
      </c>
      <c r="K82" s="525"/>
      <c r="L82" s="525"/>
    </row>
    <row r="83" spans="1:35" hidden="1">
      <c r="A83" s="567">
        <v>1</v>
      </c>
      <c r="B83" s="36">
        <v>81</v>
      </c>
      <c r="C83" s="568">
        <v>41145</v>
      </c>
      <c r="D83" s="570" t="s">
        <v>328</v>
      </c>
      <c r="E83" s="560" t="s">
        <v>359</v>
      </c>
      <c r="F83" s="498" t="s">
        <v>434</v>
      </c>
      <c r="G83" s="569" t="s">
        <v>390</v>
      </c>
      <c r="H83" s="569" t="s">
        <v>397</v>
      </c>
      <c r="I83" s="569" t="str">
        <f>Table1[[#This Row],[Staff]]</f>
        <v>Nicole</v>
      </c>
      <c r="J83" s="568">
        <f>Table1[[#This Row],[Date]]</f>
        <v>41145</v>
      </c>
      <c r="K83" s="525"/>
      <c r="L83" s="525"/>
    </row>
    <row r="84" spans="1:35" hidden="1">
      <c r="A84" s="567">
        <v>1</v>
      </c>
      <c r="B84" s="36">
        <v>82</v>
      </c>
      <c r="C84" s="568">
        <v>41148</v>
      </c>
      <c r="D84" s="572" t="s">
        <v>328</v>
      </c>
      <c r="E84" s="572" t="s">
        <v>361</v>
      </c>
      <c r="F84" s="498" t="s">
        <v>430</v>
      </c>
      <c r="G84" s="569" t="s">
        <v>390</v>
      </c>
      <c r="H84" s="569" t="s">
        <v>397</v>
      </c>
      <c r="I84" s="569" t="str">
        <f>Table1[[#This Row],[Staff]]</f>
        <v>Nicole</v>
      </c>
      <c r="J84" s="568">
        <f>Table1[[#This Row],[Date]]</f>
        <v>41148</v>
      </c>
      <c r="K84" s="525"/>
      <c r="L84" s="525"/>
    </row>
    <row r="85" spans="1:35" s="570" customFormat="1" hidden="1">
      <c r="A85" s="567">
        <v>1</v>
      </c>
      <c r="B85" s="36">
        <v>83</v>
      </c>
      <c r="C85" s="568">
        <v>41148</v>
      </c>
      <c r="D85" s="572" t="s">
        <v>328</v>
      </c>
      <c r="E85" s="572" t="s">
        <v>361</v>
      </c>
      <c r="F85" s="498" t="s">
        <v>439</v>
      </c>
      <c r="G85" s="569" t="s">
        <v>390</v>
      </c>
      <c r="H85" s="569" t="s">
        <v>397</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328</v>
      </c>
      <c r="E86" s="572" t="s">
        <v>361</v>
      </c>
      <c r="F86" s="498" t="s">
        <v>431</v>
      </c>
      <c r="G86" s="569" t="s">
        <v>390</v>
      </c>
      <c r="H86" s="569" t="s">
        <v>397</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328</v>
      </c>
      <c r="E87" s="572" t="s">
        <v>361</v>
      </c>
      <c r="F87" s="498" t="s">
        <v>393</v>
      </c>
      <c r="G87" s="569" t="s">
        <v>390</v>
      </c>
      <c r="H87" s="569" t="s">
        <v>397</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328</v>
      </c>
      <c r="E88" s="572" t="s">
        <v>361</v>
      </c>
      <c r="F88" s="498" t="s">
        <v>432</v>
      </c>
      <c r="G88" s="569" t="s">
        <v>390</v>
      </c>
      <c r="H88" s="569" t="s">
        <v>397</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328</v>
      </c>
      <c r="E89" s="572" t="s">
        <v>361</v>
      </c>
      <c r="F89" s="498" t="s">
        <v>433</v>
      </c>
      <c r="G89" s="569" t="s">
        <v>390</v>
      </c>
      <c r="H89" s="569" t="s">
        <v>397</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328</v>
      </c>
      <c r="E90" s="572" t="s">
        <v>361</v>
      </c>
      <c r="F90" s="498" t="s">
        <v>434</v>
      </c>
      <c r="G90" s="569" t="s">
        <v>390</v>
      </c>
      <c r="H90" s="569" t="s">
        <v>397</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328</v>
      </c>
      <c r="E91" s="572" t="s">
        <v>367</v>
      </c>
      <c r="F91" s="498" t="s">
        <v>430</v>
      </c>
      <c r="G91" s="569" t="s">
        <v>390</v>
      </c>
      <c r="H91" s="569" t="s">
        <v>397</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328</v>
      </c>
      <c r="E92" s="572" t="s">
        <v>367</v>
      </c>
      <c r="F92" s="498" t="s">
        <v>431</v>
      </c>
      <c r="G92" s="569" t="s">
        <v>390</v>
      </c>
      <c r="H92" s="569" t="s">
        <v>397</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328</v>
      </c>
      <c r="E93" s="572" t="s">
        <v>367</v>
      </c>
      <c r="F93" s="498" t="s">
        <v>393</v>
      </c>
      <c r="G93" s="569" t="s">
        <v>390</v>
      </c>
      <c r="H93" s="569" t="s">
        <v>397</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328</v>
      </c>
      <c r="E94" s="572" t="s">
        <v>367</v>
      </c>
      <c r="F94" s="498" t="s">
        <v>432</v>
      </c>
      <c r="G94" s="569" t="s">
        <v>390</v>
      </c>
      <c r="H94" s="569" t="s">
        <v>397</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328</v>
      </c>
      <c r="E95" s="572" t="s">
        <v>367</v>
      </c>
      <c r="F95" s="498" t="s">
        <v>433</v>
      </c>
      <c r="G95" s="569" t="s">
        <v>390</v>
      </c>
      <c r="H95" s="569" t="s">
        <v>397</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328</v>
      </c>
      <c r="E96" s="572" t="s">
        <v>367</v>
      </c>
      <c r="F96" s="498" t="s">
        <v>434</v>
      </c>
      <c r="G96" s="569" t="s">
        <v>390</v>
      </c>
      <c r="H96" s="569" t="s">
        <v>397</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328</v>
      </c>
      <c r="E97" s="572" t="s">
        <v>367</v>
      </c>
      <c r="F97" s="498" t="s">
        <v>440</v>
      </c>
      <c r="G97" s="569" t="s">
        <v>390</v>
      </c>
      <c r="H97" s="569" t="s">
        <v>397</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328</v>
      </c>
      <c r="E98" s="572" t="s">
        <v>367</v>
      </c>
      <c r="F98" s="498" t="s">
        <v>441</v>
      </c>
      <c r="G98" s="569" t="s">
        <v>390</v>
      </c>
      <c r="H98" s="569" t="s">
        <v>397</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328</v>
      </c>
      <c r="E99" s="575" t="s">
        <v>372</v>
      </c>
      <c r="F99" s="498" t="s">
        <v>430</v>
      </c>
      <c r="G99" s="569" t="s">
        <v>390</v>
      </c>
      <c r="H99" s="569" t="s">
        <v>397</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328</v>
      </c>
      <c r="E100" s="575" t="s">
        <v>372</v>
      </c>
      <c r="F100" s="498" t="s">
        <v>431</v>
      </c>
      <c r="G100" s="569" t="s">
        <v>390</v>
      </c>
      <c r="H100" s="569" t="s">
        <v>397</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328</v>
      </c>
      <c r="E101" s="575" t="s">
        <v>372</v>
      </c>
      <c r="F101" s="498" t="s">
        <v>393</v>
      </c>
      <c r="G101" s="569" t="s">
        <v>390</v>
      </c>
      <c r="H101" s="569" t="s">
        <v>397</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328</v>
      </c>
      <c r="E102" s="575" t="s">
        <v>372</v>
      </c>
      <c r="F102" s="498" t="s">
        <v>432</v>
      </c>
      <c r="G102" s="569" t="s">
        <v>390</v>
      </c>
      <c r="H102" s="569" t="s">
        <v>397</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328</v>
      </c>
      <c r="E103" s="575" t="s">
        <v>372</v>
      </c>
      <c r="F103" s="498" t="s">
        <v>433</v>
      </c>
      <c r="G103" s="569" t="s">
        <v>390</v>
      </c>
      <c r="H103" s="569" t="s">
        <v>397</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328</v>
      </c>
      <c r="E104" s="575" t="s">
        <v>372</v>
      </c>
      <c r="F104" s="498" t="s">
        <v>434</v>
      </c>
      <c r="G104" s="569" t="s">
        <v>390</v>
      </c>
      <c r="H104" s="569" t="s">
        <v>397</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328</v>
      </c>
      <c r="E105" s="575" t="s">
        <v>375</v>
      </c>
      <c r="F105" s="498" t="s">
        <v>430</v>
      </c>
      <c r="G105" s="569" t="s">
        <v>390</v>
      </c>
      <c r="H105" s="569" t="s">
        <v>397</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328</v>
      </c>
      <c r="E106" s="575" t="s">
        <v>375</v>
      </c>
      <c r="F106" s="498" t="s">
        <v>431</v>
      </c>
      <c r="G106" s="569" t="s">
        <v>390</v>
      </c>
      <c r="H106" s="569" t="s">
        <v>397</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328</v>
      </c>
      <c r="E107" s="575" t="s">
        <v>70</v>
      </c>
      <c r="F107" s="498" t="s">
        <v>439</v>
      </c>
      <c r="G107" s="569" t="s">
        <v>390</v>
      </c>
      <c r="H107" s="569" t="s">
        <v>397</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328</v>
      </c>
      <c r="E108" s="575" t="s">
        <v>70</v>
      </c>
      <c r="F108" s="498" t="s">
        <v>442</v>
      </c>
      <c r="G108" s="569" t="s">
        <v>390</v>
      </c>
      <c r="H108" s="569" t="s">
        <v>397</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328</v>
      </c>
      <c r="E109" s="575" t="s">
        <v>70</v>
      </c>
      <c r="F109" s="498" t="s">
        <v>443</v>
      </c>
      <c r="G109" s="569" t="s">
        <v>390</v>
      </c>
      <c r="H109" s="569" t="s">
        <v>397</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328</v>
      </c>
      <c r="E110" s="575" t="s">
        <v>70</v>
      </c>
      <c r="F110" s="498" t="s">
        <v>444</v>
      </c>
      <c r="G110" s="569" t="s">
        <v>390</v>
      </c>
      <c r="H110" s="569" t="s">
        <v>397</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328</v>
      </c>
      <c r="E111" s="575" t="s">
        <v>70</v>
      </c>
      <c r="F111" s="498" t="s">
        <v>445</v>
      </c>
      <c r="G111" s="569" t="s">
        <v>390</v>
      </c>
      <c r="H111" s="569" t="s">
        <v>397</v>
      </c>
      <c r="I111" s="569" t="str">
        <f>Table1[[#This Row],[Staff]]</f>
        <v>Nicole</v>
      </c>
      <c r="J111" s="568">
        <f>Table1[[#This Row],[Date]]</f>
        <v>41148</v>
      </c>
      <c r="K111" s="525"/>
      <c r="L111" s="525"/>
    </row>
    <row r="112" spans="1:35" hidden="1">
      <c r="A112" s="567">
        <v>1</v>
      </c>
      <c r="B112" s="36">
        <v>110</v>
      </c>
      <c r="C112" s="568">
        <v>41148</v>
      </c>
      <c r="D112" s="575" t="s">
        <v>328</v>
      </c>
      <c r="E112" s="575" t="s">
        <v>70</v>
      </c>
      <c r="F112" s="498" t="s">
        <v>446</v>
      </c>
      <c r="G112" s="569" t="s">
        <v>390</v>
      </c>
      <c r="H112" s="569" t="s">
        <v>397</v>
      </c>
      <c r="I112" s="569" t="str">
        <f>Table1[[#This Row],[Staff]]</f>
        <v>Nicole</v>
      </c>
      <c r="J112" s="568">
        <f>Table1[[#This Row],[Date]]</f>
        <v>41148</v>
      </c>
      <c r="K112" s="525"/>
      <c r="L112" s="525"/>
    </row>
    <row r="113" spans="1:35" s="570" customFormat="1" hidden="1">
      <c r="A113" s="567">
        <v>1</v>
      </c>
      <c r="B113" s="36">
        <v>111</v>
      </c>
      <c r="C113" s="568">
        <v>41148</v>
      </c>
      <c r="D113" s="575" t="s">
        <v>328</v>
      </c>
      <c r="E113" s="575" t="s">
        <v>79</v>
      </c>
      <c r="F113" s="498" t="s">
        <v>430</v>
      </c>
      <c r="G113" s="569" t="s">
        <v>390</v>
      </c>
      <c r="H113" s="569" t="s">
        <v>397</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328</v>
      </c>
      <c r="E114" s="575" t="s">
        <v>79</v>
      </c>
      <c r="F114" s="498" t="s">
        <v>431</v>
      </c>
      <c r="G114" s="569" t="s">
        <v>390</v>
      </c>
      <c r="H114" s="569" t="s">
        <v>397</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328</v>
      </c>
      <c r="E115" s="575" t="s">
        <v>79</v>
      </c>
      <c r="F115" s="498" t="s">
        <v>393</v>
      </c>
      <c r="G115" s="569" t="s">
        <v>390</v>
      </c>
      <c r="H115" s="569" t="s">
        <v>397</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328</v>
      </c>
      <c r="E116" s="575" t="s">
        <v>79</v>
      </c>
      <c r="F116" s="498" t="s">
        <v>432</v>
      </c>
      <c r="G116" s="569" t="s">
        <v>390</v>
      </c>
      <c r="H116" s="569" t="s">
        <v>397</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328</v>
      </c>
      <c r="E117" s="575" t="s">
        <v>79</v>
      </c>
      <c r="F117" s="498" t="s">
        <v>433</v>
      </c>
      <c r="G117" s="569" t="s">
        <v>390</v>
      </c>
      <c r="H117" s="569" t="s">
        <v>397</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328</v>
      </c>
      <c r="E118" s="575" t="s">
        <v>79</v>
      </c>
      <c r="F118" s="498" t="s">
        <v>434</v>
      </c>
      <c r="G118" s="569" t="s">
        <v>390</v>
      </c>
      <c r="H118" s="569" t="s">
        <v>397</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328</v>
      </c>
      <c r="E119" s="575" t="s">
        <v>79</v>
      </c>
      <c r="F119" s="498" t="s">
        <v>440</v>
      </c>
      <c r="G119" s="569" t="s">
        <v>390</v>
      </c>
      <c r="H119" s="569" t="s">
        <v>397</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328</v>
      </c>
      <c r="E120" s="575" t="s">
        <v>79</v>
      </c>
      <c r="F120" s="498" t="s">
        <v>441</v>
      </c>
      <c r="G120" s="569" t="s">
        <v>390</v>
      </c>
      <c r="H120" s="569" t="s">
        <v>397</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328</v>
      </c>
      <c r="E121" s="575" t="s">
        <v>79</v>
      </c>
      <c r="F121" s="498" t="s">
        <v>447</v>
      </c>
      <c r="G121" s="569" t="s">
        <v>390</v>
      </c>
      <c r="H121" s="569" t="s">
        <v>397</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328</v>
      </c>
      <c r="E122" s="575" t="s">
        <v>79</v>
      </c>
      <c r="F122" s="498" t="s">
        <v>448</v>
      </c>
      <c r="G122" s="569" t="s">
        <v>390</v>
      </c>
      <c r="H122" s="569" t="s">
        <v>397</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328</v>
      </c>
      <c r="E123" s="575" t="s">
        <v>79</v>
      </c>
      <c r="F123" s="498" t="s">
        <v>449</v>
      </c>
      <c r="G123" s="569" t="s">
        <v>390</v>
      </c>
      <c r="H123" s="569" t="s">
        <v>397</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328</v>
      </c>
      <c r="E124" s="575" t="s">
        <v>79</v>
      </c>
      <c r="F124" s="498" t="s">
        <v>450</v>
      </c>
      <c r="G124" s="569" t="s">
        <v>390</v>
      </c>
      <c r="H124" s="569" t="s">
        <v>397</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328</v>
      </c>
      <c r="E125" s="575" t="s">
        <v>379</v>
      </c>
      <c r="F125" s="498" t="s">
        <v>451</v>
      </c>
      <c r="G125" s="569" t="s">
        <v>390</v>
      </c>
      <c r="H125" s="569" t="s">
        <v>397</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328</v>
      </c>
      <c r="E126" s="575" t="s">
        <v>379</v>
      </c>
      <c r="F126" s="498" t="s">
        <v>452</v>
      </c>
      <c r="G126" s="569" t="s">
        <v>390</v>
      </c>
      <c r="H126" s="569" t="s">
        <v>397</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328</v>
      </c>
      <c r="E127" s="575" t="s">
        <v>379</v>
      </c>
      <c r="F127" s="498" t="s">
        <v>453</v>
      </c>
      <c r="G127" s="569" t="s">
        <v>390</v>
      </c>
      <c r="H127" s="569" t="s">
        <v>397</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328</v>
      </c>
      <c r="E128" s="575" t="s">
        <v>379</v>
      </c>
      <c r="F128" s="498" t="s">
        <v>454</v>
      </c>
      <c r="G128" s="569" t="s">
        <v>390</v>
      </c>
      <c r="H128" s="569" t="s">
        <v>397</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328</v>
      </c>
      <c r="E129" s="575" t="s">
        <v>379</v>
      </c>
      <c r="F129" s="498" t="s">
        <v>455</v>
      </c>
      <c r="G129" s="569" t="s">
        <v>390</v>
      </c>
      <c r="H129" s="569" t="s">
        <v>397</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328</v>
      </c>
      <c r="E130" s="575" t="s">
        <v>379</v>
      </c>
      <c r="F130" s="498" t="s">
        <v>456</v>
      </c>
      <c r="G130" s="569" t="s">
        <v>390</v>
      </c>
      <c r="H130" s="569" t="s">
        <v>397</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328</v>
      </c>
      <c r="E131" s="575" t="s">
        <v>379</v>
      </c>
      <c r="F131" s="498" t="s">
        <v>457</v>
      </c>
      <c r="G131" s="569" t="s">
        <v>390</v>
      </c>
      <c r="H131" s="569" t="s">
        <v>397</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328</v>
      </c>
      <c r="E132" s="575" t="s">
        <v>379</v>
      </c>
      <c r="F132" s="498" t="s">
        <v>458</v>
      </c>
      <c r="G132" s="569" t="s">
        <v>390</v>
      </c>
      <c r="H132" s="569" t="s">
        <v>397</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328</v>
      </c>
      <c r="E133" s="575" t="s">
        <v>379</v>
      </c>
      <c r="F133" s="498" t="s">
        <v>459</v>
      </c>
      <c r="G133" s="569" t="s">
        <v>460</v>
      </c>
      <c r="H133" s="569" t="s">
        <v>461</v>
      </c>
      <c r="I133" s="569" t="str">
        <f>Table1[[#This Row],[Staff]]</f>
        <v>Nicole</v>
      </c>
      <c r="J133" s="568">
        <f>Table1[[#This Row],[Date]]</f>
        <v>41148</v>
      </c>
      <c r="K133" s="525"/>
      <c r="L133" s="525"/>
      <c r="AF133" s="498"/>
      <c r="AG133" s="498"/>
      <c r="AH133" s="498"/>
      <c r="AI133" s="498"/>
    </row>
    <row r="134" spans="1:35" s="570" customFormat="1" ht="27.6" hidden="1">
      <c r="A134" s="567">
        <v>1</v>
      </c>
      <c r="B134" s="36">
        <v>132</v>
      </c>
      <c r="C134" s="568">
        <v>41148</v>
      </c>
      <c r="D134" s="575" t="s">
        <v>328</v>
      </c>
      <c r="E134" s="575" t="s">
        <v>79</v>
      </c>
      <c r="F134" s="498" t="s">
        <v>462</v>
      </c>
      <c r="G134" s="569" t="s">
        <v>464</v>
      </c>
      <c r="H134" s="569" t="s">
        <v>463</v>
      </c>
      <c r="I134" s="569" t="str">
        <f>Table1[[#This Row],[Staff]]</f>
        <v>Nicole</v>
      </c>
      <c r="J134" s="568">
        <f>Table1[[#This Row],[Date]]</f>
        <v>41148</v>
      </c>
      <c r="K134" s="525"/>
      <c r="L134" s="525"/>
      <c r="AF134" s="498"/>
      <c r="AG134" s="498"/>
      <c r="AH134" s="498"/>
      <c r="AI134" s="498"/>
    </row>
    <row r="135" spans="1:35" s="570" customFormat="1" ht="27.6" hidden="1">
      <c r="A135" s="567">
        <v>1</v>
      </c>
      <c r="B135" s="36">
        <v>133</v>
      </c>
      <c r="C135" s="568">
        <v>41148</v>
      </c>
      <c r="D135" s="575" t="s">
        <v>328</v>
      </c>
      <c r="E135" s="575" t="s">
        <v>79</v>
      </c>
      <c r="F135" s="498" t="s">
        <v>465</v>
      </c>
      <c r="G135" s="569" t="s">
        <v>466</v>
      </c>
      <c r="H135" s="569" t="s">
        <v>467</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328</v>
      </c>
      <c r="E136" s="575" t="s">
        <v>79</v>
      </c>
      <c r="F136" s="498" t="s">
        <v>468</v>
      </c>
      <c r="G136" s="569" t="s">
        <v>460</v>
      </c>
      <c r="H136" s="569" t="s">
        <v>469</v>
      </c>
      <c r="I136" s="569" t="str">
        <f>Table1[[#This Row],[Staff]]</f>
        <v>Nicole</v>
      </c>
      <c r="J136" s="568">
        <f>Table1[[#This Row],[Date]]</f>
        <v>41148</v>
      </c>
      <c r="K136" s="525"/>
      <c r="L136" s="525"/>
      <c r="AF136" s="498"/>
      <c r="AG136" s="498"/>
      <c r="AH136" s="498"/>
      <c r="AI136" s="498"/>
    </row>
    <row r="137" spans="1:35" s="570" customFormat="1" ht="27.6" hidden="1">
      <c r="A137" s="567">
        <v>1</v>
      </c>
      <c r="B137" s="36">
        <v>135</v>
      </c>
      <c r="C137" s="568">
        <v>41148</v>
      </c>
      <c r="D137" s="575" t="s">
        <v>328</v>
      </c>
      <c r="E137" s="575" t="s">
        <v>79</v>
      </c>
      <c r="F137" s="498" t="s">
        <v>471</v>
      </c>
      <c r="G137" s="569" t="s">
        <v>472</v>
      </c>
      <c r="H137" s="569" t="s">
        <v>473</v>
      </c>
      <c r="I137" s="569" t="str">
        <f>Table1[[#This Row],[Staff]]</f>
        <v>Nicole</v>
      </c>
      <c r="J137" s="568">
        <f>Table1[[#This Row],[Date]]</f>
        <v>41148</v>
      </c>
      <c r="K137" s="525"/>
      <c r="L137" s="525"/>
      <c r="AF137" s="498"/>
      <c r="AG137" s="498"/>
      <c r="AH137" s="498"/>
      <c r="AI137" s="498"/>
    </row>
    <row r="138" spans="1:35" s="570" customFormat="1" ht="27.6" hidden="1">
      <c r="A138" s="567">
        <v>1</v>
      </c>
      <c r="B138" s="36">
        <v>136</v>
      </c>
      <c r="C138" s="568">
        <v>41148</v>
      </c>
      <c r="D138" s="575" t="s">
        <v>328</v>
      </c>
      <c r="E138" s="575" t="s">
        <v>70</v>
      </c>
      <c r="F138" s="498" t="s">
        <v>474</v>
      </c>
      <c r="G138" s="569" t="s">
        <v>464</v>
      </c>
      <c r="H138" s="569" t="s">
        <v>463</v>
      </c>
      <c r="I138" s="569" t="str">
        <f>Table1[[#This Row],[Staff]]</f>
        <v>Nicole</v>
      </c>
      <c r="J138" s="568">
        <f>Table1[[#This Row],[Date]]</f>
        <v>41148</v>
      </c>
      <c r="K138" s="525"/>
      <c r="L138" s="525"/>
      <c r="AF138" s="498"/>
      <c r="AG138" s="498"/>
      <c r="AH138" s="498"/>
      <c r="AI138" s="498"/>
    </row>
    <row r="139" spans="1:35" s="570" customFormat="1" ht="27.6" hidden="1">
      <c r="A139" s="567">
        <v>1</v>
      </c>
      <c r="B139" s="36">
        <v>137</v>
      </c>
      <c r="C139" s="568">
        <v>41148</v>
      </c>
      <c r="D139" s="575" t="s">
        <v>328</v>
      </c>
      <c r="E139" s="575" t="s">
        <v>70</v>
      </c>
      <c r="F139" s="498" t="s">
        <v>476</v>
      </c>
      <c r="G139" s="569" t="s">
        <v>478</v>
      </c>
      <c r="H139" s="569" t="s">
        <v>477</v>
      </c>
      <c r="I139" s="569" t="str">
        <f>Table1[[#This Row],[Staff]]</f>
        <v>Nicole</v>
      </c>
      <c r="J139" s="568">
        <f>Table1[[#This Row],[Date]]</f>
        <v>41148</v>
      </c>
      <c r="K139" s="525"/>
      <c r="L139" s="525"/>
      <c r="AF139" s="498"/>
      <c r="AG139" s="498"/>
      <c r="AH139" s="498"/>
      <c r="AI139" s="498"/>
    </row>
    <row r="140" spans="1:35" s="570" customFormat="1" ht="27.6" hidden="1">
      <c r="A140" s="567">
        <v>1</v>
      </c>
      <c r="B140" s="36">
        <v>138</v>
      </c>
      <c r="C140" s="568">
        <v>41148</v>
      </c>
      <c r="D140" s="575" t="s">
        <v>328</v>
      </c>
      <c r="E140" s="575" t="s">
        <v>70</v>
      </c>
      <c r="F140" s="498" t="s">
        <v>479</v>
      </c>
      <c r="G140" s="569" t="s">
        <v>478</v>
      </c>
      <c r="H140" s="569" t="s">
        <v>477</v>
      </c>
      <c r="I140" s="569" t="str">
        <f>Table1[[#This Row],[Staff]]</f>
        <v>Nicole</v>
      </c>
      <c r="J140" s="568">
        <f>Table1[[#This Row],[Date]]</f>
        <v>41148</v>
      </c>
      <c r="K140" s="525"/>
      <c r="L140" s="525"/>
      <c r="AF140" s="498"/>
      <c r="AG140" s="498"/>
      <c r="AH140" s="498"/>
      <c r="AI140" s="498"/>
    </row>
    <row r="141" spans="1:35" s="570" customFormat="1" ht="41.4" hidden="1">
      <c r="A141" s="567">
        <v>1</v>
      </c>
      <c r="B141" s="36">
        <v>139</v>
      </c>
      <c r="C141" s="568">
        <v>41148</v>
      </c>
      <c r="D141" s="575" t="s">
        <v>328</v>
      </c>
      <c r="E141" s="575" t="s">
        <v>70</v>
      </c>
      <c r="F141" s="498" t="s">
        <v>480</v>
      </c>
      <c r="G141" s="569" t="s">
        <v>481</v>
      </c>
      <c r="H141" s="569" t="s">
        <v>482</v>
      </c>
      <c r="I141" s="569" t="str">
        <f>Table1[[#This Row],[Staff]]</f>
        <v>Nicole</v>
      </c>
      <c r="J141" s="568">
        <f>Table1[[#This Row],[Date]]</f>
        <v>41148</v>
      </c>
      <c r="K141" s="525"/>
      <c r="L141" s="525"/>
      <c r="AF141" s="498"/>
      <c r="AG141" s="498"/>
      <c r="AH141" s="498"/>
      <c r="AI141" s="498"/>
    </row>
    <row r="142" spans="1:35" s="570" customFormat="1" hidden="1">
      <c r="A142" s="567">
        <v>1</v>
      </c>
      <c r="B142" s="36">
        <v>140</v>
      </c>
      <c r="C142" s="568">
        <v>41148</v>
      </c>
      <c r="D142" s="575" t="s">
        <v>328</v>
      </c>
      <c r="E142" s="575" t="s">
        <v>375</v>
      </c>
      <c r="F142" s="498" t="s">
        <v>471</v>
      </c>
      <c r="G142" s="569" t="s">
        <v>472</v>
      </c>
      <c r="H142" s="569" t="s">
        <v>484</v>
      </c>
      <c r="I142" s="569" t="str">
        <f>Table1[[#This Row],[Staff]]</f>
        <v>Nicole</v>
      </c>
      <c r="J142" s="568">
        <f>Table1[[#This Row],[Date]]</f>
        <v>41148</v>
      </c>
      <c r="K142" s="525"/>
      <c r="L142" s="525"/>
      <c r="AF142" s="498"/>
      <c r="AG142" s="498"/>
      <c r="AH142" s="498"/>
      <c r="AI142" s="498"/>
    </row>
    <row r="143" spans="1:35" s="570" customFormat="1" ht="27.6" hidden="1">
      <c r="A143" s="567">
        <v>1</v>
      </c>
      <c r="B143" s="36">
        <v>141</v>
      </c>
      <c r="C143" s="568">
        <v>41148</v>
      </c>
      <c r="D143" s="575" t="s">
        <v>328</v>
      </c>
      <c r="E143" s="575" t="s">
        <v>375</v>
      </c>
      <c r="F143" s="498" t="s">
        <v>462</v>
      </c>
      <c r="G143" s="569" t="s">
        <v>464</v>
      </c>
      <c r="H143" s="569" t="s">
        <v>463</v>
      </c>
      <c r="I143" s="569" t="str">
        <f>Table1[[#This Row],[Staff]]</f>
        <v>Nicole</v>
      </c>
      <c r="J143" s="568">
        <f>Table1[[#This Row],[Date]]</f>
        <v>41148</v>
      </c>
      <c r="K143" s="525"/>
      <c r="L143" s="525"/>
      <c r="AF143" s="498"/>
      <c r="AG143" s="498"/>
      <c r="AH143" s="498"/>
      <c r="AI143" s="498"/>
    </row>
    <row r="144" spans="1:35" s="570" customFormat="1" ht="27.6" hidden="1">
      <c r="A144" s="567">
        <v>1</v>
      </c>
      <c r="B144" s="36">
        <v>142</v>
      </c>
      <c r="C144" s="568">
        <v>41148</v>
      </c>
      <c r="D144" s="575" t="s">
        <v>328</v>
      </c>
      <c r="E144" s="575" t="s">
        <v>79</v>
      </c>
      <c r="F144" s="498" t="s">
        <v>471</v>
      </c>
      <c r="G144" s="569" t="s">
        <v>466</v>
      </c>
      <c r="H144" s="569" t="s">
        <v>467</v>
      </c>
      <c r="I144" s="569" t="str">
        <f>Table1[[#This Row],[Staff]]</f>
        <v>Nicole</v>
      </c>
      <c r="J144" s="568">
        <f>Table1[[#This Row],[Date]]</f>
        <v>41148</v>
      </c>
      <c r="K144" s="525"/>
      <c r="L144" s="525"/>
      <c r="AF144" s="498"/>
      <c r="AG144" s="498"/>
      <c r="AH144" s="498"/>
      <c r="AI144" s="498"/>
    </row>
    <row r="145" spans="1:35" s="570" customFormat="1" ht="27.6" hidden="1">
      <c r="A145" s="567">
        <v>1</v>
      </c>
      <c r="B145" s="36">
        <v>143</v>
      </c>
      <c r="C145" s="568">
        <v>41148</v>
      </c>
      <c r="D145" s="575" t="s">
        <v>328</v>
      </c>
      <c r="E145" s="575" t="s">
        <v>70</v>
      </c>
      <c r="F145" s="498" t="s">
        <v>471</v>
      </c>
      <c r="G145" s="569" t="s">
        <v>466</v>
      </c>
      <c r="H145" s="569" t="s">
        <v>467</v>
      </c>
      <c r="I145" s="569" t="str">
        <f>Table1[[#This Row],[Staff]]</f>
        <v>Nicole</v>
      </c>
      <c r="J145" s="568">
        <f>Table1[[#This Row],[Date]]</f>
        <v>41148</v>
      </c>
      <c r="K145" s="525"/>
      <c r="L145" s="525"/>
      <c r="AF145" s="498"/>
      <c r="AG145" s="498"/>
      <c r="AH145" s="498"/>
      <c r="AI145" s="498"/>
    </row>
    <row r="146" spans="1:35" s="570" customFormat="1" ht="27.6" hidden="1">
      <c r="A146" s="567">
        <v>1</v>
      </c>
      <c r="B146" s="36">
        <v>144</v>
      </c>
      <c r="C146" s="568">
        <v>41148</v>
      </c>
      <c r="D146" s="575" t="s">
        <v>328</v>
      </c>
      <c r="E146" s="575" t="s">
        <v>70</v>
      </c>
      <c r="F146" s="498" t="s">
        <v>462</v>
      </c>
      <c r="G146" s="569" t="s">
        <v>485</v>
      </c>
      <c r="H146" s="569" t="s">
        <v>467</v>
      </c>
      <c r="I146" s="569" t="str">
        <f>Table1[[#This Row],[Staff]]</f>
        <v>Nicole</v>
      </c>
      <c r="J146" s="568">
        <f>Table1[[#This Row],[Date]]</f>
        <v>41148</v>
      </c>
      <c r="K146" s="525"/>
      <c r="L146" s="525"/>
      <c r="AF146" s="498"/>
      <c r="AG146" s="498"/>
      <c r="AH146" s="498"/>
      <c r="AI146" s="498"/>
    </row>
    <row r="147" spans="1:35" s="570" customFormat="1" ht="27.6" hidden="1">
      <c r="A147" s="567">
        <v>1</v>
      </c>
      <c r="B147" s="36">
        <v>145</v>
      </c>
      <c r="C147" s="568">
        <v>41148</v>
      </c>
      <c r="D147" s="575" t="s">
        <v>328</v>
      </c>
      <c r="E147" s="575" t="s">
        <v>375</v>
      </c>
      <c r="F147" s="498" t="s">
        <v>471</v>
      </c>
      <c r="G147" s="569" t="s">
        <v>466</v>
      </c>
      <c r="H147" s="569" t="s">
        <v>467</v>
      </c>
      <c r="I147" s="569" t="str">
        <f>Table1[[#This Row],[Staff]]</f>
        <v>Nicole</v>
      </c>
      <c r="J147" s="568">
        <f>Table1[[#This Row],[Date]]</f>
        <v>41148</v>
      </c>
      <c r="K147" s="525"/>
      <c r="L147" s="525"/>
      <c r="AF147" s="498"/>
      <c r="AG147" s="498"/>
      <c r="AH147" s="498"/>
      <c r="AI147" s="498"/>
    </row>
    <row r="148" spans="1:35" s="570" customFormat="1" ht="27.6" hidden="1">
      <c r="A148" s="567">
        <v>1</v>
      </c>
      <c r="B148" s="36">
        <v>146</v>
      </c>
      <c r="C148" s="568">
        <v>41148</v>
      </c>
      <c r="D148" s="575" t="s">
        <v>328</v>
      </c>
      <c r="E148" s="575" t="s">
        <v>375</v>
      </c>
      <c r="F148" s="498" t="s">
        <v>462</v>
      </c>
      <c r="G148" s="569" t="s">
        <v>464</v>
      </c>
      <c r="H148" s="569" t="s">
        <v>463</v>
      </c>
      <c r="I148" s="569" t="str">
        <f>Table1[[#This Row],[Staff]]</f>
        <v>Nicole</v>
      </c>
      <c r="J148" s="568">
        <f>Table1[[#This Row],[Date]]</f>
        <v>41148</v>
      </c>
      <c r="K148" s="525"/>
      <c r="L148" s="525"/>
      <c r="AF148" s="498"/>
      <c r="AG148" s="498"/>
      <c r="AH148" s="498"/>
      <c r="AI148" s="498"/>
    </row>
    <row r="149" spans="1:35" s="570" customFormat="1" ht="27.6" hidden="1">
      <c r="A149" s="567">
        <v>1</v>
      </c>
      <c r="B149" s="36">
        <v>147</v>
      </c>
      <c r="C149" s="568">
        <v>41148</v>
      </c>
      <c r="D149" s="575" t="s">
        <v>328</v>
      </c>
      <c r="E149" s="575" t="s">
        <v>372</v>
      </c>
      <c r="F149" s="498" t="s">
        <v>465</v>
      </c>
      <c r="G149" s="569" t="s">
        <v>466</v>
      </c>
      <c r="H149" s="569" t="s">
        <v>467</v>
      </c>
      <c r="I149" s="569" t="str">
        <f>Table1[[#This Row],[Staff]]</f>
        <v>Nicole</v>
      </c>
      <c r="J149" s="568">
        <f>Table1[[#This Row],[Date]]</f>
        <v>41148</v>
      </c>
      <c r="K149" s="525"/>
      <c r="L149" s="525"/>
      <c r="AF149" s="498"/>
      <c r="AG149" s="498"/>
      <c r="AH149" s="498"/>
      <c r="AI149" s="498"/>
    </row>
    <row r="150" spans="1:35" s="570" customFormat="1" ht="27.6" hidden="1">
      <c r="A150" s="567">
        <v>1</v>
      </c>
      <c r="B150" s="36">
        <v>148</v>
      </c>
      <c r="C150" s="568">
        <v>41148</v>
      </c>
      <c r="D150" s="575" t="s">
        <v>328</v>
      </c>
      <c r="E150" s="575" t="s">
        <v>372</v>
      </c>
      <c r="F150" s="498" t="s">
        <v>471</v>
      </c>
      <c r="G150" s="569" t="s">
        <v>485</v>
      </c>
      <c r="H150" s="569" t="s">
        <v>467</v>
      </c>
      <c r="I150" s="569" t="str">
        <f>Table1[[#This Row],[Staff]]</f>
        <v>Nicole</v>
      </c>
      <c r="J150" s="568">
        <f>Table1[[#This Row],[Date]]</f>
        <v>41148</v>
      </c>
      <c r="K150" s="525"/>
      <c r="L150" s="525"/>
      <c r="AF150" s="498"/>
      <c r="AG150" s="498"/>
      <c r="AH150" s="498"/>
      <c r="AI150" s="498"/>
    </row>
    <row r="151" spans="1:35" s="570" customFormat="1" ht="27.6" hidden="1">
      <c r="A151" s="567">
        <v>1</v>
      </c>
      <c r="B151" s="36">
        <v>149</v>
      </c>
      <c r="C151" s="568">
        <v>41148</v>
      </c>
      <c r="D151" s="575" t="s">
        <v>328</v>
      </c>
      <c r="E151" s="575" t="s">
        <v>372</v>
      </c>
      <c r="F151" s="498" t="s">
        <v>471</v>
      </c>
      <c r="G151" s="569" t="s">
        <v>472</v>
      </c>
      <c r="H151" s="569" t="s">
        <v>487</v>
      </c>
      <c r="I151" s="569" t="str">
        <f>Table1[[#This Row],[Staff]]</f>
        <v>Nicole</v>
      </c>
      <c r="J151" s="568">
        <f>Table1[[#This Row],[Date]]</f>
        <v>41148</v>
      </c>
      <c r="K151" s="525"/>
      <c r="L151" s="525"/>
      <c r="AF151" s="498"/>
      <c r="AG151" s="498"/>
      <c r="AH151" s="498"/>
      <c r="AI151" s="498"/>
    </row>
    <row r="152" spans="1:35" s="570" customFormat="1" ht="27.6" hidden="1">
      <c r="A152" s="567">
        <v>1</v>
      </c>
      <c r="B152" s="36">
        <v>150</v>
      </c>
      <c r="C152" s="568">
        <v>41148</v>
      </c>
      <c r="D152" s="575" t="s">
        <v>328</v>
      </c>
      <c r="E152" s="575" t="s">
        <v>372</v>
      </c>
      <c r="F152" s="498" t="s">
        <v>462</v>
      </c>
      <c r="G152" s="569" t="s">
        <v>464</v>
      </c>
      <c r="H152" s="569" t="s">
        <v>463</v>
      </c>
      <c r="I152" s="569" t="str">
        <f>Table1[[#This Row],[Staff]]</f>
        <v>Nicole</v>
      </c>
      <c r="J152" s="568">
        <f>Table1[[#This Row],[Date]]</f>
        <v>41148</v>
      </c>
      <c r="K152" s="525"/>
      <c r="L152" s="525"/>
      <c r="AF152" s="498"/>
      <c r="AG152" s="498"/>
      <c r="AH152" s="498"/>
      <c r="AI152" s="498"/>
    </row>
    <row r="153" spans="1:35" s="570" customFormat="1" ht="27.6" hidden="1">
      <c r="A153" s="567">
        <v>1</v>
      </c>
      <c r="B153" s="36">
        <v>151</v>
      </c>
      <c r="C153" s="568">
        <v>41148</v>
      </c>
      <c r="D153" s="575" t="s">
        <v>328</v>
      </c>
      <c r="E153" s="575" t="s">
        <v>372</v>
      </c>
      <c r="F153" s="498" t="s">
        <v>488</v>
      </c>
      <c r="G153" s="569" t="s">
        <v>491</v>
      </c>
      <c r="H153" s="569" t="s">
        <v>489</v>
      </c>
      <c r="I153" s="569" t="str">
        <f>Table1[[#This Row],[Staff]]</f>
        <v>Nicole</v>
      </c>
      <c r="J153" s="568">
        <f>Table1[[#This Row],[Date]]</f>
        <v>41148</v>
      </c>
      <c r="K153" s="525"/>
      <c r="L153" s="525"/>
      <c r="AF153" s="498"/>
      <c r="AG153" s="498"/>
      <c r="AH153" s="498"/>
      <c r="AI153" s="498"/>
    </row>
    <row r="154" spans="1:35" s="570" customFormat="1" ht="27.6" hidden="1">
      <c r="A154" s="567">
        <v>1</v>
      </c>
      <c r="B154" s="36">
        <v>152</v>
      </c>
      <c r="C154" s="568">
        <v>41148</v>
      </c>
      <c r="D154" s="575" t="s">
        <v>328</v>
      </c>
      <c r="E154" s="575" t="s">
        <v>372</v>
      </c>
      <c r="F154" s="498" t="s">
        <v>490</v>
      </c>
      <c r="G154" s="569" t="s">
        <v>491</v>
      </c>
      <c r="H154" s="569" t="s">
        <v>489</v>
      </c>
      <c r="I154" s="569" t="str">
        <f>Table1[[#This Row],[Staff]]</f>
        <v>Nicole</v>
      </c>
      <c r="J154" s="568">
        <f>Table1[[#This Row],[Date]]</f>
        <v>41148</v>
      </c>
      <c r="K154" s="525"/>
      <c r="L154" s="525"/>
      <c r="AF154" s="498"/>
      <c r="AG154" s="498"/>
      <c r="AH154" s="498"/>
      <c r="AI154" s="498"/>
    </row>
    <row r="155" spans="1:35" s="570" customFormat="1" ht="27.6" hidden="1">
      <c r="A155" s="567">
        <v>1</v>
      </c>
      <c r="B155" s="36">
        <v>153</v>
      </c>
      <c r="C155" s="568">
        <v>41148</v>
      </c>
      <c r="D155" s="575" t="s">
        <v>328</v>
      </c>
      <c r="E155" s="575" t="s">
        <v>367</v>
      </c>
      <c r="F155" s="498" t="s">
        <v>471</v>
      </c>
      <c r="G155" s="569" t="s">
        <v>472</v>
      </c>
      <c r="H155" s="569" t="s">
        <v>493</v>
      </c>
      <c r="I155" s="569" t="str">
        <f>Table1[[#This Row],[Staff]]</f>
        <v>Nicole</v>
      </c>
      <c r="J155" s="568">
        <f>Table1[[#This Row],[Date]]</f>
        <v>41148</v>
      </c>
      <c r="K155" s="525"/>
      <c r="L155" s="525"/>
      <c r="AF155" s="498"/>
      <c r="AG155" s="498"/>
      <c r="AH155" s="498"/>
      <c r="AI155" s="498"/>
    </row>
    <row r="156" spans="1:35" s="570" customFormat="1" ht="27.6" hidden="1">
      <c r="A156" s="567">
        <v>1</v>
      </c>
      <c r="B156" s="36">
        <v>154</v>
      </c>
      <c r="C156" s="568">
        <v>41148</v>
      </c>
      <c r="D156" s="575" t="s">
        <v>328</v>
      </c>
      <c r="E156" s="575" t="s">
        <v>367</v>
      </c>
      <c r="F156" s="498" t="s">
        <v>462</v>
      </c>
      <c r="G156" s="569" t="s">
        <v>464</v>
      </c>
      <c r="H156" s="569" t="s">
        <v>463</v>
      </c>
      <c r="I156" s="569" t="str">
        <f>Table1[[#This Row],[Staff]]</f>
        <v>Nicole</v>
      </c>
      <c r="J156" s="568">
        <f>Table1[[#This Row],[Date]]</f>
        <v>41148</v>
      </c>
      <c r="K156" s="525"/>
      <c r="L156" s="525"/>
      <c r="AF156" s="498"/>
      <c r="AG156" s="498"/>
      <c r="AH156" s="498"/>
      <c r="AI156" s="498"/>
    </row>
    <row r="157" spans="1:35" s="570" customFormat="1" ht="27.6" hidden="1">
      <c r="A157" s="567">
        <v>1</v>
      </c>
      <c r="B157" s="36">
        <v>155</v>
      </c>
      <c r="C157" s="568">
        <v>41148</v>
      </c>
      <c r="D157" s="575" t="s">
        <v>328</v>
      </c>
      <c r="E157" s="575" t="s">
        <v>367</v>
      </c>
      <c r="F157" s="498" t="s">
        <v>465</v>
      </c>
      <c r="G157" s="569" t="s">
        <v>485</v>
      </c>
      <c r="H157" s="569" t="s">
        <v>467</v>
      </c>
      <c r="I157" s="569" t="str">
        <f>Table1[[#This Row],[Staff]]</f>
        <v>Nicole</v>
      </c>
      <c r="J157" s="568">
        <f>Table1[[#This Row],[Date]]</f>
        <v>41148</v>
      </c>
      <c r="K157" s="525"/>
      <c r="L157" s="525"/>
      <c r="AF157" s="498"/>
      <c r="AG157" s="498"/>
      <c r="AH157" s="498"/>
      <c r="AI157" s="498"/>
    </row>
    <row r="158" spans="1:35" s="570" customFormat="1" ht="27.6" hidden="1">
      <c r="A158" s="567">
        <v>1</v>
      </c>
      <c r="B158" s="36">
        <v>156</v>
      </c>
      <c r="C158" s="568">
        <v>41148</v>
      </c>
      <c r="D158" s="575" t="s">
        <v>328</v>
      </c>
      <c r="E158" s="575" t="s">
        <v>367</v>
      </c>
      <c r="F158" s="498" t="s">
        <v>471</v>
      </c>
      <c r="G158" s="569" t="s">
        <v>485</v>
      </c>
      <c r="H158" s="569" t="s">
        <v>467</v>
      </c>
      <c r="I158" s="569" t="str">
        <f>Table1[[#This Row],[Staff]]</f>
        <v>Nicole</v>
      </c>
      <c r="J158" s="568">
        <f>Table1[[#This Row],[Date]]</f>
        <v>41148</v>
      </c>
      <c r="K158" s="525"/>
      <c r="L158" s="525"/>
      <c r="AF158" s="498"/>
      <c r="AG158" s="498"/>
      <c r="AH158" s="498"/>
      <c r="AI158" s="498"/>
    </row>
    <row r="159" spans="1:35" s="570" customFormat="1" ht="27.6" hidden="1">
      <c r="A159" s="567">
        <v>1</v>
      </c>
      <c r="B159" s="36">
        <v>157</v>
      </c>
      <c r="C159" s="568">
        <v>41148</v>
      </c>
      <c r="D159" s="575" t="s">
        <v>328</v>
      </c>
      <c r="E159" s="575" t="s">
        <v>361</v>
      </c>
      <c r="F159" s="498" t="s">
        <v>465</v>
      </c>
      <c r="G159" s="569" t="s">
        <v>485</v>
      </c>
      <c r="H159" s="569" t="s">
        <v>467</v>
      </c>
      <c r="I159" s="569" t="str">
        <f>Table1[[#This Row],[Staff]]</f>
        <v>Nicole</v>
      </c>
      <c r="J159" s="568">
        <f>Table1[[#This Row],[Date]]</f>
        <v>41148</v>
      </c>
      <c r="K159" s="525"/>
      <c r="L159" s="525"/>
      <c r="AF159" s="498"/>
      <c r="AG159" s="498"/>
      <c r="AH159" s="498"/>
      <c r="AI159" s="498"/>
    </row>
    <row r="160" spans="1:35" s="570" customFormat="1" hidden="1">
      <c r="A160" s="567">
        <v>1</v>
      </c>
      <c r="B160" s="36">
        <v>158</v>
      </c>
      <c r="C160" s="568">
        <v>41148</v>
      </c>
      <c r="D160" s="575" t="s">
        <v>328</v>
      </c>
      <c r="E160" s="575" t="s">
        <v>361</v>
      </c>
      <c r="F160" s="498" t="s">
        <v>471</v>
      </c>
      <c r="G160" s="569" t="s">
        <v>472</v>
      </c>
      <c r="H160" s="569" t="s">
        <v>495</v>
      </c>
      <c r="I160" s="569" t="str">
        <f>Table1[[#This Row],[Staff]]</f>
        <v>Nicole</v>
      </c>
      <c r="J160" s="568">
        <f>Table1[[#This Row],[Date]]</f>
        <v>41148</v>
      </c>
      <c r="K160" s="525"/>
      <c r="L160" s="525"/>
      <c r="AF160" s="498"/>
      <c r="AG160" s="498"/>
      <c r="AH160" s="498"/>
      <c r="AI160" s="498"/>
    </row>
    <row r="161" spans="1:12" ht="27.6" hidden="1">
      <c r="A161" s="567">
        <v>1</v>
      </c>
      <c r="B161" s="36">
        <v>159</v>
      </c>
      <c r="C161" s="568">
        <v>41148</v>
      </c>
      <c r="D161" s="575" t="s">
        <v>328</v>
      </c>
      <c r="E161" s="575" t="s">
        <v>361</v>
      </c>
      <c r="F161" s="498" t="s">
        <v>471</v>
      </c>
      <c r="G161" s="569" t="s">
        <v>485</v>
      </c>
      <c r="H161" s="569" t="s">
        <v>467</v>
      </c>
      <c r="I161" s="569" t="s">
        <v>0</v>
      </c>
      <c r="J161" s="568">
        <f>Table1[[#This Row],[Date]]</f>
        <v>41148</v>
      </c>
      <c r="K161" s="525"/>
      <c r="L161" s="525"/>
    </row>
    <row r="162" spans="1:12" ht="27.6" hidden="1">
      <c r="A162" s="567">
        <v>1</v>
      </c>
      <c r="B162" s="36">
        <v>160</v>
      </c>
      <c r="C162" s="568">
        <v>41148</v>
      </c>
      <c r="D162" s="575" t="s">
        <v>328</v>
      </c>
      <c r="E162" s="575" t="s">
        <v>361</v>
      </c>
      <c r="F162" s="498" t="s">
        <v>462</v>
      </c>
      <c r="G162" s="569" t="s">
        <v>464</v>
      </c>
      <c r="H162" s="569" t="s">
        <v>463</v>
      </c>
      <c r="I162" s="569" t="s">
        <v>0</v>
      </c>
      <c r="J162" s="568">
        <f>Table1[[#This Row],[Date]]</f>
        <v>41148</v>
      </c>
      <c r="K162" s="525"/>
      <c r="L162" s="525"/>
    </row>
    <row r="163" spans="1:12" ht="27.6" hidden="1">
      <c r="A163" s="567">
        <v>1</v>
      </c>
      <c r="B163" s="36">
        <v>161</v>
      </c>
      <c r="C163" s="568">
        <v>41148</v>
      </c>
      <c r="D163" s="575" t="s">
        <v>328</v>
      </c>
      <c r="E163" s="575" t="s">
        <v>359</v>
      </c>
      <c r="F163" s="498" t="s">
        <v>465</v>
      </c>
      <c r="G163" s="569" t="s">
        <v>485</v>
      </c>
      <c r="H163" s="569" t="s">
        <v>467</v>
      </c>
      <c r="I163" s="569" t="s">
        <v>0</v>
      </c>
      <c r="J163" s="568">
        <f>Table1[[#This Row],[Date]]</f>
        <v>41148</v>
      </c>
      <c r="K163" s="525"/>
      <c r="L163" s="525"/>
    </row>
    <row r="164" spans="1:12" ht="27.6" hidden="1">
      <c r="A164" s="567">
        <v>1</v>
      </c>
      <c r="B164" s="36">
        <v>162</v>
      </c>
      <c r="C164" s="568">
        <v>41148</v>
      </c>
      <c r="D164" s="575" t="s">
        <v>328</v>
      </c>
      <c r="E164" s="575" t="s">
        <v>359</v>
      </c>
      <c r="F164" s="498" t="s">
        <v>471</v>
      </c>
      <c r="G164" s="569" t="s">
        <v>485</v>
      </c>
      <c r="H164" s="569" t="s">
        <v>467</v>
      </c>
      <c r="I164" s="569" t="s">
        <v>0</v>
      </c>
      <c r="J164" s="568">
        <f>Table1[[#This Row],[Date]]</f>
        <v>41148</v>
      </c>
      <c r="K164" s="525"/>
      <c r="L164" s="525"/>
    </row>
    <row r="165" spans="1:12" ht="27.6" hidden="1">
      <c r="A165" s="567">
        <v>1</v>
      </c>
      <c r="B165" s="36">
        <v>163</v>
      </c>
      <c r="C165" s="568">
        <v>41148</v>
      </c>
      <c r="D165" s="575" t="s">
        <v>328</v>
      </c>
      <c r="E165" s="575" t="s">
        <v>359</v>
      </c>
      <c r="F165" s="498" t="s">
        <v>462</v>
      </c>
      <c r="G165" s="569" t="s">
        <v>464</v>
      </c>
      <c r="H165" s="569" t="s">
        <v>463</v>
      </c>
      <c r="I165" s="569" t="s">
        <v>0</v>
      </c>
      <c r="J165" s="568">
        <f>Table1[[#This Row],[Date]]</f>
        <v>41148</v>
      </c>
      <c r="K165" s="525"/>
      <c r="L165" s="525"/>
    </row>
    <row r="166" spans="1:12" ht="27.6" hidden="1">
      <c r="A166" s="567">
        <v>1</v>
      </c>
      <c r="B166" s="36">
        <v>164</v>
      </c>
      <c r="C166" s="568">
        <v>41148</v>
      </c>
      <c r="D166" s="575" t="s">
        <v>328</v>
      </c>
      <c r="E166" s="575" t="s">
        <v>57</v>
      </c>
      <c r="F166" s="498" t="s">
        <v>465</v>
      </c>
      <c r="G166" s="569" t="s">
        <v>485</v>
      </c>
      <c r="H166" s="569" t="s">
        <v>467</v>
      </c>
      <c r="I166" s="569" t="s">
        <v>0</v>
      </c>
      <c r="J166" s="568">
        <f>Table1[[#This Row],[Date]]</f>
        <v>41148</v>
      </c>
      <c r="K166" s="525"/>
      <c r="L166" s="525"/>
    </row>
    <row r="167" spans="1:12" ht="27.6" hidden="1">
      <c r="A167" s="567">
        <v>1</v>
      </c>
      <c r="B167" s="36">
        <v>165</v>
      </c>
      <c r="C167" s="568">
        <v>41148</v>
      </c>
      <c r="D167" s="575" t="s">
        <v>328</v>
      </c>
      <c r="E167" s="575" t="s">
        <v>354</v>
      </c>
      <c r="F167" s="498" t="s">
        <v>465</v>
      </c>
      <c r="G167" s="569" t="s">
        <v>485</v>
      </c>
      <c r="H167" s="569" t="s">
        <v>467</v>
      </c>
      <c r="I167" s="569" t="s">
        <v>0</v>
      </c>
      <c r="J167" s="568">
        <f>Table1[[#This Row],[Date]]</f>
        <v>41148</v>
      </c>
      <c r="K167" s="525"/>
      <c r="L167" s="525"/>
    </row>
    <row r="168" spans="1:12" ht="27.6" hidden="1">
      <c r="A168" s="567">
        <v>1</v>
      </c>
      <c r="B168" s="36">
        <v>166</v>
      </c>
      <c r="C168" s="568">
        <v>41148</v>
      </c>
      <c r="D168" s="575" t="s">
        <v>328</v>
      </c>
      <c r="E168" s="575" t="s">
        <v>351</v>
      </c>
      <c r="F168" s="498" t="s">
        <v>488</v>
      </c>
      <c r="G168" s="569" t="s">
        <v>496</v>
      </c>
      <c r="H168" s="569" t="s">
        <v>497</v>
      </c>
      <c r="I168" s="569" t="s">
        <v>0</v>
      </c>
      <c r="J168" s="568">
        <f>Table1[[#This Row],[Date]]</f>
        <v>41148</v>
      </c>
      <c r="K168" s="525"/>
      <c r="L168" s="525"/>
    </row>
    <row r="169" spans="1:12" ht="27.6" hidden="1">
      <c r="A169" s="567">
        <v>1</v>
      </c>
      <c r="B169" s="36">
        <v>167</v>
      </c>
      <c r="C169" s="568">
        <v>41148</v>
      </c>
      <c r="D169" s="575" t="s">
        <v>328</v>
      </c>
      <c r="E169" s="575" t="s">
        <v>351</v>
      </c>
      <c r="F169" s="498" t="s">
        <v>498</v>
      </c>
      <c r="G169" s="569" t="s">
        <v>496</v>
      </c>
      <c r="H169" s="569" t="s">
        <v>497</v>
      </c>
      <c r="I169" s="569" t="s">
        <v>0</v>
      </c>
      <c r="J169" s="568">
        <f>Table1[[#This Row],[Date]]</f>
        <v>41148</v>
      </c>
      <c r="K169" s="525"/>
      <c r="L169" s="525"/>
    </row>
    <row r="170" spans="1:12" ht="27.6" hidden="1">
      <c r="A170" s="567">
        <v>1</v>
      </c>
      <c r="B170" s="36">
        <v>168</v>
      </c>
      <c r="C170" s="568">
        <v>41148</v>
      </c>
      <c r="D170" s="575" t="s">
        <v>328</v>
      </c>
      <c r="E170" s="575" t="s">
        <v>351</v>
      </c>
      <c r="F170" s="498" t="s">
        <v>499</v>
      </c>
      <c r="G170" s="569" t="s">
        <v>496</v>
      </c>
      <c r="H170" s="569" t="s">
        <v>497</v>
      </c>
      <c r="I170" s="569" t="s">
        <v>0</v>
      </c>
      <c r="J170" s="568">
        <f>Table1[[#This Row],[Date]]</f>
        <v>41148</v>
      </c>
      <c r="K170" s="525"/>
      <c r="L170" s="525"/>
    </row>
    <row r="171" spans="1:12" ht="27.6" hidden="1">
      <c r="A171" s="567">
        <v>1</v>
      </c>
      <c r="B171" s="36">
        <v>169</v>
      </c>
      <c r="C171" s="568">
        <v>41148</v>
      </c>
      <c r="D171" s="575" t="s">
        <v>328</v>
      </c>
      <c r="E171" s="575" t="s">
        <v>351</v>
      </c>
      <c r="F171" s="498" t="s">
        <v>500</v>
      </c>
      <c r="G171" s="569" t="s">
        <v>496</v>
      </c>
      <c r="H171" s="569" t="s">
        <v>497</v>
      </c>
      <c r="I171" s="569" t="s">
        <v>0</v>
      </c>
      <c r="J171" s="568">
        <f>Table1[[#This Row],[Date]]</f>
        <v>41148</v>
      </c>
      <c r="K171" s="525"/>
      <c r="L171" s="525"/>
    </row>
    <row r="172" spans="1:12" ht="27.6" hidden="1">
      <c r="A172" s="567">
        <v>1</v>
      </c>
      <c r="B172" s="36">
        <v>170</v>
      </c>
      <c r="C172" s="568">
        <v>41148</v>
      </c>
      <c r="D172" s="575" t="s">
        <v>328</v>
      </c>
      <c r="E172" s="575" t="s">
        <v>351</v>
      </c>
      <c r="F172" s="498" t="s">
        <v>501</v>
      </c>
      <c r="G172" s="569" t="s">
        <v>496</v>
      </c>
      <c r="H172" s="569" t="s">
        <v>497</v>
      </c>
      <c r="I172" s="569" t="s">
        <v>0</v>
      </c>
      <c r="J172" s="568">
        <f>Table1[[#This Row],[Date]]</f>
        <v>41148</v>
      </c>
      <c r="K172" s="525"/>
      <c r="L172" s="525"/>
    </row>
    <row r="173" spans="1:12" ht="27.6" hidden="1">
      <c r="A173" s="567">
        <v>1</v>
      </c>
      <c r="B173" s="36">
        <v>171</v>
      </c>
      <c r="C173" s="568">
        <v>41148</v>
      </c>
      <c r="D173" s="575" t="s">
        <v>328</v>
      </c>
      <c r="E173" s="575" t="s">
        <v>351</v>
      </c>
      <c r="F173" s="498" t="s">
        <v>502</v>
      </c>
      <c r="G173" s="569" t="s">
        <v>496</v>
      </c>
      <c r="H173" s="569" t="s">
        <v>497</v>
      </c>
      <c r="I173" s="569" t="s">
        <v>0</v>
      </c>
      <c r="J173" s="568">
        <f>Table1[[#This Row],[Date]]</f>
        <v>41148</v>
      </c>
      <c r="K173" s="525"/>
      <c r="L173" s="525"/>
    </row>
    <row r="174" spans="1:12" ht="27.6" hidden="1">
      <c r="A174" s="567">
        <v>1</v>
      </c>
      <c r="B174" s="36">
        <v>172</v>
      </c>
      <c r="C174" s="568">
        <v>41148</v>
      </c>
      <c r="D174" s="575" t="s">
        <v>328</v>
      </c>
      <c r="E174" s="575" t="s">
        <v>351</v>
      </c>
      <c r="F174" s="498" t="s">
        <v>503</v>
      </c>
      <c r="G174" s="569" t="s">
        <v>504</v>
      </c>
      <c r="H174" s="569" t="s">
        <v>505</v>
      </c>
      <c r="I174" s="577" t="str">
        <f>Table1[[#This Row],[Staff]]</f>
        <v>Nicole</v>
      </c>
      <c r="J174" s="568">
        <f>Table1[[#This Row],[Date]]</f>
        <v>41148</v>
      </c>
      <c r="K174" s="525"/>
      <c r="L174" s="525"/>
    </row>
    <row r="175" spans="1:12" ht="27.6" hidden="1">
      <c r="A175" s="567">
        <v>1</v>
      </c>
      <c r="B175" s="36">
        <v>173</v>
      </c>
      <c r="C175" s="568">
        <v>41148</v>
      </c>
      <c r="D175" s="575" t="s">
        <v>328</v>
      </c>
      <c r="E175" s="575" t="s">
        <v>351</v>
      </c>
      <c r="F175" s="498" t="s">
        <v>506</v>
      </c>
      <c r="G175" s="569" t="s">
        <v>504</v>
      </c>
      <c r="H175" s="569" t="s">
        <v>505</v>
      </c>
      <c r="I175" s="577" t="str">
        <f>Table1[[#This Row],[Staff]]</f>
        <v>Nicole</v>
      </c>
      <c r="J175" s="568">
        <f>Table1[[#This Row],[Date]]</f>
        <v>41148</v>
      </c>
      <c r="K175" s="525"/>
      <c r="L175" s="525"/>
    </row>
    <row r="176" spans="1:12" ht="27.6" hidden="1">
      <c r="A176" s="567">
        <v>1</v>
      </c>
      <c r="B176" s="36">
        <v>174</v>
      </c>
      <c r="C176" s="568">
        <v>41148</v>
      </c>
      <c r="D176" s="575" t="s">
        <v>328</v>
      </c>
      <c r="E176" s="575" t="s">
        <v>351</v>
      </c>
      <c r="F176" s="498" t="s">
        <v>507</v>
      </c>
      <c r="G176" s="569" t="s">
        <v>504</v>
      </c>
      <c r="H176" s="569" t="s">
        <v>505</v>
      </c>
      <c r="I176" s="577" t="str">
        <f>Table1[[#This Row],[Staff]]</f>
        <v>Nicole</v>
      </c>
      <c r="J176" s="568">
        <f>Table1[[#This Row],[Date]]</f>
        <v>41148</v>
      </c>
      <c r="K176" s="525"/>
      <c r="L176" s="525"/>
    </row>
    <row r="177" spans="1:12" ht="27.6" hidden="1">
      <c r="A177" s="567">
        <v>1</v>
      </c>
      <c r="B177" s="36">
        <v>175</v>
      </c>
      <c r="C177" s="568">
        <v>41148</v>
      </c>
      <c r="D177" s="575" t="s">
        <v>328</v>
      </c>
      <c r="E177" s="575" t="s">
        <v>351</v>
      </c>
      <c r="F177" s="498" t="s">
        <v>508</v>
      </c>
      <c r="G177" s="569" t="s">
        <v>504</v>
      </c>
      <c r="H177" s="569" t="s">
        <v>505</v>
      </c>
      <c r="I177" s="577" t="str">
        <f>Table1[[#This Row],[Staff]]</f>
        <v>Nicole</v>
      </c>
      <c r="J177" s="568">
        <f>Table1[[#This Row],[Date]]</f>
        <v>41148</v>
      </c>
      <c r="K177" s="525"/>
      <c r="L177" s="525"/>
    </row>
    <row r="178" spans="1:12" ht="27.6" hidden="1">
      <c r="A178" s="567">
        <v>1</v>
      </c>
      <c r="B178" s="36">
        <v>176</v>
      </c>
      <c r="C178" s="568">
        <v>41148</v>
      </c>
      <c r="D178" s="575" t="s">
        <v>328</v>
      </c>
      <c r="E178" s="575" t="s">
        <v>344</v>
      </c>
      <c r="F178" s="498" t="s">
        <v>509</v>
      </c>
      <c r="G178" s="569" t="s">
        <v>510</v>
      </c>
      <c r="H178" s="569" t="s">
        <v>467</v>
      </c>
      <c r="I178" s="577" t="str">
        <f>Table1[[#This Row],[Staff]]</f>
        <v>Nicole</v>
      </c>
      <c r="J178" s="568">
        <f>Table1[[#This Row],[Date]]</f>
        <v>41148</v>
      </c>
      <c r="K178" s="525"/>
      <c r="L178" s="525"/>
    </row>
    <row r="179" spans="1:12" ht="27.6" hidden="1">
      <c r="A179" s="567">
        <v>1</v>
      </c>
      <c r="B179" s="36">
        <v>177</v>
      </c>
      <c r="C179" s="568">
        <v>41148</v>
      </c>
      <c r="D179" s="575" t="s">
        <v>328</v>
      </c>
      <c r="E179" s="575" t="s">
        <v>344</v>
      </c>
      <c r="F179" s="498" t="s">
        <v>511</v>
      </c>
      <c r="G179" s="569" t="s">
        <v>512</v>
      </c>
      <c r="H179" s="569" t="s">
        <v>513</v>
      </c>
      <c r="I179" s="577" t="str">
        <f>Table1[[#This Row],[Staff]]</f>
        <v>Nicole</v>
      </c>
      <c r="J179" s="568">
        <f>Table1[[#This Row],[Date]]</f>
        <v>41148</v>
      </c>
      <c r="K179" s="525"/>
      <c r="L179" s="525"/>
    </row>
    <row r="180" spans="1:12" ht="27.6" hidden="1">
      <c r="A180" s="567">
        <v>1</v>
      </c>
      <c r="B180" s="36">
        <v>178</v>
      </c>
      <c r="C180" s="568">
        <v>41148</v>
      </c>
      <c r="D180" s="575" t="s">
        <v>328</v>
      </c>
      <c r="E180" s="575" t="s">
        <v>344</v>
      </c>
      <c r="F180" s="498" t="s">
        <v>514</v>
      </c>
      <c r="G180" s="569" t="s">
        <v>515</v>
      </c>
      <c r="H180" s="569" t="s">
        <v>516</v>
      </c>
      <c r="I180" s="577" t="str">
        <f>Table1[[#This Row],[Staff]]</f>
        <v>Nicole</v>
      </c>
      <c r="J180" s="568">
        <f>Table1[[#This Row],[Date]]</f>
        <v>41148</v>
      </c>
      <c r="K180" s="525"/>
      <c r="L180" s="525"/>
    </row>
    <row r="181" spans="1:12" ht="27.6" hidden="1">
      <c r="A181" s="567">
        <v>1</v>
      </c>
      <c r="B181" s="36">
        <v>179</v>
      </c>
      <c r="C181" s="568">
        <v>41148</v>
      </c>
      <c r="D181" s="576" t="s">
        <v>328</v>
      </c>
      <c r="E181" s="576" t="s">
        <v>144</v>
      </c>
      <c r="F181" s="498" t="s">
        <v>471</v>
      </c>
      <c r="G181" s="569" t="s">
        <v>517</v>
      </c>
      <c r="H181" s="569" t="s">
        <v>518</v>
      </c>
      <c r="I181" s="577" t="str">
        <f>Table1[[#This Row],[Staff]]</f>
        <v>Nicole</v>
      </c>
      <c r="J181" s="568">
        <f>Table1[[#This Row],[Date]]</f>
        <v>41148</v>
      </c>
      <c r="K181" s="525"/>
      <c r="L181" s="525"/>
    </row>
    <row r="182" spans="1:12" ht="27.6" hidden="1">
      <c r="A182" s="567">
        <v>1</v>
      </c>
      <c r="B182" s="36">
        <v>180</v>
      </c>
      <c r="C182" s="568">
        <v>41148</v>
      </c>
      <c r="D182" s="576" t="s">
        <v>328</v>
      </c>
      <c r="E182" s="576" t="s">
        <v>144</v>
      </c>
      <c r="F182" s="498" t="s">
        <v>488</v>
      </c>
      <c r="G182" s="569" t="s">
        <v>517</v>
      </c>
      <c r="H182" s="569" t="s">
        <v>518</v>
      </c>
      <c r="I182" s="577" t="str">
        <f>Table1[[#This Row],[Staff]]</f>
        <v>Nicole</v>
      </c>
      <c r="J182" s="568">
        <f>Table1[[#This Row],[Date]]</f>
        <v>41148</v>
      </c>
      <c r="K182" s="525"/>
      <c r="L182" s="525"/>
    </row>
    <row r="183" spans="1:12" ht="27.6" hidden="1">
      <c r="A183" s="567">
        <v>1</v>
      </c>
      <c r="B183" s="36">
        <v>181</v>
      </c>
      <c r="C183" s="568">
        <v>41148</v>
      </c>
      <c r="D183" s="576" t="s">
        <v>328</v>
      </c>
      <c r="E183" s="576" t="s">
        <v>144</v>
      </c>
      <c r="F183" s="498" t="s">
        <v>502</v>
      </c>
      <c r="G183" s="569" t="s">
        <v>517</v>
      </c>
      <c r="H183" s="569" t="s">
        <v>518</v>
      </c>
      <c r="I183" s="577" t="str">
        <f>Table1[[#This Row],[Staff]]</f>
        <v>Nicole</v>
      </c>
      <c r="J183" s="568">
        <f>Table1[[#This Row],[Date]]</f>
        <v>41148</v>
      </c>
      <c r="K183" s="525"/>
      <c r="L183" s="525"/>
    </row>
    <row r="184" spans="1:12" ht="27.6" hidden="1">
      <c r="A184" s="567">
        <v>1</v>
      </c>
      <c r="B184" s="36">
        <v>182</v>
      </c>
      <c r="C184" s="568">
        <v>41148</v>
      </c>
      <c r="D184" s="576" t="s">
        <v>328</v>
      </c>
      <c r="E184" s="576" t="s">
        <v>344</v>
      </c>
      <c r="F184" s="498" t="s">
        <v>480</v>
      </c>
      <c r="G184" s="569" t="s">
        <v>519</v>
      </c>
      <c r="H184" s="569" t="s">
        <v>437</v>
      </c>
      <c r="I184" s="577" t="str">
        <f>Table1[[#This Row],[Staff]]</f>
        <v>Nicole</v>
      </c>
      <c r="J184" s="568">
        <f>Table1[[#This Row],[Date]]</f>
        <v>41148</v>
      </c>
      <c r="K184" s="525"/>
      <c r="L184" s="525"/>
    </row>
    <row r="185" spans="1:12" hidden="1">
      <c r="A185" s="567">
        <v>1</v>
      </c>
      <c r="B185" s="36">
        <v>183</v>
      </c>
      <c r="C185" s="568">
        <v>41148</v>
      </c>
      <c r="D185" s="576" t="s">
        <v>328</v>
      </c>
      <c r="E185" s="576" t="s">
        <v>144</v>
      </c>
      <c r="F185" s="498" t="s">
        <v>523</v>
      </c>
      <c r="G185" s="569" t="s">
        <v>524</v>
      </c>
      <c r="H185" s="569" t="s">
        <v>525</v>
      </c>
      <c r="I185" s="577" t="str">
        <f>Table1[[#This Row],[Staff]]</f>
        <v>Nicole</v>
      </c>
      <c r="J185" s="568">
        <f>Table1[[#This Row],[Date]]</f>
        <v>41148</v>
      </c>
      <c r="K185" s="525"/>
      <c r="L185" s="525"/>
    </row>
    <row r="186" spans="1:12" hidden="1">
      <c r="A186" s="567">
        <v>1</v>
      </c>
      <c r="B186" s="36">
        <v>184</v>
      </c>
      <c r="C186" s="568">
        <v>41148</v>
      </c>
      <c r="D186" s="576" t="s">
        <v>328</v>
      </c>
      <c r="E186" s="576" t="s">
        <v>344</v>
      </c>
      <c r="F186" s="498" t="s">
        <v>526</v>
      </c>
      <c r="G186" s="569" t="s">
        <v>524</v>
      </c>
      <c r="H186" s="569" t="s">
        <v>525</v>
      </c>
      <c r="I186" s="577" t="str">
        <f>Table1[[#This Row],[Staff]]</f>
        <v>Nicole</v>
      </c>
      <c r="J186" s="568">
        <f>Table1[[#This Row],[Date]]</f>
        <v>41148</v>
      </c>
      <c r="K186" s="525"/>
      <c r="L186" s="525"/>
    </row>
    <row r="187" spans="1:12" hidden="1">
      <c r="A187" s="567">
        <v>1</v>
      </c>
      <c r="B187" s="36">
        <v>185</v>
      </c>
      <c r="C187" s="568">
        <v>41148</v>
      </c>
      <c r="D187" s="576" t="s">
        <v>328</v>
      </c>
      <c r="E187" s="576" t="s">
        <v>5</v>
      </c>
      <c r="F187" s="498" t="s">
        <v>526</v>
      </c>
      <c r="G187" s="569" t="s">
        <v>524</v>
      </c>
      <c r="H187" s="569" t="s">
        <v>525</v>
      </c>
      <c r="I187" s="577" t="str">
        <f>Table1[[#This Row],[Staff]]</f>
        <v>Nicole</v>
      </c>
      <c r="J187" s="568">
        <f>Table1[[#This Row],[Date]]</f>
        <v>41148</v>
      </c>
      <c r="K187" s="525"/>
      <c r="L187" s="525"/>
    </row>
    <row r="188" spans="1:12" hidden="1">
      <c r="A188" s="567">
        <v>1</v>
      </c>
      <c r="B188" s="36">
        <v>186</v>
      </c>
      <c r="C188" s="568">
        <v>41148</v>
      </c>
      <c r="D188" s="576" t="s">
        <v>328</v>
      </c>
      <c r="E188" s="576" t="s">
        <v>351</v>
      </c>
      <c r="F188" s="498" t="s">
        <v>526</v>
      </c>
      <c r="G188" s="569" t="s">
        <v>524</v>
      </c>
      <c r="H188" s="569" t="s">
        <v>525</v>
      </c>
      <c r="I188" s="577" t="str">
        <f>Table1[[#This Row],[Staff]]</f>
        <v>Nicole</v>
      </c>
      <c r="J188" s="568">
        <f>Table1[[#This Row],[Date]]</f>
        <v>41148</v>
      </c>
      <c r="K188" s="525"/>
      <c r="L188" s="525"/>
    </row>
    <row r="189" spans="1:12" hidden="1">
      <c r="A189" s="567">
        <v>1</v>
      </c>
      <c r="B189" s="36">
        <v>187</v>
      </c>
      <c r="C189" s="568">
        <v>41148</v>
      </c>
      <c r="D189" s="576" t="s">
        <v>328</v>
      </c>
      <c r="E189" s="576" t="s">
        <v>354</v>
      </c>
      <c r="F189" s="498" t="s">
        <v>526</v>
      </c>
      <c r="G189" s="569" t="s">
        <v>524</v>
      </c>
      <c r="H189" s="569" t="s">
        <v>525</v>
      </c>
      <c r="I189" s="577" t="str">
        <f>Table1[[#This Row],[Staff]]</f>
        <v>Nicole</v>
      </c>
      <c r="J189" s="568">
        <f>Table1[[#This Row],[Date]]</f>
        <v>41148</v>
      </c>
      <c r="K189" s="525"/>
      <c r="L189" s="525"/>
    </row>
    <row r="190" spans="1:12" hidden="1">
      <c r="A190" s="567">
        <v>1</v>
      </c>
      <c r="B190" s="36">
        <v>188</v>
      </c>
      <c r="C190" s="568">
        <v>41148</v>
      </c>
      <c r="D190" s="576" t="s">
        <v>328</v>
      </c>
      <c r="E190" s="576" t="s">
        <v>57</v>
      </c>
      <c r="F190" s="498" t="s">
        <v>526</v>
      </c>
      <c r="G190" s="569" t="s">
        <v>524</v>
      </c>
      <c r="H190" s="569" t="s">
        <v>525</v>
      </c>
      <c r="I190" s="577" t="str">
        <f>Table1[[#This Row],[Staff]]</f>
        <v>Nicole</v>
      </c>
      <c r="J190" s="568">
        <f>Table1[[#This Row],[Date]]</f>
        <v>41148</v>
      </c>
      <c r="K190" s="525"/>
      <c r="L190" s="525"/>
    </row>
    <row r="191" spans="1:12" hidden="1">
      <c r="A191" s="567">
        <v>1</v>
      </c>
      <c r="B191" s="36">
        <v>189</v>
      </c>
      <c r="C191" s="568">
        <v>41148</v>
      </c>
      <c r="D191" s="576" t="s">
        <v>328</v>
      </c>
      <c r="E191" s="576" t="s">
        <v>359</v>
      </c>
      <c r="F191" s="498" t="s">
        <v>526</v>
      </c>
      <c r="G191" s="569" t="s">
        <v>524</v>
      </c>
      <c r="H191" s="569" t="s">
        <v>525</v>
      </c>
      <c r="I191" s="577" t="str">
        <f>Table1[[#This Row],[Staff]]</f>
        <v>Nicole</v>
      </c>
      <c r="J191" s="568">
        <f>Table1[[#This Row],[Date]]</f>
        <v>41148</v>
      </c>
      <c r="K191" s="525"/>
      <c r="L191" s="525"/>
    </row>
    <row r="192" spans="1:12" hidden="1">
      <c r="A192" s="567">
        <v>1</v>
      </c>
      <c r="B192" s="36">
        <v>190</v>
      </c>
      <c r="C192" s="568">
        <v>41148</v>
      </c>
      <c r="D192" s="576" t="s">
        <v>328</v>
      </c>
      <c r="E192" s="576" t="s">
        <v>361</v>
      </c>
      <c r="F192" s="498" t="s">
        <v>526</v>
      </c>
      <c r="G192" s="569" t="s">
        <v>524</v>
      </c>
      <c r="H192" s="569" t="s">
        <v>525</v>
      </c>
      <c r="I192" s="577" t="str">
        <f>Table1[[#This Row],[Staff]]</f>
        <v>Nicole</v>
      </c>
      <c r="J192" s="568">
        <f>Table1[[#This Row],[Date]]</f>
        <v>41148</v>
      </c>
      <c r="K192" s="525"/>
      <c r="L192" s="525"/>
    </row>
    <row r="193" spans="1:12" hidden="1">
      <c r="A193" s="567">
        <v>1</v>
      </c>
      <c r="B193" s="36">
        <v>191</v>
      </c>
      <c r="C193" s="568">
        <v>41148</v>
      </c>
      <c r="D193" s="576" t="s">
        <v>328</v>
      </c>
      <c r="E193" s="576" t="s">
        <v>367</v>
      </c>
      <c r="F193" s="498" t="s">
        <v>526</v>
      </c>
      <c r="G193" s="569" t="s">
        <v>524</v>
      </c>
      <c r="H193" s="569" t="s">
        <v>525</v>
      </c>
      <c r="I193" s="577" t="str">
        <f>Table1[[#This Row],[Staff]]</f>
        <v>Nicole</v>
      </c>
      <c r="J193" s="568">
        <f>Table1[[#This Row],[Date]]</f>
        <v>41148</v>
      </c>
      <c r="K193" s="525"/>
      <c r="L193" s="525"/>
    </row>
    <row r="194" spans="1:12" hidden="1">
      <c r="A194" s="567">
        <v>1</v>
      </c>
      <c r="B194" s="36">
        <v>192</v>
      </c>
      <c r="C194" s="568">
        <v>41148</v>
      </c>
      <c r="D194" s="576" t="s">
        <v>328</v>
      </c>
      <c r="E194" s="576" t="s">
        <v>372</v>
      </c>
      <c r="F194" s="498" t="s">
        <v>526</v>
      </c>
      <c r="G194" s="569" t="s">
        <v>524</v>
      </c>
      <c r="H194" s="569" t="s">
        <v>525</v>
      </c>
      <c r="I194" s="577" t="str">
        <f>Table1[[#This Row],[Staff]]</f>
        <v>Nicole</v>
      </c>
      <c r="J194" s="568">
        <f>Table1[[#This Row],[Date]]</f>
        <v>41148</v>
      </c>
      <c r="K194" s="525"/>
      <c r="L194" s="525"/>
    </row>
    <row r="195" spans="1:12" hidden="1">
      <c r="A195" s="567">
        <v>1</v>
      </c>
      <c r="B195" s="36">
        <v>193</v>
      </c>
      <c r="C195" s="568">
        <v>41148</v>
      </c>
      <c r="D195" s="576" t="s">
        <v>328</v>
      </c>
      <c r="E195" s="576" t="s">
        <v>375</v>
      </c>
      <c r="F195" s="498" t="s">
        <v>526</v>
      </c>
      <c r="G195" s="569" t="s">
        <v>524</v>
      </c>
      <c r="H195" s="569" t="s">
        <v>525</v>
      </c>
      <c r="I195" s="577" t="str">
        <f>Table1[[#This Row],[Staff]]</f>
        <v>Nicole</v>
      </c>
      <c r="J195" s="568">
        <f>Table1[[#This Row],[Date]]</f>
        <v>41148</v>
      </c>
      <c r="K195" s="525"/>
      <c r="L195" s="525"/>
    </row>
    <row r="196" spans="1:12" hidden="1">
      <c r="A196" s="567">
        <v>1</v>
      </c>
      <c r="B196" s="36">
        <v>194</v>
      </c>
      <c r="C196" s="568">
        <v>41148</v>
      </c>
      <c r="D196" s="576" t="s">
        <v>328</v>
      </c>
      <c r="E196" s="576" t="s">
        <v>70</v>
      </c>
      <c r="F196" s="498" t="s">
        <v>526</v>
      </c>
      <c r="G196" s="569" t="s">
        <v>524</v>
      </c>
      <c r="H196" s="569" t="s">
        <v>525</v>
      </c>
      <c r="I196" s="577" t="str">
        <f>Table1[[#This Row],[Staff]]</f>
        <v>Nicole</v>
      </c>
      <c r="J196" s="568">
        <f>Table1[[#This Row],[Date]]</f>
        <v>41148</v>
      </c>
      <c r="K196" s="525"/>
      <c r="L196" s="525"/>
    </row>
    <row r="197" spans="1:12" hidden="1">
      <c r="A197" s="567">
        <v>1</v>
      </c>
      <c r="B197" s="36">
        <v>195</v>
      </c>
      <c r="C197" s="568">
        <v>41148</v>
      </c>
      <c r="D197" s="576" t="s">
        <v>328</v>
      </c>
      <c r="E197" s="576" t="s">
        <v>79</v>
      </c>
      <c r="F197" s="498" t="s">
        <v>526</v>
      </c>
      <c r="G197" s="569" t="s">
        <v>524</v>
      </c>
      <c r="H197" s="569" t="s">
        <v>525</v>
      </c>
      <c r="I197" s="577" t="str">
        <f>Table1[[#This Row],[Staff]]</f>
        <v>Nicole</v>
      </c>
      <c r="J197" s="568">
        <f>Table1[[#This Row],[Date]]</f>
        <v>41148</v>
      </c>
      <c r="K197" s="525"/>
      <c r="L197" s="525"/>
    </row>
    <row r="198" spans="1:12" hidden="1">
      <c r="A198" s="567">
        <v>1</v>
      </c>
      <c r="B198" s="36">
        <v>196</v>
      </c>
      <c r="C198" s="568">
        <v>41148</v>
      </c>
      <c r="D198" s="576" t="s">
        <v>328</v>
      </c>
      <c r="E198" s="576" t="s">
        <v>379</v>
      </c>
      <c r="F198" s="498" t="s">
        <v>526</v>
      </c>
      <c r="G198" s="569" t="s">
        <v>524</v>
      </c>
      <c r="H198" s="569" t="s">
        <v>525</v>
      </c>
      <c r="I198" s="577" t="str">
        <f>Table1[[#This Row],[Staff]]</f>
        <v>Nicole</v>
      </c>
      <c r="J198" s="568">
        <f>Table1[[#This Row],[Date]]</f>
        <v>41148</v>
      </c>
      <c r="K198" s="525"/>
      <c r="L198" s="525"/>
    </row>
    <row r="199" spans="1:12" ht="27.6" hidden="1">
      <c r="A199" s="567">
        <v>1</v>
      </c>
      <c r="B199" s="36">
        <v>197</v>
      </c>
      <c r="C199" s="568">
        <v>41148</v>
      </c>
      <c r="D199" s="576" t="s">
        <v>328</v>
      </c>
      <c r="E199" s="576" t="s">
        <v>335</v>
      </c>
      <c r="F199" s="498" t="s">
        <v>527</v>
      </c>
      <c r="G199" s="569" t="s">
        <v>528</v>
      </c>
      <c r="H199" s="569" t="s">
        <v>529</v>
      </c>
      <c r="I199" s="577" t="str">
        <f>Table1[[#This Row],[Staff]]</f>
        <v>Nicole</v>
      </c>
      <c r="J199" s="568">
        <f>Table1[[#This Row],[Date]]</f>
        <v>41148</v>
      </c>
      <c r="K199" s="525"/>
      <c r="L199" s="525"/>
    </row>
    <row r="200" spans="1:12" ht="27.6" hidden="1">
      <c r="A200" s="567">
        <v>1</v>
      </c>
      <c r="B200" s="36">
        <v>198</v>
      </c>
      <c r="C200" s="568">
        <v>41148</v>
      </c>
      <c r="D200" s="576" t="s">
        <v>328</v>
      </c>
      <c r="E200" s="576" t="s">
        <v>335</v>
      </c>
      <c r="F200" s="498" t="s">
        <v>530</v>
      </c>
      <c r="G200" s="569" t="s">
        <v>531</v>
      </c>
      <c r="H200" s="569" t="s">
        <v>467</v>
      </c>
      <c r="I200" s="577" t="str">
        <f>Table1[[#This Row],[Staff]]</f>
        <v>Nicole</v>
      </c>
      <c r="J200" s="568">
        <f>Table1[[#This Row],[Date]]</f>
        <v>41148</v>
      </c>
      <c r="K200" s="525"/>
      <c r="L200" s="525"/>
    </row>
    <row r="201" spans="1:12" hidden="1">
      <c r="A201" s="567">
        <v>1</v>
      </c>
      <c r="B201" s="36">
        <v>199</v>
      </c>
      <c r="C201" s="568">
        <v>41148</v>
      </c>
      <c r="D201" s="576" t="s">
        <v>328</v>
      </c>
      <c r="E201" s="576" t="s">
        <v>144</v>
      </c>
      <c r="F201" s="498" t="s">
        <v>532</v>
      </c>
      <c r="G201" s="569" t="s">
        <v>534</v>
      </c>
      <c r="H201" s="569" t="s">
        <v>535</v>
      </c>
      <c r="I201" s="577" t="str">
        <f>Table1[[#This Row],[Staff]]</f>
        <v>Nicole</v>
      </c>
      <c r="J201" s="568">
        <f>Table1[[#This Row],[Date]]</f>
        <v>41148</v>
      </c>
      <c r="K201" s="525"/>
      <c r="L201" s="525"/>
    </row>
    <row r="202" spans="1:12" hidden="1">
      <c r="A202" s="567">
        <v>1</v>
      </c>
      <c r="B202" s="36">
        <v>200</v>
      </c>
      <c r="C202" s="568">
        <v>41148</v>
      </c>
      <c r="D202" s="576" t="s">
        <v>328</v>
      </c>
      <c r="E202" s="576" t="s">
        <v>144</v>
      </c>
      <c r="F202" s="498" t="s">
        <v>533</v>
      </c>
      <c r="G202" s="569" t="s">
        <v>534</v>
      </c>
      <c r="H202" s="569" t="s">
        <v>535</v>
      </c>
      <c r="I202" s="577" t="str">
        <f>Table1[[#This Row],[Staff]]</f>
        <v>Nicole</v>
      </c>
      <c r="J202" s="568">
        <f>Table1[[#This Row],[Date]]</f>
        <v>41148</v>
      </c>
      <c r="K202" s="525"/>
      <c r="L202" s="525"/>
    </row>
    <row r="203" spans="1:12" ht="41.4" hidden="1">
      <c r="A203" s="567">
        <v>1</v>
      </c>
      <c r="B203" s="36">
        <v>201</v>
      </c>
      <c r="C203" s="568">
        <v>41148</v>
      </c>
      <c r="D203" s="576" t="s">
        <v>328</v>
      </c>
      <c r="E203" s="576" t="s">
        <v>57</v>
      </c>
      <c r="F203" s="498" t="s">
        <v>536</v>
      </c>
      <c r="G203" s="569" t="s">
        <v>537</v>
      </c>
      <c r="H203" s="569" t="s">
        <v>538</v>
      </c>
      <c r="I203" s="577" t="str">
        <f>Table1[[#This Row],[Staff]]</f>
        <v>Nicole</v>
      </c>
      <c r="J203" s="568">
        <f>Table1[[#This Row],[Date]]</f>
        <v>41148</v>
      </c>
      <c r="K203" s="525"/>
      <c r="L203" s="525"/>
    </row>
    <row r="204" spans="1:12" ht="27.6" hidden="1">
      <c r="A204" s="567">
        <v>1</v>
      </c>
      <c r="B204" s="36">
        <v>202</v>
      </c>
      <c r="C204" s="568">
        <v>41148</v>
      </c>
      <c r="D204" s="576" t="s">
        <v>328</v>
      </c>
      <c r="E204" s="576" t="s">
        <v>351</v>
      </c>
      <c r="F204" s="498" t="s">
        <v>536</v>
      </c>
      <c r="G204" s="569" t="s">
        <v>539</v>
      </c>
      <c r="H204" s="569" t="s">
        <v>540</v>
      </c>
      <c r="I204" s="577" t="str">
        <f>Table1[[#This Row],[Staff]]</f>
        <v>Nicole</v>
      </c>
      <c r="J204" s="568">
        <f>Table1[[#This Row],[Date]]</f>
        <v>41148</v>
      </c>
      <c r="K204" s="525"/>
      <c r="L204" s="525"/>
    </row>
    <row r="205" spans="1:12" ht="27.6" hidden="1">
      <c r="A205" s="567">
        <v>1</v>
      </c>
      <c r="B205" s="36">
        <v>203</v>
      </c>
      <c r="C205" s="568">
        <v>41148</v>
      </c>
      <c r="D205" s="576" t="s">
        <v>328</v>
      </c>
      <c r="E205" s="578" t="s">
        <v>351</v>
      </c>
      <c r="F205" s="498" t="s">
        <v>541</v>
      </c>
      <c r="G205" s="569" t="s">
        <v>539</v>
      </c>
      <c r="H205" s="569" t="s">
        <v>540</v>
      </c>
      <c r="I205" s="577" t="str">
        <f>Table1[[#This Row],[Staff]]</f>
        <v>Nicole</v>
      </c>
      <c r="J205" s="568">
        <f>Table1[[#This Row],[Date]]</f>
        <v>41148</v>
      </c>
      <c r="K205" s="525"/>
      <c r="L205" s="525"/>
    </row>
    <row r="206" spans="1:12" ht="27.6" hidden="1">
      <c r="A206" s="567">
        <v>1</v>
      </c>
      <c r="B206" s="36">
        <v>204</v>
      </c>
      <c r="C206" s="568">
        <v>41148</v>
      </c>
      <c r="D206" s="576" t="s">
        <v>328</v>
      </c>
      <c r="E206" s="578" t="s">
        <v>351</v>
      </c>
      <c r="F206" s="498" t="s">
        <v>542</v>
      </c>
      <c r="G206" s="569" t="s">
        <v>539</v>
      </c>
      <c r="H206" s="569" t="s">
        <v>540</v>
      </c>
      <c r="I206" s="577" t="str">
        <f>Table1[[#This Row],[Staff]]</f>
        <v>Nicole</v>
      </c>
      <c r="J206" s="568">
        <f>Table1[[#This Row],[Date]]</f>
        <v>41148</v>
      </c>
      <c r="K206" s="525"/>
      <c r="L206" s="525"/>
    </row>
    <row r="207" spans="1:12" ht="27.6" hidden="1">
      <c r="A207" s="567">
        <v>1</v>
      </c>
      <c r="B207" s="36">
        <v>205</v>
      </c>
      <c r="C207" s="568">
        <v>41148</v>
      </c>
      <c r="D207" s="576" t="s">
        <v>328</v>
      </c>
      <c r="E207" s="578" t="s">
        <v>351</v>
      </c>
      <c r="F207" s="498" t="s">
        <v>543</v>
      </c>
      <c r="G207" s="569" t="s">
        <v>539</v>
      </c>
      <c r="H207" s="569" t="s">
        <v>540</v>
      </c>
      <c r="I207" s="577" t="str">
        <f>Table1[[#This Row],[Staff]]</f>
        <v>Nicole</v>
      </c>
      <c r="J207" s="568">
        <f>Table1[[#This Row],[Date]]</f>
        <v>41148</v>
      </c>
      <c r="K207" s="525"/>
      <c r="L207" s="525"/>
    </row>
    <row r="208" spans="1:12" ht="27.6" hidden="1">
      <c r="A208" s="567">
        <v>1</v>
      </c>
      <c r="B208" s="36">
        <v>206</v>
      </c>
      <c r="C208" s="568">
        <v>41148</v>
      </c>
      <c r="D208" s="576" t="s">
        <v>328</v>
      </c>
      <c r="E208" s="578" t="s">
        <v>351</v>
      </c>
      <c r="F208" s="498" t="s">
        <v>544</v>
      </c>
      <c r="G208" s="569" t="s">
        <v>539</v>
      </c>
      <c r="H208" s="569" t="s">
        <v>540</v>
      </c>
      <c r="I208" s="577" t="str">
        <f>Table1[[#This Row],[Staff]]</f>
        <v>Nicole</v>
      </c>
      <c r="J208" s="568">
        <f>Table1[[#This Row],[Date]]</f>
        <v>41148</v>
      </c>
      <c r="K208" s="525"/>
      <c r="L208" s="525"/>
    </row>
    <row r="209" spans="1:35" ht="27.6" hidden="1">
      <c r="A209" s="567">
        <v>1</v>
      </c>
      <c r="B209" s="36">
        <v>207</v>
      </c>
      <c r="C209" s="568">
        <v>41148</v>
      </c>
      <c r="D209" s="576" t="s">
        <v>328</v>
      </c>
      <c r="E209" s="578" t="s">
        <v>351</v>
      </c>
      <c r="F209" s="498" t="s">
        <v>545</v>
      </c>
      <c r="G209" s="569" t="s">
        <v>539</v>
      </c>
      <c r="H209" s="569" t="s">
        <v>540</v>
      </c>
      <c r="I209" s="577" t="str">
        <f>Table1[[#This Row],[Staff]]</f>
        <v>Nicole</v>
      </c>
      <c r="J209" s="568">
        <f>Table1[[#This Row],[Date]]</f>
        <v>41148</v>
      </c>
      <c r="K209" s="525"/>
      <c r="L209" s="525"/>
    </row>
    <row r="210" spans="1:35" ht="27.6" hidden="1">
      <c r="A210" s="567">
        <v>1</v>
      </c>
      <c r="B210" s="36">
        <v>208</v>
      </c>
      <c r="C210" s="568">
        <v>41148</v>
      </c>
      <c r="D210" s="576" t="s">
        <v>328</v>
      </c>
      <c r="E210" s="578" t="s">
        <v>351</v>
      </c>
      <c r="F210" s="498" t="s">
        <v>546</v>
      </c>
      <c r="G210" s="569" t="s">
        <v>539</v>
      </c>
      <c r="H210" s="569" t="s">
        <v>540</v>
      </c>
      <c r="I210" s="577" t="str">
        <f>Table1[[#This Row],[Staff]]</f>
        <v>Nicole</v>
      </c>
      <c r="J210" s="568">
        <f>Table1[[#This Row],[Date]]</f>
        <v>41148</v>
      </c>
      <c r="K210" s="525"/>
      <c r="L210" s="525"/>
    </row>
    <row r="211" spans="1:35" ht="27.6" hidden="1">
      <c r="A211" s="567">
        <v>1</v>
      </c>
      <c r="B211" s="36">
        <v>209</v>
      </c>
      <c r="C211" s="568">
        <v>41148</v>
      </c>
      <c r="D211" s="576" t="s">
        <v>328</v>
      </c>
      <c r="E211" s="578" t="s">
        <v>351</v>
      </c>
      <c r="F211" s="498" t="s">
        <v>547</v>
      </c>
      <c r="G211" s="569" t="s">
        <v>539</v>
      </c>
      <c r="H211" s="569" t="s">
        <v>540</v>
      </c>
      <c r="I211" s="577" t="str">
        <f>Table1[[#This Row],[Staff]]</f>
        <v>Nicole</v>
      </c>
      <c r="J211" s="568">
        <f>Table1[[#This Row],[Date]]</f>
        <v>41148</v>
      </c>
      <c r="K211" s="525"/>
      <c r="L211" s="525"/>
    </row>
    <row r="212" spans="1:35" ht="27.6" hidden="1">
      <c r="A212" s="567">
        <v>1</v>
      </c>
      <c r="B212" s="36">
        <v>210</v>
      </c>
      <c r="C212" s="568">
        <v>41148</v>
      </c>
      <c r="D212" s="576" t="s">
        <v>328</v>
      </c>
      <c r="E212" s="578" t="s">
        <v>351</v>
      </c>
      <c r="F212" s="498" t="s">
        <v>548</v>
      </c>
      <c r="G212" s="569" t="s">
        <v>539</v>
      </c>
      <c r="H212" s="569" t="s">
        <v>540</v>
      </c>
      <c r="I212" s="577" t="str">
        <f>Table1[[#This Row],[Staff]]</f>
        <v>Nicole</v>
      </c>
      <c r="J212" s="568">
        <f>Table1[[#This Row],[Date]]</f>
        <v>41148</v>
      </c>
      <c r="K212" s="525"/>
      <c r="L212" s="525"/>
    </row>
    <row r="213" spans="1:35" ht="27.6" hidden="1">
      <c r="A213" s="567">
        <v>1</v>
      </c>
      <c r="B213" s="36">
        <v>211</v>
      </c>
      <c r="C213" s="568">
        <v>41148</v>
      </c>
      <c r="D213" s="576" t="s">
        <v>328</v>
      </c>
      <c r="E213" s="578" t="s">
        <v>351</v>
      </c>
      <c r="F213" s="498" t="s">
        <v>549</v>
      </c>
      <c r="G213" s="569" t="s">
        <v>539</v>
      </c>
      <c r="H213" s="569" t="s">
        <v>540</v>
      </c>
      <c r="I213" s="577" t="str">
        <f>Table1[[#This Row],[Staff]]</f>
        <v>Nicole</v>
      </c>
      <c r="J213" s="568">
        <f>Table1[[#This Row],[Date]]</f>
        <v>41148</v>
      </c>
      <c r="K213" s="525"/>
      <c r="L213" s="525"/>
    </row>
    <row r="214" spans="1:35" ht="41.4" hidden="1">
      <c r="A214" s="567">
        <v>1</v>
      </c>
      <c r="B214" s="36">
        <v>212</v>
      </c>
      <c r="C214" s="568">
        <v>41148</v>
      </c>
      <c r="D214" s="579" t="s">
        <v>328</v>
      </c>
      <c r="E214" s="579" t="s">
        <v>334</v>
      </c>
      <c r="F214" s="498" t="s">
        <v>550</v>
      </c>
      <c r="G214" s="569" t="s">
        <v>551</v>
      </c>
      <c r="H214" s="569" t="s">
        <v>552</v>
      </c>
      <c r="I214" s="577" t="s">
        <v>436</v>
      </c>
      <c r="J214" s="568">
        <f>Table1[[#This Row],[Date]]</f>
        <v>41148</v>
      </c>
      <c r="K214" s="525"/>
      <c r="L214" s="525"/>
    </row>
    <row r="215" spans="1:35" ht="27.6" hidden="1">
      <c r="A215" s="567">
        <v>1</v>
      </c>
      <c r="B215" s="36">
        <v>213</v>
      </c>
      <c r="C215" s="568">
        <v>41148</v>
      </c>
      <c r="D215" s="581" t="s">
        <v>436</v>
      </c>
      <c r="E215" s="581" t="s">
        <v>335</v>
      </c>
      <c r="G215" s="569" t="s">
        <v>553</v>
      </c>
      <c r="H215" s="569" t="s">
        <v>554</v>
      </c>
      <c r="I215" s="577" t="str">
        <f>IF(Table1[[#This Row],[Staff]]="","",Table1[[#This Row],[Staff]])</f>
        <v>Maggie</v>
      </c>
      <c r="J215" s="568">
        <f>Table1[[#This Row],[Date]]</f>
        <v>41148</v>
      </c>
      <c r="K215" s="525"/>
      <c r="L215" s="525"/>
    </row>
    <row r="216" spans="1:35" s="580" customFormat="1" hidden="1">
      <c r="A216" s="592">
        <v>1</v>
      </c>
      <c r="B216" s="593">
        <v>214</v>
      </c>
      <c r="C216" s="594">
        <v>41149</v>
      </c>
      <c r="D216" s="28" t="s">
        <v>328</v>
      </c>
      <c r="E216" s="28" t="s">
        <v>5</v>
      </c>
      <c r="F216" s="595" t="s">
        <v>391</v>
      </c>
      <c r="G216" s="596" t="s">
        <v>556</v>
      </c>
      <c r="H216" s="596" t="s">
        <v>558</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328</v>
      </c>
      <c r="E217" s="584" t="s">
        <v>5</v>
      </c>
      <c r="F217" s="498" t="s">
        <v>399</v>
      </c>
      <c r="G217" s="569" t="s">
        <v>556</v>
      </c>
      <c r="H217" s="569" t="s">
        <v>557</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328</v>
      </c>
      <c r="E218" s="584" t="s">
        <v>5</v>
      </c>
      <c r="F218" s="498" t="s">
        <v>392</v>
      </c>
      <c r="G218" s="569" t="s">
        <v>556</v>
      </c>
      <c r="H218" s="569" t="s">
        <v>557</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328</v>
      </c>
      <c r="E219" s="584" t="s">
        <v>5</v>
      </c>
      <c r="F219" s="498" t="s">
        <v>393</v>
      </c>
      <c r="G219" s="569" t="s">
        <v>556</v>
      </c>
      <c r="H219" s="569" t="s">
        <v>557</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328</v>
      </c>
      <c r="E220" s="584" t="s">
        <v>5</v>
      </c>
      <c r="F220" s="498" t="s">
        <v>394</v>
      </c>
      <c r="G220" s="569" t="s">
        <v>556</v>
      </c>
      <c r="H220" s="569" t="s">
        <v>557</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328</v>
      </c>
      <c r="E221" s="584" t="s">
        <v>351</v>
      </c>
      <c r="F221" s="498" t="s">
        <v>405</v>
      </c>
      <c r="G221" s="569" t="s">
        <v>556</v>
      </c>
      <c r="H221" s="569" t="s">
        <v>557</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328</v>
      </c>
      <c r="E222" s="584" t="s">
        <v>351</v>
      </c>
      <c r="F222" s="498" t="s">
        <v>406</v>
      </c>
      <c r="G222" s="569" t="s">
        <v>556</v>
      </c>
      <c r="H222" s="569" t="s">
        <v>557</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328</v>
      </c>
      <c r="E223" s="584" t="s">
        <v>351</v>
      </c>
      <c r="F223" s="498" t="s">
        <v>407</v>
      </c>
      <c r="G223" s="569" t="s">
        <v>556</v>
      </c>
      <c r="H223" s="569" t="s">
        <v>557</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328</v>
      </c>
      <c r="E224" s="584" t="s">
        <v>351</v>
      </c>
      <c r="F224" s="498" t="s">
        <v>408</v>
      </c>
      <c r="G224" s="569" t="s">
        <v>556</v>
      </c>
      <c r="H224" s="569" t="s">
        <v>557</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328</v>
      </c>
      <c r="E225" s="584" t="s">
        <v>351</v>
      </c>
      <c r="F225" s="498" t="s">
        <v>409</v>
      </c>
      <c r="G225" s="569" t="s">
        <v>556</v>
      </c>
      <c r="H225" s="569" t="s">
        <v>557</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328</v>
      </c>
      <c r="E226" s="584" t="s">
        <v>351</v>
      </c>
      <c r="F226" s="498" t="s">
        <v>410</v>
      </c>
      <c r="G226" s="569" t="s">
        <v>556</v>
      </c>
      <c r="H226" s="569" t="s">
        <v>557</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328</v>
      </c>
      <c r="E227" s="584" t="s">
        <v>351</v>
      </c>
      <c r="F227" s="498" t="s">
        <v>411</v>
      </c>
      <c r="G227" s="569" t="s">
        <v>556</v>
      </c>
      <c r="H227" s="569" t="s">
        <v>557</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328</v>
      </c>
      <c r="E228" s="584" t="s">
        <v>351</v>
      </c>
      <c r="F228" s="498" t="s">
        <v>412</v>
      </c>
      <c r="G228" s="569" t="s">
        <v>556</v>
      </c>
      <c r="H228" s="569" t="s">
        <v>557</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328</v>
      </c>
      <c r="E229" s="584" t="s">
        <v>351</v>
      </c>
      <c r="F229" s="498" t="s">
        <v>413</v>
      </c>
      <c r="G229" s="569" t="s">
        <v>556</v>
      </c>
      <c r="H229" s="569" t="s">
        <v>557</v>
      </c>
      <c r="I229" s="577" t="str">
        <f>IF(Table1[[#This Row],[Staff]]="","",Table1[[#This Row],[Staff]])</f>
        <v>Nicole</v>
      </c>
      <c r="J229" s="568">
        <f>Table1[[#This Row],[Date]]</f>
        <v>41149</v>
      </c>
      <c r="K229" s="525"/>
      <c r="L229" s="525"/>
      <c r="AF229" s="498"/>
      <c r="AG229" s="498"/>
      <c r="AH229" s="498"/>
      <c r="AI229" s="498"/>
    </row>
    <row r="230" spans="1:35" s="588" customFormat="1" ht="41.4" hidden="1">
      <c r="A230" s="585">
        <v>1</v>
      </c>
      <c r="B230" s="586">
        <v>228</v>
      </c>
      <c r="C230" s="587">
        <v>41149</v>
      </c>
      <c r="D230" s="588" t="s">
        <v>328</v>
      </c>
      <c r="E230" s="588" t="s">
        <v>351</v>
      </c>
      <c r="F230" s="589" t="s">
        <v>414</v>
      </c>
      <c r="G230" s="590" t="s">
        <v>556</v>
      </c>
      <c r="H230" s="590" t="s">
        <v>559</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0" zoomScaleNormal="100" workbookViewId="0">
      <selection activeCell="J6" sqref="J6"/>
    </sheetView>
  </sheetViews>
  <sheetFormatPr defaultColWidth="3.19921875" defaultRowHeight="20.399999999999999" outlineLevelCol="1"/>
  <cols>
    <col min="1" max="1" width="14" style="301" customWidth="1"/>
    <col min="2" max="2" width="2.59765625" style="160" customWidth="1"/>
    <col min="3" max="3" width="4" style="43" customWidth="1"/>
    <col min="4" max="4" width="27.09765625" style="432" customWidth="1"/>
    <col min="5" max="16" width="3.19921875" style="432" customWidth="1"/>
    <col min="17" max="17" width="14.3984375" style="432" customWidth="1"/>
    <col min="18" max="18" width="2.59765625" style="432" customWidth="1"/>
    <col min="19" max="19" width="2.59765625" customWidth="1"/>
    <col min="20" max="20" width="30.3984375" style="36" customWidth="1"/>
    <col min="21" max="21" width="24" hidden="1" customWidth="1" outlineLevel="1"/>
    <col min="22" max="22" width="14.8984375" style="37" hidden="1" customWidth="1" outlineLevel="1"/>
    <col min="23" max="23" width="24.59765625" customWidth="1" collapsed="1"/>
    <col min="24" max="24" width="16.5" customWidth="1"/>
    <col min="25" max="25" width="18" customWidth="1"/>
    <col min="26" max="34" width="31.097656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37" t="s">
        <v>6</v>
      </c>
      <c r="E2" s="637"/>
      <c r="F2" s="637"/>
      <c r="G2" s="637"/>
      <c r="H2" s="643">
        <f ca="1">TODAY()</f>
        <v>41863</v>
      </c>
      <c r="I2" s="643"/>
      <c r="J2" s="643"/>
      <c r="K2" s="643"/>
      <c r="L2" s="643"/>
      <c r="M2" s="643"/>
      <c r="N2" s="643"/>
      <c r="O2" s="643"/>
      <c r="P2" s="643"/>
      <c r="Q2" s="643"/>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39" t="str">
        <f>R.1ProjectName</f>
        <v>Greenhouse Gas Permitting - Temporary</v>
      </c>
      <c r="E4" s="639"/>
      <c r="F4" s="639"/>
      <c r="G4" s="639"/>
      <c r="H4" s="639"/>
      <c r="I4" s="639"/>
      <c r="J4" s="639"/>
      <c r="K4" s="639"/>
      <c r="L4" s="639"/>
      <c r="M4" s="639"/>
      <c r="N4" s="639"/>
      <c r="O4" s="639"/>
      <c r="P4" s="639"/>
      <c r="Q4" s="639"/>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38" t="s">
        <v>161</v>
      </c>
      <c r="D5" s="638"/>
      <c r="E5" s="638"/>
      <c r="F5" s="638"/>
      <c r="G5" s="638"/>
      <c r="H5" s="638"/>
      <c r="I5" s="638"/>
      <c r="J5" s="638"/>
      <c r="K5" s="638"/>
      <c r="L5" s="638"/>
      <c r="M5" s="638"/>
      <c r="N5" s="638"/>
      <c r="O5" s="638"/>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5" t="str">
        <f>'1ProjectRecord'!D2</f>
        <v>Project record</v>
      </c>
      <c r="E7" s="641" t="s">
        <v>81</v>
      </c>
      <c r="F7" s="634"/>
      <c r="G7" s="634"/>
      <c r="H7" s="634"/>
      <c r="I7" s="634"/>
      <c r="J7" s="634"/>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6" t="s">
        <v>144</v>
      </c>
      <c r="E8" s="642" t="s">
        <v>145</v>
      </c>
      <c r="F8" s="622"/>
      <c r="G8" s="622"/>
      <c r="H8" s="622" t="s">
        <v>72</v>
      </c>
      <c r="I8" s="622"/>
      <c r="J8" s="622"/>
      <c r="K8" s="280"/>
      <c r="L8" s="280"/>
      <c r="M8" s="211"/>
      <c r="N8" s="211"/>
      <c r="O8" s="640" t="s">
        <v>45</v>
      </c>
      <c r="P8" s="640"/>
      <c r="Q8" s="640"/>
      <c r="R8" s="640"/>
      <c r="S8" s="333"/>
      <c r="T8" s="24"/>
      <c r="U8" s="24"/>
      <c r="V8" s="24"/>
      <c r="W8" s="24"/>
      <c r="X8" s="24"/>
      <c r="Y8" s="24"/>
      <c r="Z8" s="24"/>
      <c r="AA8" s="24"/>
      <c r="AB8" s="24"/>
      <c r="AC8" s="24"/>
      <c r="AD8" s="24"/>
      <c r="AE8" s="24"/>
      <c r="AF8" s="24"/>
      <c r="AG8" s="24"/>
    </row>
    <row r="9" spans="1:45" s="7" customFormat="1" ht="15.75" customHeight="1">
      <c r="A9" s="28"/>
      <c r="B9" s="333"/>
      <c r="C9" s="212">
        <v>3</v>
      </c>
      <c r="D9" s="607" t="str">
        <f>'3CoreTeam'!D2</f>
        <v>Core Team</v>
      </c>
      <c r="E9" s="628">
        <f>R.3LowHrs</f>
        <v>177</v>
      </c>
      <c r="F9" s="629"/>
      <c r="G9" s="630"/>
      <c r="H9" s="623">
        <f>R.3HighHrs</f>
        <v>428</v>
      </c>
      <c r="I9" s="624"/>
      <c r="J9" s="625"/>
      <c r="K9" s="221"/>
      <c r="L9" s="633" t="s">
        <v>41</v>
      </c>
      <c r="M9" s="634"/>
      <c r="N9" s="634"/>
      <c r="O9" s="634"/>
      <c r="P9" s="635"/>
      <c r="Q9" s="281" t="str">
        <f>V9</f>
        <v>Medium/High</v>
      </c>
      <c r="R9" s="371"/>
      <c r="S9" s="333"/>
      <c r="T9" s="48"/>
      <c r="U9" s="261">
        <f>R.2aOrgRisk</f>
        <v>4</v>
      </c>
      <c r="V9" s="262" t="str">
        <f>IF(U9=1,"Low",IF(U9=2,"Low/Medium",IF(U9=3,"Medium",IF(U9=4,"Medium/High","High"))))</f>
        <v>Medium/High</v>
      </c>
      <c r="W9" s="24"/>
      <c r="X9" s="24"/>
      <c r="Y9" s="24"/>
      <c r="Z9" s="24"/>
      <c r="AA9" s="24"/>
      <c r="AB9" s="24"/>
      <c r="AC9" s="24"/>
      <c r="AD9" s="24"/>
      <c r="AE9" s="24"/>
      <c r="AF9" s="24"/>
      <c r="AG9" s="24"/>
    </row>
    <row r="10" spans="1:45" s="7" customFormat="1" ht="15.75" customHeight="1">
      <c r="A10" s="28"/>
      <c r="B10" s="333"/>
      <c r="C10" s="212">
        <v>4</v>
      </c>
      <c r="D10" s="605" t="str">
        <f>'4Advisors'!D2</f>
        <v>Advisors</v>
      </c>
      <c r="E10" s="628">
        <f>R.4LowHrs</f>
        <v>10</v>
      </c>
      <c r="F10" s="629"/>
      <c r="G10" s="630"/>
      <c r="H10" s="623">
        <f>R.4HighHrs</f>
        <v>56</v>
      </c>
      <c r="I10" s="624"/>
      <c r="J10" s="625"/>
      <c r="K10" s="221"/>
      <c r="L10" s="633" t="s">
        <v>42</v>
      </c>
      <c r="M10" s="634"/>
      <c r="N10" s="634"/>
      <c r="O10" s="634"/>
      <c r="P10" s="635"/>
      <c r="Q10" s="281" t="str">
        <f>V10</f>
        <v>Medium/High</v>
      </c>
      <c r="R10" s="371"/>
      <c r="S10" s="333"/>
      <c r="T10" s="48"/>
      <c r="U10" s="261">
        <f>R.2bOrgRisk</f>
        <v>4</v>
      </c>
      <c r="V10" s="262" t="str">
        <f>IF(U10=1,"Low",IF(U10=2,"Low/Medium",IF(U10=3,"Medium",IF(U10=4,"Medium/High","High"))))</f>
        <v>Medium/High</v>
      </c>
      <c r="W10" s="24"/>
      <c r="X10" s="24"/>
      <c r="Y10" s="24"/>
      <c r="Z10" s="24"/>
      <c r="AA10" s="24"/>
      <c r="AB10" s="24"/>
      <c r="AC10" s="24"/>
      <c r="AD10" s="24"/>
      <c r="AE10" s="24"/>
      <c r="AF10" s="24"/>
      <c r="AG10" s="24"/>
    </row>
    <row r="11" spans="1:45" s="7" customFormat="1" ht="15.75" customHeight="1">
      <c r="A11" s="28"/>
      <c r="B11" s="333"/>
      <c r="C11" s="212">
        <v>5</v>
      </c>
      <c r="D11" s="605" t="str">
        <f>'5InterestedStaff'!D2</f>
        <v>Interested Staff and EQC</v>
      </c>
      <c r="E11" s="628">
        <f>R.5LowHrs</f>
        <v>1</v>
      </c>
      <c r="F11" s="629"/>
      <c r="G11" s="630"/>
      <c r="H11" s="623">
        <f>R.5HighHrs</f>
        <v>8</v>
      </c>
      <c r="I11" s="624"/>
      <c r="J11" s="625"/>
      <c r="K11" s="221"/>
      <c r="L11" s="633" t="s">
        <v>43</v>
      </c>
      <c r="M11" s="634"/>
      <c r="N11" s="634"/>
      <c r="O11" s="634"/>
      <c r="P11" s="635"/>
      <c r="Q11" s="281" t="str">
        <f>V11</f>
        <v>Medium/High</v>
      </c>
      <c r="R11" s="371"/>
      <c r="S11" s="333"/>
      <c r="T11" s="48"/>
      <c r="U11" s="261">
        <f>R.2cOrgRisk</f>
        <v>4</v>
      </c>
      <c r="V11" s="262" t="str">
        <f>IF(U11=1,"Low",IF(U11=2,"Low/Medium",IF(U11=3,"Medium",IF(U11=4,"Medium/High","High"))))</f>
        <v>Medium/High</v>
      </c>
      <c r="W11" s="24"/>
      <c r="X11" s="24"/>
      <c r="Y11" s="24"/>
      <c r="Z11" s="24"/>
      <c r="AA11" s="24"/>
      <c r="AB11" s="24"/>
      <c r="AC11" s="24"/>
      <c r="AD11" s="24"/>
      <c r="AE11" s="24"/>
      <c r="AF11" s="24"/>
      <c r="AG11" s="24"/>
    </row>
    <row r="12" spans="1:45" s="7" customFormat="1" ht="15.75" customHeight="1">
      <c r="A12" s="28"/>
      <c r="B12" s="333"/>
      <c r="C12" s="212">
        <v>6</v>
      </c>
      <c r="D12" s="605" t="str">
        <f>'6OtherDivisions'!D2</f>
        <v>Divisions</v>
      </c>
      <c r="E12" s="628">
        <f>R.6LowHrs</f>
        <v>0</v>
      </c>
      <c r="F12" s="629"/>
      <c r="G12" s="630"/>
      <c r="H12" s="623">
        <f>R.6HighHrs</f>
        <v>0</v>
      </c>
      <c r="I12" s="624"/>
      <c r="J12" s="625"/>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5" t="str">
        <f>'7Regions'!D2</f>
        <v>Regions</v>
      </c>
      <c r="E13" s="631">
        <f>R.7LowHrs</f>
        <v>8</v>
      </c>
      <c r="F13" s="629"/>
      <c r="G13" s="630"/>
      <c r="H13" s="623">
        <f>R.7HighHrs</f>
        <v>40</v>
      </c>
      <c r="I13" s="624"/>
      <c r="J13" s="625"/>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5" t="str">
        <f>'8FinancialServices'!D2</f>
        <v>Financial Services</v>
      </c>
      <c r="E14" s="631">
        <f>R.8LowHrs</f>
        <v>0</v>
      </c>
      <c r="F14" s="629"/>
      <c r="G14" s="630"/>
      <c r="H14" s="623">
        <f>R.8HighHrs</f>
        <v>0</v>
      </c>
      <c r="I14" s="624"/>
      <c r="J14" s="625"/>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5" t="str">
        <f>'9Communications'!D2</f>
        <v>Communications and Outreach</v>
      </c>
      <c r="E15" s="628">
        <f>R.9LowHrs</f>
        <v>2</v>
      </c>
      <c r="F15" s="629"/>
      <c r="G15" s="630"/>
      <c r="H15" s="623">
        <f>R.9HighHrs</f>
        <v>16</v>
      </c>
      <c r="I15" s="624"/>
      <c r="J15" s="625"/>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5" t="str">
        <f>'10OrgServices'!D2</f>
        <v>Organizational Services</v>
      </c>
      <c r="E16" s="628">
        <f>R.10LowHrs</f>
        <v>0</v>
      </c>
      <c r="F16" s="629"/>
      <c r="G16" s="630"/>
      <c r="H16" s="623">
        <f>R.10HighHrs</f>
        <v>0</v>
      </c>
      <c r="I16" s="624"/>
      <c r="J16" s="625"/>
      <c r="K16" s="221"/>
      <c r="L16" s="636" t="s">
        <v>91</v>
      </c>
      <c r="M16" s="634"/>
      <c r="N16" s="634"/>
      <c r="O16" s="634"/>
      <c r="P16" s="635"/>
      <c r="Q16" s="288">
        <f>U16</f>
        <v>12</v>
      </c>
      <c r="R16" s="283"/>
      <c r="S16" s="333"/>
      <c r="T16" s="24"/>
      <c r="U16" s="582">
        <f>SUM(R.3StaffCount,R.4StaffCount,R.5StaffCount,R.6StaffCount,R.7StaffCount,R.8StaffCount,R.9StaffCount,R.10StaffCount,R.11StaffCount,R.12StaffCount,R.13StaffCount,R.15StaffCount)</f>
        <v>12</v>
      </c>
      <c r="V16" s="24"/>
      <c r="W16" s="24"/>
      <c r="X16" s="24"/>
      <c r="Y16" s="24"/>
      <c r="Z16" s="24"/>
      <c r="AA16" s="24"/>
      <c r="AB16" s="24"/>
      <c r="AC16" s="24"/>
      <c r="AD16" s="24"/>
      <c r="AE16" s="24"/>
      <c r="AF16" s="24"/>
      <c r="AG16" s="24"/>
    </row>
    <row r="17" spans="1:45" s="7" customFormat="1" ht="15.75" customHeight="1">
      <c r="A17" s="28"/>
      <c r="B17" s="333"/>
      <c r="C17" s="212">
        <v>11</v>
      </c>
      <c r="D17" s="605" t="str">
        <f>'11TechServices'!D2</f>
        <v>Technical Services</v>
      </c>
      <c r="E17" s="628">
        <f>R.11LowHrs</f>
        <v>0</v>
      </c>
      <c r="F17" s="629"/>
      <c r="G17" s="630"/>
      <c r="H17" s="623">
        <f>R.11HighHrs</f>
        <v>0</v>
      </c>
      <c r="I17" s="624"/>
      <c r="J17" s="625"/>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5" t="s">
        <v>141</v>
      </c>
      <c r="E18" s="628">
        <f>R.12LowHrs</f>
        <v>0</v>
      </c>
      <c r="F18" s="629"/>
      <c r="G18" s="630"/>
      <c r="H18" s="623">
        <f>R.12HighHrs</f>
        <v>0</v>
      </c>
      <c r="I18" s="624"/>
      <c r="J18" s="625"/>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5" t="str">
        <f>'13LEAD'!D2</f>
        <v>LEAD</v>
      </c>
      <c r="E19" s="628">
        <f>R.13LowHrs</f>
        <v>0</v>
      </c>
      <c r="F19" s="629"/>
      <c r="G19" s="630"/>
      <c r="H19" s="623">
        <f>R.13HighHrs</f>
        <v>0</v>
      </c>
      <c r="I19" s="624"/>
      <c r="J19" s="625"/>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5" t="str">
        <f>'14Intergovernmental'!D2</f>
        <v>Intergovernmental</v>
      </c>
      <c r="E20" s="628">
        <f>R.14LowHrs</f>
        <v>0</v>
      </c>
      <c r="F20" s="629"/>
      <c r="G20" s="630"/>
      <c r="H20" s="623">
        <f>R.14HighHrs</f>
        <v>0</v>
      </c>
      <c r="I20" s="624"/>
      <c r="J20" s="625"/>
      <c r="K20" s="615" t="s">
        <v>0</v>
      </c>
      <c r="L20" s="616"/>
      <c r="M20" s="616"/>
      <c r="N20" s="616"/>
      <c r="O20" s="616"/>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5" t="str">
        <f>'15CustomParticipants'!D2</f>
        <v>Custom Participants</v>
      </c>
      <c r="E21" s="628">
        <f>R.15LowHrs</f>
        <v>0</v>
      </c>
      <c r="F21" s="629"/>
      <c r="G21" s="630"/>
      <c r="H21" s="623">
        <f>R.15HighHrs</f>
        <v>0</v>
      </c>
      <c r="I21" s="624"/>
      <c r="J21" s="625"/>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565</v>
      </c>
      <c r="E22" s="628">
        <f>14*1</f>
        <v>14</v>
      </c>
      <c r="F22" s="629"/>
      <c r="G22" s="630"/>
      <c r="H22" s="623">
        <f>14*4</f>
        <v>56</v>
      </c>
      <c r="I22" s="624"/>
      <c r="J22" s="625"/>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26">
        <f>SUM(E9:E22)</f>
        <v>212</v>
      </c>
      <c r="F23" s="626"/>
      <c r="G23" s="626"/>
      <c r="H23" s="626">
        <f>SUM(H9:H22)</f>
        <v>604</v>
      </c>
      <c r="I23" s="626"/>
      <c r="J23" s="626"/>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17">
        <f>-R.14LowHrs</f>
        <v>0</v>
      </c>
      <c r="F24" s="618"/>
      <c r="G24" s="618"/>
      <c r="H24" s="617">
        <f>-R.14HighHrs</f>
        <v>0</v>
      </c>
      <c r="I24" s="618"/>
      <c r="J24" s="618"/>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19">
        <f>SUM(E23:E24)</f>
        <v>212</v>
      </c>
      <c r="F25" s="619"/>
      <c r="G25" s="619"/>
      <c r="H25" s="620">
        <f>SUM(H23:H24)</f>
        <v>604</v>
      </c>
      <c r="I25" s="620"/>
      <c r="J25" s="620"/>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2" t="s">
        <v>85</v>
      </c>
      <c r="D26" s="632"/>
      <c r="E26" s="627" t="str">
        <f>"X    $"&amp;R.AvgHrDEQCost</f>
        <v>X    $84</v>
      </c>
      <c r="F26" s="627"/>
      <c r="G26" s="627"/>
      <c r="H26" s="627" t="str">
        <f>"X    $"&amp;R.AvgHrDEQCost</f>
        <v>X    $84</v>
      </c>
      <c r="I26" s="627"/>
      <c r="J26" s="627"/>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21">
        <f>E25*R.AvgHrDEQCost</f>
        <v>17808</v>
      </c>
      <c r="F27" s="621"/>
      <c r="G27" s="621"/>
      <c r="H27" s="621">
        <f>H25*R.AvgHrDEQCost</f>
        <v>50736</v>
      </c>
      <c r="I27" s="621"/>
      <c r="J27" s="621"/>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8"/>
      <c r="I38" s="608"/>
      <c r="J38" s="608"/>
      <c r="K38" s="608"/>
      <c r="R38" s="433"/>
      <c r="S38" s="44"/>
      <c r="T38" s="40"/>
      <c r="U38" s="44"/>
      <c r="V38" s="44"/>
      <c r="W38" s="44"/>
      <c r="X38" s="44"/>
      <c r="Y38" s="44"/>
      <c r="Z38" s="44"/>
      <c r="AA38" s="44"/>
    </row>
    <row r="39" spans="3:27">
      <c r="C39" s="42"/>
      <c r="D39" s="433"/>
      <c r="E39" s="433"/>
      <c r="F39" s="433"/>
      <c r="G39" s="433"/>
      <c r="H39" s="608"/>
      <c r="I39" s="608"/>
      <c r="J39" s="608"/>
      <c r="K39" s="608"/>
      <c r="R39" s="433"/>
      <c r="S39" s="44"/>
      <c r="T39" s="40"/>
      <c r="U39" s="44"/>
      <c r="V39" s="44"/>
      <c r="W39" s="44"/>
      <c r="X39" s="44"/>
      <c r="Y39" s="44"/>
      <c r="Z39" s="44"/>
      <c r="AA39" s="44"/>
    </row>
    <row r="40" spans="3:27">
      <c r="C40" s="42"/>
      <c r="D40" s="433"/>
      <c r="E40" s="433"/>
      <c r="F40" s="433"/>
      <c r="G40" s="433"/>
      <c r="H40" s="608"/>
      <c r="I40" s="608"/>
      <c r="J40" s="608"/>
      <c r="K40" s="608"/>
      <c r="R40" s="433"/>
      <c r="S40" s="44"/>
      <c r="T40" s="40"/>
      <c r="U40" s="44"/>
      <c r="V40" s="44"/>
      <c r="W40" s="44"/>
      <c r="X40" s="44"/>
      <c r="Y40" s="44"/>
      <c r="Z40" s="44"/>
      <c r="AA40" s="44"/>
    </row>
    <row r="41" spans="3:27">
      <c r="C41" s="42"/>
      <c r="D41" s="433"/>
      <c r="E41" s="433"/>
      <c r="F41" s="433"/>
      <c r="G41" s="433"/>
      <c r="H41" s="608"/>
      <c r="I41" s="608"/>
      <c r="J41" s="608"/>
      <c r="K41" s="608"/>
      <c r="R41" s="433"/>
      <c r="S41" s="44"/>
      <c r="T41" s="40"/>
      <c r="U41" s="44"/>
      <c r="V41" s="44"/>
      <c r="W41" s="44"/>
      <c r="X41" s="44"/>
      <c r="Y41" s="44"/>
      <c r="Z41" s="44"/>
      <c r="AA41" s="44"/>
    </row>
    <row r="42" spans="3:27">
      <c r="D42" s="433"/>
      <c r="E42" s="433"/>
      <c r="F42" s="433"/>
      <c r="G42" s="433"/>
      <c r="H42" s="608"/>
      <c r="I42" s="608"/>
      <c r="J42" s="608"/>
      <c r="K42" s="608"/>
    </row>
  </sheetData>
  <sheetProtection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 zoomScaleNormal="100" workbookViewId="0">
      <selection activeCell="G12" sqref="G12:R12"/>
    </sheetView>
  </sheetViews>
  <sheetFormatPr defaultColWidth="9" defaultRowHeight="20.399999999999999" outlineLevelRow="1" outlineLevelCol="1"/>
  <cols>
    <col min="1" max="1" width="13.69921875" style="341" customWidth="1"/>
    <col min="2" max="2" width="3.59765625" style="308" customWidth="1"/>
    <col min="3" max="3" width="3.59765625" style="43" customWidth="1"/>
    <col min="4" max="4" width="6.3984375" style="55" customWidth="1"/>
    <col min="5" max="5" width="7.69921875" style="55" customWidth="1"/>
    <col min="6" max="6" width="20.5" style="28" customWidth="1"/>
    <col min="7" max="7" width="14.19921875" style="55" customWidth="1"/>
    <col min="8" max="17" width="1.59765625" style="55" customWidth="1"/>
    <col min="18" max="18" width="19.69921875" style="55" customWidth="1"/>
    <col min="19" max="20" width="3.59765625" style="55" customWidth="1"/>
    <col min="21" max="21" width="5.09765625" style="36" hidden="1" customWidth="1" outlineLevel="1"/>
    <col min="22" max="22" width="27.19921875" style="55" hidden="1" customWidth="1" outlineLevel="1"/>
    <col min="23" max="23" width="14.8984375" style="55" hidden="1" customWidth="1" outlineLevel="1"/>
    <col min="24" max="24" width="14.59765625" style="55" hidden="1" customWidth="1" outlineLevel="1"/>
    <col min="25" max="25" width="30.59765625" style="55" customWidth="1" collapsed="1"/>
    <col min="26" max="26" width="16.5" style="55" customWidth="1"/>
    <col min="27" max="27" width="18" style="55" customWidth="1"/>
    <col min="28" max="36" width="31.097656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74" t="s">
        <v>37</v>
      </c>
      <c r="E2" s="674"/>
      <c r="F2" s="674"/>
      <c r="G2" s="648" t="str">
        <f>R.1MediaAndLongName</f>
        <v xml:space="preserve">AQ  </v>
      </c>
      <c r="H2" s="648"/>
      <c r="I2" s="648"/>
      <c r="J2" s="648"/>
      <c r="K2" s="648"/>
      <c r="L2" s="648"/>
      <c r="M2" s="648"/>
      <c r="N2" s="648"/>
      <c r="O2" s="648"/>
      <c r="P2" s="648"/>
      <c r="Q2" s="648"/>
      <c r="R2" s="648"/>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71" t="s">
        <v>78</v>
      </c>
      <c r="E4" s="671"/>
      <c r="F4" s="671"/>
      <c r="G4" s="679" t="s">
        <v>589</v>
      </c>
      <c r="H4" s="680"/>
      <c r="I4" s="680"/>
      <c r="J4" s="680"/>
      <c r="K4" s="680"/>
      <c r="L4" s="680"/>
      <c r="M4" s="680"/>
      <c r="N4" s="680"/>
      <c r="O4" s="680"/>
      <c r="P4" s="680"/>
      <c r="Q4" s="680"/>
      <c r="R4" s="681"/>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82" t="s">
        <v>147</v>
      </c>
      <c r="E5" s="682"/>
      <c r="F5" s="683"/>
      <c r="G5" s="401" t="s">
        <v>599</v>
      </c>
      <c r="H5" s="664" t="s">
        <v>0</v>
      </c>
      <c r="I5" s="665"/>
      <c r="J5" s="665"/>
      <c r="K5" s="665"/>
      <c r="L5" s="665"/>
      <c r="M5" s="665"/>
      <c r="N5" s="665"/>
      <c r="O5" s="665"/>
      <c r="P5" s="665"/>
      <c r="Q5" s="665"/>
      <c r="R5" s="666"/>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562</v>
      </c>
      <c r="E6" s="393"/>
      <c r="F6" s="393"/>
      <c r="G6" s="402">
        <v>2014</v>
      </c>
      <c r="H6" s="394"/>
      <c r="I6" s="667" t="s">
        <v>148</v>
      </c>
      <c r="J6" s="667"/>
      <c r="K6" s="667"/>
      <c r="L6" s="667"/>
      <c r="M6" s="667"/>
      <c r="N6" s="667"/>
      <c r="O6" s="668"/>
      <c r="P6" s="669" t="s">
        <v>566</v>
      </c>
      <c r="Q6" s="670"/>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564</v>
      </c>
      <c r="E7" s="39"/>
      <c r="F7" s="274"/>
      <c r="G7" s="612" t="s">
        <v>0</v>
      </c>
      <c r="H7" s="650" t="str">
        <f>"Rulemaking: "&amp;$P$6&amp;" "&amp;$H$5</f>
        <v xml:space="preserve">Rulemaking: AQ  </v>
      </c>
      <c r="I7" s="650"/>
      <c r="J7" s="650"/>
      <c r="K7" s="650"/>
      <c r="L7" s="650"/>
      <c r="M7" s="650"/>
      <c r="N7" s="650"/>
      <c r="O7" s="650"/>
      <c r="P7" s="650"/>
      <c r="Q7" s="650"/>
      <c r="R7" s="651"/>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50" t="str">
        <f>P.1PlanYear&amp; " Rules "&amp;$P$6&amp;" "&amp;$G$5</f>
        <v>2014 Rules AQ GHGTemp</v>
      </c>
      <c r="I8" s="650"/>
      <c r="J8" s="650"/>
      <c r="K8" s="650"/>
      <c r="L8" s="650"/>
      <c r="M8" s="650"/>
      <c r="N8" s="650"/>
      <c r="O8" s="650"/>
      <c r="P8" s="650"/>
      <c r="Q8" s="650"/>
      <c r="R8" s="651"/>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50" t="str">
        <f>P.1PlanYear&amp; " Rules "&amp;$P$6&amp;" "&amp;$G$5</f>
        <v>2014 Rules AQ GHGTemp</v>
      </c>
      <c r="I9" s="650"/>
      <c r="J9" s="650"/>
      <c r="K9" s="650"/>
      <c r="L9" s="650"/>
      <c r="M9" s="650"/>
      <c r="N9" s="650"/>
      <c r="O9" s="650"/>
      <c r="P9" s="650"/>
      <c r="Q9" s="650"/>
      <c r="R9" s="651"/>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50" t="str">
        <f>P.1PlanYear&amp; " Rules "&amp;$P$6&amp;" "&amp;$G$5</f>
        <v>2014 Rules AQ GHGTemp</v>
      </c>
      <c r="I10" s="650"/>
      <c r="J10" s="650"/>
      <c r="K10" s="650"/>
      <c r="L10" s="650"/>
      <c r="M10" s="650"/>
      <c r="N10" s="650"/>
      <c r="O10" s="650"/>
      <c r="P10" s="650"/>
      <c r="Q10" s="650"/>
      <c r="R10" s="651"/>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49" t="str">
        <f>G5</f>
        <v>GHGTemp</v>
      </c>
      <c r="H12" s="650"/>
      <c r="I12" s="650"/>
      <c r="J12" s="650"/>
      <c r="K12" s="650"/>
      <c r="L12" s="650"/>
      <c r="M12" s="650"/>
      <c r="N12" s="650"/>
      <c r="O12" s="650"/>
      <c r="P12" s="650"/>
      <c r="Q12" s="650"/>
      <c r="R12" s="651"/>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49" t="str">
        <f>G5&amp;"-"&amp;P.1PlanYear</f>
        <v>GHGTemp-2014</v>
      </c>
      <c r="H13" s="650"/>
      <c r="I13" s="650"/>
      <c r="J13" s="650"/>
      <c r="K13" s="650"/>
      <c r="L13" s="650"/>
      <c r="M13" s="650"/>
      <c r="N13" s="650"/>
      <c r="O13" s="650"/>
      <c r="P13" s="650"/>
      <c r="Q13" s="650"/>
      <c r="R13" s="651"/>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52" t="str">
        <f>"http://deqsps/programs/rulemaking/aq/"&amp;R.1CodeName&amp;"/default.aspx"</f>
        <v>http://deqsps/programs/rulemaking/aq/GHGTemp/default.aspx</v>
      </c>
      <c r="H14" s="653"/>
      <c r="I14" s="653"/>
      <c r="J14" s="653"/>
      <c r="K14" s="653"/>
      <c r="L14" s="653"/>
      <c r="M14" s="653"/>
      <c r="N14" s="653"/>
      <c r="O14" s="653"/>
      <c r="P14" s="653"/>
      <c r="Q14" s="653"/>
      <c r="R14" s="654"/>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55" t="str">
        <f>"\\deqhq1\Rule_Development\Currrent Plan\"&amp;R.1CodeName&amp;"-Jerry Ebersole"</f>
        <v>\\deqhq1\Rule_Development\Currrent Plan\GHGTemp-Jerry Ebersole</v>
      </c>
      <c r="H15" s="656"/>
      <c r="I15" s="656"/>
      <c r="J15" s="656"/>
      <c r="K15" s="656"/>
      <c r="L15" s="656"/>
      <c r="M15" s="656"/>
      <c r="N15" s="656"/>
      <c r="O15" s="656"/>
      <c r="P15" s="656"/>
      <c r="Q15" s="656"/>
      <c r="R15" s="657"/>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58"/>
      <c r="H16" s="659"/>
      <c r="I16" s="659"/>
      <c r="J16" s="659"/>
      <c r="K16" s="659"/>
      <c r="L16" s="659"/>
      <c r="M16" s="659"/>
      <c r="N16" s="659"/>
      <c r="O16" s="659"/>
      <c r="P16" s="659"/>
      <c r="Q16" s="659"/>
      <c r="R16" s="660"/>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61" t="s">
        <v>149</v>
      </c>
      <c r="H17" s="662"/>
      <c r="I17" s="662"/>
      <c r="J17" s="662"/>
      <c r="K17" s="662"/>
      <c r="L17" s="662"/>
      <c r="M17" s="662"/>
      <c r="N17" s="662"/>
      <c r="O17" s="662"/>
      <c r="P17" s="662"/>
      <c r="Q17" s="662"/>
      <c r="R17" s="663"/>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72" t="s">
        <v>563</v>
      </c>
      <c r="I18" s="672"/>
      <c r="J18" s="672"/>
      <c r="K18" s="672"/>
      <c r="L18" s="672"/>
      <c r="M18" s="672"/>
      <c r="N18" s="672"/>
      <c r="O18" s="672"/>
      <c r="P18" s="672"/>
      <c r="Q18" s="672"/>
      <c r="R18" s="673"/>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78" t="s">
        <v>569</v>
      </c>
      <c r="E19" s="678"/>
      <c r="F19" s="678"/>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567</v>
      </c>
      <c r="E20" s="39"/>
      <c r="F20" s="277"/>
      <c r="G20" s="675" t="s">
        <v>590</v>
      </c>
      <c r="H20" s="676"/>
      <c r="I20" s="676"/>
      <c r="J20" s="676"/>
      <c r="K20" s="676"/>
      <c r="L20" s="676"/>
      <c r="M20" s="676"/>
      <c r="N20" s="676"/>
      <c r="O20" s="676"/>
      <c r="P20" s="676"/>
      <c r="Q20" s="676"/>
      <c r="R20" s="677"/>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568</v>
      </c>
      <c r="E21" s="273"/>
      <c r="F21" s="4"/>
      <c r="G21" s="675" t="s">
        <v>590</v>
      </c>
      <c r="H21" s="676"/>
      <c r="I21" s="676"/>
      <c r="J21" s="676"/>
      <c r="K21" s="676"/>
      <c r="L21" s="676"/>
      <c r="M21" s="676"/>
      <c r="N21" s="676"/>
      <c r="O21" s="676"/>
      <c r="P21" s="676"/>
      <c r="Q21" s="676"/>
      <c r="R21" s="677"/>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61"/>
      <c r="H22" s="662"/>
      <c r="I22" s="662"/>
      <c r="J22" s="662"/>
      <c r="K22" s="662"/>
      <c r="L22" s="662"/>
      <c r="M22" s="662"/>
      <c r="N22" s="662"/>
      <c r="O22" s="662"/>
      <c r="P22" s="662"/>
      <c r="Q22" s="662"/>
      <c r="R22" s="663"/>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47" t="str">
        <f>"Please suggest process improvements to the "&amp;D2&amp;" worksheet."</f>
        <v>Please suggest process improvements to the Project record worksheet.</v>
      </c>
      <c r="E23" s="647"/>
      <c r="F23" s="647"/>
      <c r="G23" s="647"/>
      <c r="H23" s="647"/>
      <c r="I23" s="647"/>
      <c r="J23" s="647"/>
      <c r="K23" s="647"/>
      <c r="L23" s="647"/>
      <c r="M23" s="647"/>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44" t="s">
        <v>0</v>
      </c>
      <c r="E24" s="645"/>
      <c r="F24" s="645"/>
      <c r="G24" s="645"/>
      <c r="H24" s="645"/>
      <c r="I24" s="645"/>
      <c r="J24" s="645"/>
      <c r="K24" s="645"/>
      <c r="L24" s="645"/>
      <c r="M24" s="645"/>
      <c r="N24" s="645"/>
      <c r="O24" s="645"/>
      <c r="P24" s="645"/>
      <c r="Q24" s="645"/>
      <c r="R24" s="646"/>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3.8">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formatCells="0" formatRows="0" insertHyperlinks="0"/>
  <mergeCells count="25">
    <mergeCell ref="G21:R21"/>
    <mergeCell ref="G22:R22"/>
    <mergeCell ref="D19:F19"/>
    <mergeCell ref="H10:R10"/>
    <mergeCell ref="G4:R4"/>
    <mergeCell ref="D5:F5"/>
    <mergeCell ref="H8:R8"/>
    <mergeCell ref="H9:R9"/>
    <mergeCell ref="G20:R20"/>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C2" sqref="C2"/>
    </sheetView>
  </sheetViews>
  <sheetFormatPr defaultColWidth="9" defaultRowHeight="20.399999999999999" outlineLevelCol="1"/>
  <cols>
    <col min="1" max="1" width="13.69921875" style="339" customWidth="1"/>
    <col min="2" max="2" width="3.59765625" customWidth="1"/>
    <col min="3" max="3" width="3.59765625" style="43" customWidth="1"/>
    <col min="4" max="4" width="25.59765625" style="103" customWidth="1"/>
    <col min="5" max="5" width="2.59765625" style="103" customWidth="1"/>
    <col min="6" max="6" width="25.59765625" style="103" customWidth="1"/>
    <col min="7" max="7" width="3" style="103" customWidth="1"/>
    <col min="8" max="8" width="25.59765625" style="103" customWidth="1"/>
    <col min="9" max="9" width="3.59765625" style="55" customWidth="1"/>
    <col min="10" max="10" width="3.59765625" style="63" customWidth="1"/>
    <col min="11" max="11" width="5.09765625" style="112" hidden="1" customWidth="1" outlineLevel="1"/>
    <col min="12" max="12" width="13.59765625" style="63" hidden="1" customWidth="1" outlineLevel="1"/>
    <col min="13" max="13" width="14.8984375" style="63" hidden="1" customWidth="1" outlineLevel="1"/>
    <col min="14" max="14" width="14.59765625" style="63" hidden="1" customWidth="1" outlineLevel="1"/>
    <col min="15" max="15" width="30.59765625" style="63" customWidth="1" collapsed="1"/>
    <col min="16" max="16" width="16.5" style="63" customWidth="1"/>
    <col min="17" max="17" width="18" style="63" customWidth="1"/>
    <col min="18" max="26" width="31.097656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94" t="str">
        <f>R.1MediaAndLongName</f>
        <v xml:space="preserve">AQ  </v>
      </c>
      <c r="G2" s="694"/>
      <c r="H2" s="694"/>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87" t="s">
        <v>26</v>
      </c>
      <c r="E6" s="688"/>
      <c r="F6" s="689"/>
      <c r="G6" s="689"/>
      <c r="H6" s="195"/>
      <c r="I6" s="255"/>
      <c r="J6" s="333"/>
      <c r="K6" s="175"/>
      <c r="L6" s="289">
        <v>4</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96"/>
      <c r="E8" s="697"/>
      <c r="F8" s="697"/>
      <c r="G8" s="697"/>
      <c r="H8" s="698"/>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95" t="s">
        <v>26</v>
      </c>
      <c r="E11" s="688"/>
      <c r="F11" s="689"/>
      <c r="G11" s="689"/>
      <c r="H11" s="195"/>
      <c r="I11" s="255"/>
      <c r="J11" s="333"/>
      <c r="K11" s="175"/>
      <c r="L11" s="289">
        <v>4</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96"/>
      <c r="E13" s="697"/>
      <c r="F13" s="697"/>
      <c r="G13" s="697"/>
      <c r="H13" s="698"/>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95" t="s">
        <v>26</v>
      </c>
      <c r="E16" s="688"/>
      <c r="F16" s="689"/>
      <c r="G16" s="689"/>
      <c r="H16" s="195"/>
      <c r="I16" s="255"/>
      <c r="J16" s="333"/>
      <c r="K16" s="175"/>
      <c r="L16" s="289">
        <v>4</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91"/>
      <c r="E18" s="692"/>
      <c r="F18" s="692"/>
      <c r="G18" s="692"/>
      <c r="H18" s="693"/>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90" t="str">
        <f>"Please suggest process improvements to the "&amp;D2&amp;" worksheet."</f>
        <v>Please suggest process improvements to the DEQ resource risks worksheet.</v>
      </c>
      <c r="E19" s="690"/>
      <c r="F19" s="690"/>
      <c r="G19" s="690"/>
      <c r="H19" s="690"/>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84"/>
      <c r="E20" s="685"/>
      <c r="F20" s="685"/>
      <c r="G20" s="685"/>
      <c r="H20" s="686"/>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3.8">
      <c r="A22" s="339"/>
      <c r="B22" s="333"/>
      <c r="C22" s="333"/>
      <c r="D22" s="333"/>
      <c r="E22" s="333"/>
      <c r="F22" s="333"/>
      <c r="G22" s="333"/>
      <c r="H22" s="333"/>
      <c r="I22" s="333"/>
      <c r="J22" s="333"/>
      <c r="K22" s="112"/>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25" zoomScaleNormal="100" workbookViewId="0">
      <selection activeCell="E43" sqref="E43"/>
    </sheetView>
  </sheetViews>
  <sheetFormatPr defaultColWidth="9" defaultRowHeight="20.399999999999999" outlineLevelCol="1"/>
  <cols>
    <col min="1" max="1" width="13.69921875" style="336" customWidth="1"/>
    <col min="2" max="2" width="3.59765625" customWidth="1"/>
    <col min="3" max="3" width="3.59765625" style="43" customWidth="1"/>
    <col min="4" max="4" width="40.5" style="101" customWidth="1"/>
    <col min="5" max="5" width="18.09765625" style="101" customWidth="1"/>
    <col min="6" max="15" width="1.59765625" style="101" customWidth="1"/>
    <col min="16" max="16" width="15.69921875" style="101" customWidth="1"/>
    <col min="17" max="17" width="3.59765625" style="1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3" width="31.097656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13" t="str">
        <f>R.1MediaAndLongName</f>
        <v xml:space="preserve">AQ  </v>
      </c>
      <c r="F2" s="713"/>
      <c r="G2" s="713"/>
      <c r="H2" s="713"/>
      <c r="I2" s="713"/>
      <c r="J2" s="713"/>
      <c r="K2" s="713"/>
      <c r="L2" s="713"/>
      <c r="M2" s="713"/>
      <c r="N2" s="713"/>
      <c r="O2" s="713"/>
      <c r="P2" s="713"/>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14" t="s">
        <v>53</v>
      </c>
      <c r="N3" s="714"/>
      <c r="O3" s="714"/>
      <c r="P3" s="714"/>
      <c r="Q3" s="155"/>
      <c r="R3" s="333"/>
      <c r="S3" s="353">
        <f>COUNTIFS(S13:S49,"&gt;0")</f>
        <v>5</v>
      </c>
      <c r="T3" s="354">
        <f>SUM(T13:T49)</f>
        <v>177</v>
      </c>
      <c r="U3" s="354">
        <f>SUM(U13:U49)</f>
        <v>428</v>
      </c>
      <c r="V3" s="119"/>
      <c r="W3" s="63"/>
      <c r="X3" s="63"/>
      <c r="Y3" s="63"/>
      <c r="Z3" s="63"/>
      <c r="AA3" s="63"/>
      <c r="AB3" s="63"/>
      <c r="AC3" s="63"/>
      <c r="AD3" s="65"/>
      <c r="AE3" s="65"/>
      <c r="AF3" s="65"/>
      <c r="AG3" s="65"/>
    </row>
    <row r="4" spans="1:33" s="6" customFormat="1">
      <c r="A4" s="343"/>
      <c r="B4" s="333"/>
      <c r="C4" s="154"/>
      <c r="D4" s="493" t="s">
        <v>51</v>
      </c>
      <c r="E4" s="80">
        <f>S3</f>
        <v>5</v>
      </c>
      <c r="F4" s="715" t="s">
        <v>50</v>
      </c>
      <c r="G4" s="715"/>
      <c r="H4" s="715"/>
      <c r="I4" s="715"/>
      <c r="J4" s="715"/>
      <c r="K4" s="715"/>
      <c r="L4" s="715"/>
      <c r="M4" s="716" t="str">
        <f>S4</f>
        <v>177-428</v>
      </c>
      <c r="N4" s="716"/>
      <c r="O4" s="716"/>
      <c r="P4" s="716"/>
      <c r="Q4" s="155"/>
      <c r="R4" s="333"/>
      <c r="S4" s="121" t="str">
        <f>IF(R.3StaffCount=0,"0",IF(R.3LowHrs=0,"0-"&amp;TEXT(R.3HighHrs,"#,###"),TEXT(R.3LowHrs,"#,###")&amp;"-"&amp;TEXT(R.3HighHrs,"#,###")))</f>
        <v>177-428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15" t="s">
        <v>54</v>
      </c>
      <c r="G5" s="715"/>
      <c r="H5" s="715"/>
      <c r="I5" s="715"/>
      <c r="J5" s="715"/>
      <c r="K5" s="715"/>
      <c r="L5" s="715"/>
      <c r="M5" s="717" t="str">
        <f>S5</f>
        <v>$14,868-35,952</v>
      </c>
      <c r="N5" s="717"/>
      <c r="O5" s="717"/>
      <c r="P5" s="717"/>
      <c r="Q5" s="155"/>
      <c r="R5" s="333"/>
      <c r="S5" s="122" t="str">
        <f>IF(R.3StaffCount=0,"$0",IF(R.3LowDollars=0,"$0-"&amp;TEXT(R.3HighDollars,"#,###"),TEXT(R.3LowDollars,"$#,###")&amp;"-"&amp;TEXT(R.3HighDollars,"#,###")))</f>
        <v>$14,868-35,952</v>
      </c>
      <c r="T5" s="123">
        <f>T3*E5</f>
        <v>14868</v>
      </c>
      <c r="U5" s="123">
        <f>U3*E5</f>
        <v>35952</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2.6</v>
      </c>
      <c r="T6" s="65"/>
      <c r="U6" s="65"/>
      <c r="V6" s="119"/>
      <c r="W6" s="63"/>
      <c r="X6" s="63"/>
      <c r="Y6" s="63"/>
      <c r="Z6" s="63"/>
      <c r="AA6" s="63"/>
      <c r="AB6" s="63"/>
      <c r="AC6" s="63"/>
      <c r="AD6" s="65"/>
      <c r="AE6" s="65"/>
      <c r="AF6" s="65"/>
      <c r="AG6" s="65"/>
    </row>
    <row r="7" spans="1:33" s="68" customFormat="1" ht="15.75" customHeight="1">
      <c r="A7" s="343"/>
      <c r="B7" s="333"/>
      <c r="C7" s="156"/>
      <c r="D7" s="709"/>
      <c r="E7" s="710"/>
      <c r="F7" s="710"/>
      <c r="G7" s="710"/>
      <c r="H7" s="710"/>
      <c r="I7" s="710"/>
      <c r="J7" s="710"/>
      <c r="K7" s="710"/>
      <c r="L7" s="710"/>
      <c r="M7" s="710"/>
      <c r="N7" s="710"/>
      <c r="O7" s="710"/>
      <c r="P7" s="711"/>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571</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18" t="s">
        <v>578</v>
      </c>
      <c r="E11" s="719"/>
      <c r="F11" s="719"/>
      <c r="G11" s="719"/>
      <c r="H11" s="719"/>
      <c r="I11" s="719"/>
      <c r="J11" s="719"/>
      <c r="K11" s="719"/>
      <c r="L11" s="719"/>
      <c r="M11" s="719"/>
      <c r="N11" s="719"/>
      <c r="O11" s="719"/>
      <c r="P11" s="720"/>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712" t="s">
        <v>15</v>
      </c>
      <c r="G12" s="712"/>
      <c r="H12" s="712"/>
      <c r="I12" s="712"/>
      <c r="J12" s="712"/>
      <c r="K12" s="712"/>
      <c r="L12" s="712"/>
      <c r="M12" s="712"/>
      <c r="N12" s="712"/>
      <c r="O12" s="712"/>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10" t="s">
        <v>591</v>
      </c>
      <c r="E13" s="29" t="s">
        <v>204</v>
      </c>
      <c r="F13" s="70">
        <v>1</v>
      </c>
      <c r="G13" s="71">
        <v>2</v>
      </c>
      <c r="H13" s="72">
        <v>3</v>
      </c>
      <c r="I13" s="73">
        <v>4</v>
      </c>
      <c r="J13" s="74">
        <v>5</v>
      </c>
      <c r="K13" s="75">
        <v>6</v>
      </c>
      <c r="L13" s="76">
        <v>7</v>
      </c>
      <c r="M13" s="77">
        <v>8</v>
      </c>
      <c r="N13" s="78">
        <v>9</v>
      </c>
      <c r="O13" s="79">
        <v>10</v>
      </c>
      <c r="P13" s="52"/>
      <c r="Q13" s="138"/>
      <c r="R13" s="333"/>
      <c r="S13" s="132">
        <f>VLOOKUP($E13,R.VL_DEQResourcesInvolved,2,FALSE)</f>
        <v>4</v>
      </c>
      <c r="T13" s="120">
        <f>VLOOKUP($E13,R.VL_DEQResourcesInvolved,3,FALSE)</f>
        <v>80</v>
      </c>
      <c r="U13" s="120">
        <f>IF(S13=10,T13,VLOOKUP($E13,R.VL_DEQResourcesInvolved,4,FALSE))</f>
        <v>170</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570</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699" t="s">
        <v>577</v>
      </c>
      <c r="E17" s="700"/>
      <c r="F17" s="700"/>
      <c r="G17" s="700"/>
      <c r="H17" s="700"/>
      <c r="I17" s="700"/>
      <c r="J17" s="700"/>
      <c r="K17" s="700"/>
      <c r="L17" s="700"/>
      <c r="M17" s="700"/>
      <c r="N17" s="700"/>
      <c r="O17" s="700"/>
      <c r="P17" s="701"/>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10" t="s">
        <v>592</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576</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699" t="s">
        <v>579</v>
      </c>
      <c r="E23" s="700"/>
      <c r="F23" s="700"/>
      <c r="G23" s="700"/>
      <c r="H23" s="700"/>
      <c r="I23" s="700"/>
      <c r="J23" s="700"/>
      <c r="K23" s="700"/>
      <c r="L23" s="700"/>
      <c r="M23" s="700"/>
      <c r="N23" s="700"/>
      <c r="O23" s="700"/>
      <c r="P23" s="701"/>
      <c r="Q23" s="138"/>
      <c r="R23" s="333"/>
      <c r="S23"/>
      <c r="T23" s="601" t="s">
        <v>575</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10" t="s">
        <v>593</v>
      </c>
      <c r="E25" s="29" t="s">
        <v>201</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572</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699" t="s">
        <v>573</v>
      </c>
      <c r="E29" s="700"/>
      <c r="F29" s="700"/>
      <c r="G29" s="700"/>
      <c r="H29" s="700"/>
      <c r="I29" s="700"/>
      <c r="J29" s="700"/>
      <c r="K29" s="700"/>
      <c r="L29" s="700"/>
      <c r="M29" s="700"/>
      <c r="N29" s="700"/>
      <c r="O29" s="700"/>
      <c r="P29" s="701"/>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10" t="s">
        <v>594</v>
      </c>
      <c r="E31" s="29" t="s">
        <v>204</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604" t="s">
        <v>0</v>
      </c>
      <c r="W31" s="63"/>
      <c r="X31" s="63"/>
      <c r="Y31" s="63"/>
      <c r="Z31" s="63"/>
      <c r="AA31" s="63"/>
      <c r="AB31" s="63"/>
      <c r="AC31" s="63"/>
      <c r="AD31" s="129"/>
      <c r="AE31" s="129"/>
      <c r="AF31" s="129"/>
      <c r="AG31" s="129"/>
    </row>
    <row r="32" spans="1:33" s="27" customFormat="1" ht="14.25" customHeight="1">
      <c r="A32" s="343"/>
      <c r="B32" s="333"/>
      <c r="C32" s="137"/>
      <c r="D32" s="295"/>
      <c r="E32" s="702"/>
      <c r="F32" s="702"/>
      <c r="G32" s="702"/>
      <c r="H32" s="702"/>
      <c r="I32" s="702"/>
      <c r="J32" s="702"/>
      <c r="K32" s="702"/>
      <c r="L32" s="702"/>
      <c r="M32" s="702"/>
      <c r="N32" s="702"/>
      <c r="O32" s="702"/>
      <c r="P32" s="702"/>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574</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99" t="s">
        <v>0</v>
      </c>
      <c r="E35" s="700"/>
      <c r="F35" s="700"/>
      <c r="G35" s="700"/>
      <c r="H35" s="700"/>
      <c r="I35" s="700"/>
      <c r="J35" s="700"/>
      <c r="K35" s="700"/>
      <c r="L35" s="700"/>
      <c r="M35" s="700"/>
      <c r="N35" s="700"/>
      <c r="O35" s="700"/>
      <c r="P35" s="701"/>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199</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03" t="s">
        <v>597</v>
      </c>
      <c r="E41" s="704"/>
      <c r="F41" s="704"/>
      <c r="G41" s="704"/>
      <c r="H41" s="704"/>
      <c r="I41" s="704"/>
      <c r="J41" s="704"/>
      <c r="K41" s="704"/>
      <c r="L41" s="704"/>
      <c r="M41" s="704"/>
      <c r="N41" s="704"/>
      <c r="O41" s="704"/>
      <c r="P41" s="705"/>
      <c r="Q41" s="138"/>
      <c r="R41" s="333"/>
      <c r="S41"/>
      <c r="T41" s="130"/>
      <c r="U41" s="130"/>
      <c r="V41" s="63"/>
      <c r="W41" s="63"/>
      <c r="X41" s="63"/>
      <c r="Y41" s="63"/>
      <c r="Z41" s="63"/>
      <c r="AA41" s="63"/>
      <c r="AB41" s="63"/>
      <c r="AC41" s="63"/>
      <c r="AD41" s="129"/>
      <c r="AE41" s="129"/>
      <c r="AF41" s="129"/>
      <c r="AG41" s="129"/>
    </row>
    <row r="42" spans="1:33" s="32" customFormat="1" ht="13.8">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10" t="s">
        <v>596</v>
      </c>
      <c r="E43" s="29" t="s">
        <v>202</v>
      </c>
      <c r="F43" s="70">
        <v>1</v>
      </c>
      <c r="G43" s="71">
        <v>2</v>
      </c>
      <c r="H43" s="72">
        <v>3</v>
      </c>
      <c r="I43" s="73">
        <v>4</v>
      </c>
      <c r="J43" s="74">
        <v>5</v>
      </c>
      <c r="K43" s="75">
        <v>6</v>
      </c>
      <c r="L43" s="76">
        <v>7</v>
      </c>
      <c r="M43" s="77">
        <v>8</v>
      </c>
      <c r="N43" s="78">
        <v>9</v>
      </c>
      <c r="O43" s="79">
        <v>10</v>
      </c>
      <c r="P43" s="52"/>
      <c r="Q43" s="138"/>
      <c r="R43" s="333"/>
      <c r="S43" s="132">
        <f>VLOOKUP($E43,R.VL_DEQResourcesInvolved,2,FALSE)</f>
        <v>2</v>
      </c>
      <c r="T43" s="120">
        <f>VLOOKUP($E43,R.VL_DEQResourcesInvolved,3,FALSE)</f>
        <v>8</v>
      </c>
      <c r="U43" s="120">
        <f>IF(S43=10,T43,VLOOKUP($E43,R.VL_DEQResourcesInvolved,4,FALSE))</f>
        <v>40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06"/>
      <c r="E47" s="707"/>
      <c r="F47" s="707"/>
      <c r="G47" s="707"/>
      <c r="H47" s="707"/>
      <c r="I47" s="707"/>
      <c r="J47" s="707"/>
      <c r="K47" s="707"/>
      <c r="L47" s="707"/>
      <c r="M47" s="707"/>
      <c r="N47" s="707"/>
      <c r="O47" s="707"/>
      <c r="P47" s="708"/>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199</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47" t="str">
        <f>"Please suggest process improvements to the "&amp;D2&amp;" worksheet."</f>
        <v>Please suggest process improvements to the Core Team worksheet.</v>
      </c>
      <c r="E51" s="647"/>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44"/>
      <c r="E52" s="645"/>
      <c r="F52" s="645"/>
      <c r="G52" s="645"/>
      <c r="H52" s="645"/>
      <c r="I52" s="645"/>
      <c r="J52" s="645"/>
      <c r="K52" s="645"/>
      <c r="L52" s="645"/>
      <c r="M52" s="645"/>
      <c r="N52" s="645"/>
      <c r="O52" s="645"/>
      <c r="P52" s="646"/>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8" zoomScaleNormal="100" workbookViewId="0">
      <selection activeCell="D27" sqref="D27"/>
    </sheetView>
  </sheetViews>
  <sheetFormatPr defaultColWidth="9" defaultRowHeight="20.399999999999999" outlineLevelCol="1"/>
  <cols>
    <col min="1" max="1" width="13.69921875" style="336" customWidth="1"/>
    <col min="2" max="2" width="3.59765625" customWidth="1"/>
    <col min="3" max="3" width="3.59765625" style="43" customWidth="1"/>
    <col min="4" max="4" width="40.5" style="101" customWidth="1"/>
    <col min="5" max="5" width="15.69921875" style="101" customWidth="1"/>
    <col min="6" max="8" width="1.59765625" style="101" customWidth="1"/>
    <col min="9" max="11" width="1.59765625" style="433" customWidth="1"/>
    <col min="12" max="15" width="1.59765625" style="101" customWidth="1"/>
    <col min="16" max="16" width="11.5" style="101" customWidth="1"/>
    <col min="17" max="17" width="3.59765625" style="1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3" width="31.097656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28" t="str">
        <f>R.1MediaAndLongName</f>
        <v xml:space="preserve">AQ  </v>
      </c>
      <c r="F2" s="728"/>
      <c r="G2" s="728"/>
      <c r="H2" s="728"/>
      <c r="I2" s="728"/>
      <c r="J2" s="728"/>
      <c r="K2" s="728"/>
      <c r="L2" s="728"/>
      <c r="M2" s="728"/>
      <c r="N2" s="728"/>
      <c r="O2" s="728"/>
      <c r="P2" s="728"/>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14" t="s">
        <v>53</v>
      </c>
      <c r="N3" s="714"/>
      <c r="O3" s="714"/>
      <c r="P3" s="714"/>
      <c r="Q3" s="155"/>
      <c r="R3" s="333"/>
      <c r="S3" s="353">
        <f>COUNTIFS(S9:S37,"&gt;0")</f>
        <v>3</v>
      </c>
      <c r="T3" s="354">
        <f>SUM(T9:T37)</f>
        <v>10</v>
      </c>
      <c r="U3" s="354">
        <f>SUM(U9:U37)</f>
        <v>56</v>
      </c>
      <c r="V3" s="119"/>
      <c r="W3" s="63"/>
      <c r="X3" s="63"/>
      <c r="Y3" s="63"/>
      <c r="Z3" s="63"/>
      <c r="AA3" s="63"/>
      <c r="AB3" s="63"/>
      <c r="AC3" s="63"/>
      <c r="AD3" s="65"/>
      <c r="AE3" s="65"/>
      <c r="AF3" s="65"/>
      <c r="AG3" s="65"/>
    </row>
    <row r="4" spans="1:33" s="6" customFormat="1" ht="20.25" customHeight="1">
      <c r="A4" s="343"/>
      <c r="B4" s="333"/>
      <c r="C4" s="154"/>
      <c r="D4" s="493" t="s">
        <v>51</v>
      </c>
      <c r="E4" s="80">
        <f>S3</f>
        <v>3</v>
      </c>
      <c r="F4" s="715" t="s">
        <v>50</v>
      </c>
      <c r="G4" s="715"/>
      <c r="H4" s="715"/>
      <c r="I4" s="715"/>
      <c r="J4" s="715"/>
      <c r="K4" s="715"/>
      <c r="L4" s="715"/>
      <c r="M4" s="716" t="str">
        <f>S4</f>
        <v>10-56</v>
      </c>
      <c r="N4" s="716"/>
      <c r="O4" s="716"/>
      <c r="P4" s="716"/>
      <c r="Q4" s="155"/>
      <c r="R4" s="333"/>
      <c r="S4" s="121" t="str">
        <f>IF(R.4StaffCount=0,"0",IF(R.4LowHrs=0,"0-"&amp;TEXT(R.4HighHrs,"#,###"),TEXT(R.4LowHrs,"#,###")&amp;"-"&amp;TEXT(R.4HighHrs,"#,###")))</f>
        <v>10-56</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15" t="s">
        <v>54</v>
      </c>
      <c r="G5" s="715"/>
      <c r="H5" s="715"/>
      <c r="I5" s="715"/>
      <c r="J5" s="715"/>
      <c r="K5" s="715"/>
      <c r="L5" s="715"/>
      <c r="M5" s="717" t="str">
        <f>S5</f>
        <v>$840-4,704</v>
      </c>
      <c r="N5" s="717"/>
      <c r="O5" s="717"/>
      <c r="P5" s="717"/>
      <c r="Q5" s="155"/>
      <c r="R5" s="333"/>
      <c r="S5" s="122" t="str">
        <f>IF(R.4StaffCount=0,"$0",IF(R.4LowDollars=0,"$0-"&amp;TEXT(R.4HighDollars,"#,###"),TEXT(R.4LowDollars,"$#,###")&amp;"-"&amp;TEXT(R.4HighDollars,"#,###")))</f>
        <v>$840-4,704</v>
      </c>
      <c r="T5" s="123">
        <f>T3*E5</f>
        <v>840</v>
      </c>
      <c r="U5" s="123">
        <f>U3*E5</f>
        <v>4704</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709"/>
      <c r="E7" s="710"/>
      <c r="F7" s="710"/>
      <c r="G7" s="710"/>
      <c r="H7" s="710"/>
      <c r="I7" s="710"/>
      <c r="J7" s="710"/>
      <c r="K7" s="710"/>
      <c r="L7" s="710"/>
      <c r="M7" s="710"/>
      <c r="N7" s="710"/>
      <c r="O7" s="710"/>
      <c r="P7" s="711"/>
      <c r="Q7" s="157"/>
      <c r="R7" s="333"/>
      <c r="S7" s="727" t="s">
        <v>0</v>
      </c>
      <c r="T7" s="727"/>
      <c r="U7" s="727"/>
      <c r="V7" s="125"/>
      <c r="W7" s="125" t="s">
        <v>0</v>
      </c>
      <c r="X7" s="125"/>
      <c r="Y7" s="125"/>
      <c r="Z7" s="125"/>
      <c r="AA7" s="125"/>
      <c r="AB7" s="125"/>
      <c r="AC7" s="125"/>
      <c r="AD7" s="124"/>
      <c r="AE7" s="124"/>
      <c r="AF7" s="124"/>
      <c r="AG7" s="124"/>
    </row>
    <row r="8" spans="1:33" s="68" customFormat="1" ht="13.8">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21" t="s">
        <v>63</v>
      </c>
      <c r="E11" s="722"/>
      <c r="F11" s="722"/>
      <c r="G11" s="722"/>
      <c r="H11" s="722"/>
      <c r="I11" s="722"/>
      <c r="J11" s="722"/>
      <c r="K11" s="722"/>
      <c r="L11" s="722"/>
      <c r="M11" s="722"/>
      <c r="N11" s="722"/>
      <c r="O11" s="722"/>
      <c r="P11" s="723"/>
      <c r="Q11" s="427"/>
      <c r="R11" s="333"/>
      <c r="S11" s="131" t="s">
        <v>0</v>
      </c>
      <c r="T11" s="130"/>
      <c r="U11" s="130"/>
      <c r="V11" s="63"/>
      <c r="W11" s="63"/>
      <c r="X11" s="63"/>
      <c r="Y11" s="63"/>
      <c r="Z11" s="63"/>
      <c r="AA11" s="63"/>
      <c r="AB11" s="63"/>
      <c r="AC11" s="63"/>
      <c r="AD11" s="129"/>
      <c r="AE11" s="129"/>
      <c r="AF11" s="129"/>
      <c r="AG11" s="129"/>
    </row>
    <row r="12" spans="1:33" s="32" customFormat="1" ht="13.8">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600</v>
      </c>
      <c r="E13" s="414" t="s">
        <v>201</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1" t="s">
        <v>555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4" t="s">
        <v>0</v>
      </c>
      <c r="E17" s="725"/>
      <c r="F17" s="725"/>
      <c r="G17" s="725"/>
      <c r="H17" s="725"/>
      <c r="I17" s="725"/>
      <c r="J17" s="725"/>
      <c r="K17" s="725"/>
      <c r="L17" s="725"/>
      <c r="M17" s="725"/>
      <c r="N17" s="725"/>
      <c r="O17" s="725"/>
      <c r="P17" s="726"/>
      <c r="Q17" s="427"/>
      <c r="R17" s="333"/>
      <c r="S17" s="131" t="s">
        <v>0</v>
      </c>
      <c r="T17" s="130"/>
      <c r="U17" s="130"/>
      <c r="V17" s="63"/>
      <c r="W17" s="63"/>
      <c r="X17" s="63"/>
      <c r="Y17" s="63"/>
      <c r="Z17" s="63"/>
      <c r="AA17" s="63"/>
      <c r="AB17" s="63"/>
      <c r="AC17" s="63"/>
      <c r="AD17" s="129"/>
      <c r="AE17" s="129"/>
      <c r="AF17" s="129"/>
      <c r="AG17" s="129"/>
    </row>
    <row r="18" spans="1:33" s="32" customFormat="1" ht="13.8">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202</v>
      </c>
      <c r="F19" s="415">
        <v>1</v>
      </c>
      <c r="G19" s="416">
        <v>2</v>
      </c>
      <c r="H19" s="417">
        <v>3</v>
      </c>
      <c r="I19" s="73">
        <v>4</v>
      </c>
      <c r="J19" s="74">
        <v>5</v>
      </c>
      <c r="K19" s="75">
        <v>6</v>
      </c>
      <c r="L19" s="418">
        <v>7</v>
      </c>
      <c r="M19" s="419">
        <v>8</v>
      </c>
      <c r="N19" s="420">
        <v>9</v>
      </c>
      <c r="O19" s="421">
        <v>10</v>
      </c>
      <c r="P19" s="110"/>
      <c r="Q19" s="427"/>
      <c r="R19" s="333"/>
      <c r="S19" s="132">
        <f>VLOOKUP($E19,R.VL_DEQResourcesInvolved,2,FALSE)</f>
        <v>2</v>
      </c>
      <c r="T19" s="120">
        <f>VLOOKUP($E19,R.VL_DEQResourcesInvolved,3,FALSE)</f>
        <v>8</v>
      </c>
      <c r="U19" s="120">
        <f>IF(S19=10,T19,VLOOKUP($E19,R.VL_DEQResourcesInvolved,4,FALSE))</f>
        <v>40</v>
      </c>
      <c r="V19" s="571" t="s">
        <v>555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21" t="s">
        <v>177</v>
      </c>
      <c r="E23" s="722"/>
      <c r="F23" s="722"/>
      <c r="G23" s="722"/>
      <c r="H23" s="722"/>
      <c r="I23" s="722"/>
      <c r="J23" s="722"/>
      <c r="K23" s="722"/>
      <c r="L23" s="722"/>
      <c r="M23" s="722"/>
      <c r="N23" s="722"/>
      <c r="O23" s="722"/>
      <c r="P23" s="723"/>
      <c r="Q23" s="427"/>
      <c r="R23" s="333"/>
      <c r="S23" s="131" t="s">
        <v>0</v>
      </c>
      <c r="T23" s="130"/>
      <c r="U23" s="130"/>
      <c r="V23" s="63"/>
      <c r="W23" s="63"/>
      <c r="X23" s="63"/>
      <c r="Y23" s="63"/>
      <c r="Z23" s="63"/>
      <c r="AA23" s="63"/>
      <c r="AB23" s="63"/>
      <c r="AC23" s="63"/>
      <c r="AD23" s="129"/>
      <c r="AE23" s="129"/>
      <c r="AF23" s="129"/>
      <c r="AG23" s="129"/>
    </row>
    <row r="24" spans="1:33" s="32" customFormat="1" ht="13.8">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580</v>
      </c>
      <c r="E25" s="414" t="s">
        <v>201</v>
      </c>
      <c r="F25" s="415">
        <v>1</v>
      </c>
      <c r="G25" s="416">
        <v>2</v>
      </c>
      <c r="H25" s="417">
        <v>3</v>
      </c>
      <c r="I25" s="73">
        <v>4</v>
      </c>
      <c r="J25" s="74">
        <v>5</v>
      </c>
      <c r="K25" s="75">
        <v>6</v>
      </c>
      <c r="L25" s="418">
        <v>7</v>
      </c>
      <c r="M25" s="419">
        <v>8</v>
      </c>
      <c r="N25" s="420">
        <v>9</v>
      </c>
      <c r="O25" s="421">
        <v>10</v>
      </c>
      <c r="P25" s="110"/>
      <c r="Q25" s="427"/>
      <c r="R25" s="333"/>
      <c r="S25" s="134">
        <f>VLOOKUP($E25,R.VL_DEQResourcesInvolved,2,FALSE)</f>
        <v>1</v>
      </c>
      <c r="T25" s="120">
        <f>VLOOKUP($E25,R.VL_DEQResourcesInvolved,3,FALSE)</f>
        <v>1</v>
      </c>
      <c r="U25" s="120">
        <f>IF(S25=10,T25,VLOOKUP($E25,R.VL_DEQResourcesInvolved,4,FALSE))</f>
        <v>8</v>
      </c>
      <c r="V25" s="571" t="s">
        <v>555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21" t="s">
        <v>0</v>
      </c>
      <c r="E29" s="722"/>
      <c r="F29" s="722"/>
      <c r="G29" s="722"/>
      <c r="H29" s="722"/>
      <c r="I29" s="722"/>
      <c r="J29" s="722"/>
      <c r="K29" s="722"/>
      <c r="L29" s="722"/>
      <c r="M29" s="722"/>
      <c r="N29" s="722"/>
      <c r="O29" s="722"/>
      <c r="P29" s="723"/>
      <c r="Q29" s="427"/>
      <c r="R29" s="333"/>
      <c r="S29" s="131" t="s">
        <v>0</v>
      </c>
      <c r="T29" s="130"/>
      <c r="U29" s="130"/>
      <c r="V29" s="63"/>
      <c r="W29" s="63"/>
      <c r="X29" s="63"/>
      <c r="Y29" s="63"/>
      <c r="Z29" s="63"/>
      <c r="AA29" s="63"/>
      <c r="AB29" s="63"/>
      <c r="AC29" s="63"/>
      <c r="AD29" s="129"/>
      <c r="AE29" s="129"/>
      <c r="AF29" s="129"/>
      <c r="AG29" s="129"/>
    </row>
    <row r="30" spans="1:33" s="32" customFormat="1" ht="13.8">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199</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21" t="s">
        <v>0</v>
      </c>
      <c r="E35" s="722"/>
      <c r="F35" s="722"/>
      <c r="G35" s="722"/>
      <c r="H35" s="722"/>
      <c r="I35" s="722"/>
      <c r="J35" s="722"/>
      <c r="K35" s="722"/>
      <c r="L35" s="722"/>
      <c r="M35" s="722"/>
      <c r="N35" s="722"/>
      <c r="O35" s="722"/>
      <c r="P35" s="723"/>
      <c r="Q35" s="427"/>
      <c r="R35" s="333"/>
      <c r="S35" s="131" t="s">
        <v>0</v>
      </c>
      <c r="T35" s="130"/>
      <c r="U35" s="130"/>
      <c r="V35" s="63"/>
      <c r="W35" s="63"/>
      <c r="X35" s="63"/>
      <c r="Y35" s="63"/>
      <c r="Z35" s="63"/>
      <c r="AA35" s="63"/>
      <c r="AB35" s="63"/>
      <c r="AC35" s="63"/>
      <c r="AD35" s="129"/>
      <c r="AE35" s="129"/>
      <c r="AF35" s="129"/>
      <c r="AG35" s="129"/>
    </row>
    <row r="36" spans="1:33" s="32" customFormat="1" ht="13.8">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199</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47" t="str">
        <f>"Please suggest process improvements to the "&amp;D2&amp;" worksheet."</f>
        <v>Please suggest process improvements to the Advisors worksheet.</v>
      </c>
      <c r="E39" s="647"/>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44"/>
      <c r="E40" s="645"/>
      <c r="F40" s="645"/>
      <c r="G40" s="645"/>
      <c r="H40" s="645"/>
      <c r="I40" s="645"/>
      <c r="J40" s="645"/>
      <c r="K40" s="645"/>
      <c r="L40" s="645"/>
      <c r="M40" s="645"/>
      <c r="N40" s="645"/>
      <c r="O40" s="645"/>
      <c r="P40" s="646"/>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abSelected="1" topLeftCell="A10" zoomScaleNormal="100" workbookViewId="0">
      <selection activeCell="D27" sqref="D27"/>
    </sheetView>
  </sheetViews>
  <sheetFormatPr defaultColWidth="9" defaultRowHeight="20.399999999999999" outlineLevelRow="1" outlineLevelCol="1"/>
  <cols>
    <col min="1" max="1" width="13.5" style="336" customWidth="1"/>
    <col min="2" max="2" width="2.69921875" customWidth="1"/>
    <col min="3" max="3" width="2.59765625" style="43" customWidth="1"/>
    <col min="4" max="4" width="38.09765625" style="101" customWidth="1"/>
    <col min="5" max="5" width="25.59765625" style="101" customWidth="1"/>
    <col min="6" max="15" width="1.59765625" style="101" customWidth="1"/>
    <col min="16" max="16" width="15.69921875" style="101" customWidth="1"/>
    <col min="17" max="17" width="2.69921875" style="101"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6.69921875" style="435" hidden="1" customWidth="1" outlineLevel="1"/>
    <col min="23" max="23" width="6.8984375" style="435" hidden="1" customWidth="1" outlineLevel="1"/>
    <col min="24" max="24" width="30.59765625" style="63" customWidth="1" collapsed="1"/>
    <col min="25" max="25" width="16.5" style="63" customWidth="1"/>
    <col min="26" max="26" width="18" style="63" customWidth="1"/>
    <col min="27" max="35" width="31.097656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210</v>
      </c>
      <c r="E2" s="728" t="str">
        <f>R.1MediaAndLongName</f>
        <v xml:space="preserve">AQ  </v>
      </c>
      <c r="F2" s="728"/>
      <c r="G2" s="728"/>
      <c r="H2" s="728"/>
      <c r="I2" s="728"/>
      <c r="J2" s="728"/>
      <c r="K2" s="728"/>
      <c r="L2" s="728"/>
      <c r="M2" s="728"/>
      <c r="N2" s="728"/>
      <c r="O2" s="728"/>
      <c r="P2" s="728"/>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14" t="s">
        <v>53</v>
      </c>
      <c r="N3" s="714"/>
      <c r="O3" s="714"/>
      <c r="P3" s="714"/>
      <c r="Q3" s="239"/>
      <c r="R3" s="333"/>
      <c r="S3" s="353">
        <f>COUNTIFS(S9:S27,"&gt;0")</f>
        <v>1</v>
      </c>
      <c r="T3" s="354">
        <f>SUM(T9:T27)</f>
        <v>1</v>
      </c>
      <c r="U3" s="354">
        <f>SUM(U9:U27)</f>
        <v>8</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1</v>
      </c>
      <c r="F4" s="715" t="s">
        <v>50</v>
      </c>
      <c r="G4" s="715"/>
      <c r="H4" s="715"/>
      <c r="I4" s="715"/>
      <c r="J4" s="715"/>
      <c r="K4" s="715"/>
      <c r="L4" s="715"/>
      <c r="M4" s="716" t="str">
        <f>S4</f>
        <v>1-8</v>
      </c>
      <c r="N4" s="716"/>
      <c r="O4" s="716"/>
      <c r="P4" s="716"/>
      <c r="Q4" s="239"/>
      <c r="R4" s="333"/>
      <c r="S4" s="121" t="str">
        <f>IF(R.5StaffCount=0,"0",IF(R.5LowHrs=0,"0-"&amp;TEXT(R.5HighHrs,"#,###"),TEXT(R.5LowHrs,"#,###")&amp;"-"&amp;TEXT(R.5HighHrs,"#,###")))</f>
        <v>1-8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15" t="s">
        <v>54</v>
      </c>
      <c r="G5" s="715"/>
      <c r="H5" s="715"/>
      <c r="I5" s="715"/>
      <c r="J5" s="715"/>
      <c r="K5" s="715"/>
      <c r="L5" s="715"/>
      <c r="M5" s="717" t="str">
        <f>S5</f>
        <v>$58-464</v>
      </c>
      <c r="N5" s="717"/>
      <c r="O5" s="717"/>
      <c r="P5" s="717"/>
      <c r="Q5" s="239"/>
      <c r="R5" s="333"/>
      <c r="S5" s="352" t="str">
        <f>IF(R.5StaffCount=0,"$0",IF(R.5LowDollars=0,"$0-"&amp;TEXT(R.5HighDollars,"#,###"),TEXT(R.5LowDollars,"$#,###")&amp;"-"&amp;TEXT(R.5HighDollars,"#,###")))</f>
        <v>$58-464</v>
      </c>
      <c r="T5" s="351">
        <f>T3*E5</f>
        <v>58</v>
      </c>
      <c r="U5" s="351">
        <f>U3*E5</f>
        <v>464</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709"/>
      <c r="E7" s="710"/>
      <c r="F7" s="710"/>
      <c r="G7" s="710"/>
      <c r="H7" s="710"/>
      <c r="I7" s="710"/>
      <c r="J7" s="710"/>
      <c r="K7" s="710"/>
      <c r="L7" s="710"/>
      <c r="M7" s="710"/>
      <c r="N7" s="710"/>
      <c r="O7" s="710"/>
      <c r="P7" s="711"/>
      <c r="Q7" s="157"/>
      <c r="R7" s="333"/>
      <c r="S7" s="727" t="s">
        <v>0</v>
      </c>
      <c r="T7" s="727"/>
      <c r="U7" s="727"/>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9"/>
      <c r="E11" s="730"/>
      <c r="F11" s="730"/>
      <c r="G11" s="730"/>
      <c r="H11" s="730"/>
      <c r="I11" s="730"/>
      <c r="J11" s="730"/>
      <c r="K11" s="730"/>
      <c r="L11" s="730"/>
      <c r="M11" s="730"/>
      <c r="N11" s="730"/>
      <c r="O11" s="730"/>
      <c r="P11" s="731"/>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199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581</v>
      </c>
      <c r="E14" s="29" t="s">
        <v>199</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199</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199</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199</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199</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9"/>
      <c r="E22" s="730"/>
      <c r="F22" s="730"/>
      <c r="G22" s="730"/>
      <c r="H22" s="730"/>
      <c r="I22" s="730"/>
      <c r="J22" s="730"/>
      <c r="K22" s="730"/>
      <c r="L22" s="730"/>
      <c r="M22" s="730"/>
      <c r="N22" s="730"/>
      <c r="O22" s="730"/>
      <c r="P22" s="731"/>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609" t="s">
        <v>595</v>
      </c>
      <c r="E24" s="29" t="s">
        <v>201</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199</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199</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199</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c r="Y28" s="63"/>
      <c r="Z28" s="63"/>
      <c r="AA28" s="63"/>
      <c r="AB28" s="63"/>
      <c r="AC28" s="63"/>
      <c r="AD28" s="63"/>
      <c r="AE28" s="63"/>
      <c r="AF28" s="129"/>
      <c r="AG28" s="129"/>
      <c r="AH28" s="129"/>
      <c r="AI28" s="129"/>
    </row>
    <row r="29" spans="1:35" s="28" customFormat="1" ht="30" customHeight="1">
      <c r="A29" s="343"/>
      <c r="B29" s="333"/>
      <c r="C29" s="145"/>
      <c r="D29" s="647" t="str">
        <f>"Please suggest process improvements to the "&amp;D2&amp;" worksheet."</f>
        <v>Please suggest process improvements to the Interested Staff and EQC worksheet.</v>
      </c>
      <c r="E29" s="647"/>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44"/>
      <c r="E30" s="645"/>
      <c r="F30" s="645"/>
      <c r="G30" s="645"/>
      <c r="H30" s="645"/>
      <c r="I30" s="645"/>
      <c r="J30" s="645"/>
      <c r="K30" s="645"/>
      <c r="L30" s="645"/>
      <c r="M30" s="645"/>
      <c r="N30" s="645"/>
      <c r="O30" s="645"/>
      <c r="P30" s="646"/>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zoomScaleNormal="100" workbookViewId="0">
      <selection activeCell="X66" sqref="X66"/>
    </sheetView>
  </sheetViews>
  <sheetFormatPr defaultColWidth="9" defaultRowHeight="20.399999999999999" outlineLevelRow="1" outlineLevelCol="1"/>
  <cols>
    <col min="1" max="1" width="13.69921875" style="336" customWidth="1"/>
    <col min="2" max="2" width="2.59765625" customWidth="1"/>
    <col min="3" max="3" width="2.59765625" style="43" customWidth="1"/>
    <col min="4" max="4" width="40.5" style="462" customWidth="1"/>
    <col min="5" max="5" width="15.69921875" style="462" customWidth="1"/>
    <col min="6" max="15" width="1.59765625" style="462" customWidth="1"/>
    <col min="16" max="16" width="15.69921875" style="462" customWidth="1"/>
    <col min="17" max="17" width="2.59765625" style="462" customWidth="1"/>
    <col min="18" max="18" width="2.59765625" style="435" customWidth="1"/>
    <col min="19" max="19" width="9" style="112" hidden="1" customWidth="1" outlineLevel="1"/>
    <col min="20" max="20" width="10.69921875" style="435" hidden="1" customWidth="1" outlineLevel="1"/>
    <col min="21" max="21" width="10.8984375" style="435" hidden="1" customWidth="1" outlineLevel="1"/>
    <col min="22" max="22" width="7.19921875" style="435" hidden="1" customWidth="1" outlineLevel="1"/>
    <col min="23" max="23" width="8.3984375" style="435" hidden="1" customWidth="1" outlineLevel="1"/>
    <col min="24" max="24" width="30.59765625" style="435" customWidth="1" collapsed="1"/>
    <col min="25" max="25" width="16.5" style="435" customWidth="1"/>
    <col min="26" max="26" width="18" style="435" customWidth="1"/>
    <col min="27" max="27" width="31.09765625" style="435" customWidth="1"/>
    <col min="28" max="35" width="31.097656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582</v>
      </c>
      <c r="E2" s="742" t="str">
        <f>R.1MediaAndLongName</f>
        <v xml:space="preserve">AQ  </v>
      </c>
      <c r="F2" s="742"/>
      <c r="G2" s="742"/>
      <c r="H2" s="742"/>
      <c r="I2" s="742"/>
      <c r="J2" s="742"/>
      <c r="K2" s="742"/>
      <c r="L2" s="742"/>
      <c r="M2" s="742"/>
      <c r="N2" s="742"/>
      <c r="O2" s="742"/>
      <c r="P2" s="742"/>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43" t="s">
        <v>53</v>
      </c>
      <c r="N3" s="743"/>
      <c r="O3" s="743"/>
      <c r="P3" s="743"/>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15" t="s">
        <v>50</v>
      </c>
      <c r="G4" s="715"/>
      <c r="H4" s="715"/>
      <c r="I4" s="715"/>
      <c r="J4" s="715"/>
      <c r="K4" s="715"/>
      <c r="L4" s="715"/>
      <c r="M4" s="716" t="str">
        <f>S4</f>
        <v>0</v>
      </c>
      <c r="N4" s="716"/>
      <c r="O4" s="716"/>
      <c r="P4" s="716"/>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15" t="s">
        <v>54</v>
      </c>
      <c r="G5" s="715"/>
      <c r="H5" s="715"/>
      <c r="I5" s="715"/>
      <c r="J5" s="715"/>
      <c r="K5" s="715"/>
      <c r="L5" s="715"/>
      <c r="M5" s="717" t="str">
        <f>S5</f>
        <v>$0</v>
      </c>
      <c r="N5" s="717"/>
      <c r="O5" s="717"/>
      <c r="P5" s="717"/>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44" t="s">
        <v>222</v>
      </c>
      <c r="E7" s="745"/>
      <c r="F7" s="745"/>
      <c r="G7" s="745"/>
      <c r="H7" s="745"/>
      <c r="I7" s="745"/>
      <c r="J7" s="745"/>
      <c r="K7" s="745"/>
      <c r="L7" s="745"/>
      <c r="M7" s="745"/>
      <c r="N7" s="745"/>
      <c r="O7" s="745"/>
      <c r="P7" s="746"/>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583</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4"/>
      <c r="E11" s="735"/>
      <c r="F11" s="735"/>
      <c r="G11" s="735"/>
      <c r="H11" s="735"/>
      <c r="I11" s="735"/>
      <c r="J11" s="735"/>
      <c r="K11" s="735"/>
      <c r="L11" s="735"/>
      <c r="M11" s="735"/>
      <c r="N11" s="735"/>
      <c r="O11" s="735"/>
      <c r="P11" s="736"/>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47" t="s">
        <v>15</v>
      </c>
      <c r="G12" s="747"/>
      <c r="H12" s="747"/>
      <c r="I12" s="747"/>
      <c r="J12" s="747"/>
      <c r="K12" s="747"/>
      <c r="L12" s="747"/>
      <c r="M12" s="747"/>
      <c r="N12" s="747"/>
      <c r="O12" s="747"/>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199</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199</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48"/>
      <c r="E18" s="749"/>
      <c r="F18" s="749"/>
      <c r="G18" s="749"/>
      <c r="H18" s="749"/>
      <c r="I18" s="749"/>
      <c r="J18" s="749"/>
      <c r="K18" s="749"/>
      <c r="L18" s="749"/>
      <c r="M18" s="749"/>
      <c r="N18" s="749"/>
      <c r="O18" s="749"/>
      <c r="P18" s="750"/>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199</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33"/>
      <c r="F24" s="733"/>
      <c r="G24" s="733"/>
      <c r="H24" s="733"/>
      <c r="I24" s="733"/>
      <c r="J24" s="733"/>
      <c r="K24" s="733"/>
      <c r="L24" s="733"/>
      <c r="M24" s="733"/>
      <c r="N24" s="733"/>
      <c r="O24" s="733"/>
      <c r="P24" s="733"/>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584</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4"/>
      <c r="E28" s="735"/>
      <c r="F28" s="735"/>
      <c r="G28" s="735"/>
      <c r="H28" s="735"/>
      <c r="I28" s="735"/>
      <c r="J28" s="735"/>
      <c r="K28" s="735"/>
      <c r="L28" s="735"/>
      <c r="M28" s="735"/>
      <c r="N28" s="735"/>
      <c r="O28" s="735"/>
      <c r="P28" s="736"/>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199</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37"/>
      <c r="E35" s="738"/>
      <c r="F35" s="738"/>
      <c r="G35" s="738"/>
      <c r="H35" s="738"/>
      <c r="I35" s="738"/>
      <c r="J35" s="738"/>
      <c r="K35" s="738"/>
      <c r="L35" s="738"/>
      <c r="M35" s="738"/>
      <c r="N35" s="738"/>
      <c r="O35" s="738"/>
      <c r="P35" s="739"/>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33"/>
      <c r="F41" s="733"/>
      <c r="G41" s="733"/>
      <c r="H41" s="733"/>
      <c r="I41" s="733"/>
      <c r="J41" s="733"/>
      <c r="K41" s="733"/>
      <c r="L41" s="733"/>
      <c r="M41" s="733"/>
      <c r="N41" s="733"/>
      <c r="O41" s="733"/>
      <c r="P41" s="733"/>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32"/>
      <c r="F42" s="732"/>
      <c r="G42" s="732"/>
      <c r="H42" s="732"/>
      <c r="I42" s="732"/>
      <c r="J42" s="732"/>
      <c r="K42" s="732"/>
      <c r="L42" s="732"/>
      <c r="M42" s="732"/>
      <c r="N42" s="732"/>
      <c r="O42" s="732"/>
      <c r="P42" s="732"/>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199</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199</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33"/>
      <c r="F46" s="733"/>
      <c r="G46" s="733"/>
      <c r="H46" s="733"/>
      <c r="I46" s="733"/>
      <c r="J46" s="733"/>
      <c r="K46" s="733"/>
      <c r="L46" s="733"/>
      <c r="M46" s="733"/>
      <c r="N46" s="733"/>
      <c r="O46" s="733"/>
      <c r="P46" s="733"/>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585</v>
      </c>
      <c r="E48" s="741" t="s">
        <v>174</v>
      </c>
      <c r="F48" s="741"/>
      <c r="G48" s="741"/>
      <c r="H48" s="741"/>
      <c r="I48" s="741"/>
      <c r="J48" s="741"/>
      <c r="K48" s="741"/>
      <c r="L48" s="741"/>
      <c r="M48" s="741"/>
      <c r="N48" s="741"/>
      <c r="O48" s="741"/>
      <c r="P48" s="741"/>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4" t="s">
        <v>0</v>
      </c>
      <c r="E50" s="735"/>
      <c r="F50" s="735"/>
      <c r="G50" s="735"/>
      <c r="H50" s="735"/>
      <c r="I50" s="735"/>
      <c r="J50" s="735"/>
      <c r="K50" s="735"/>
      <c r="L50" s="735"/>
      <c r="M50" s="735"/>
      <c r="N50" s="735"/>
      <c r="O50" s="735"/>
      <c r="P50" s="736"/>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522</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37"/>
      <c r="E58" s="738"/>
      <c r="F58" s="738"/>
      <c r="G58" s="738"/>
      <c r="H58" s="738"/>
      <c r="I58" s="738"/>
      <c r="J58" s="738"/>
      <c r="K58" s="738"/>
      <c r="L58" s="738"/>
      <c r="M58" s="738"/>
      <c r="N58" s="738"/>
      <c r="O58" s="738"/>
      <c r="P58" s="739"/>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199</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522</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199</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33"/>
      <c r="F64" s="733"/>
      <c r="G64" s="733"/>
      <c r="H64" s="733"/>
      <c r="I64" s="733"/>
      <c r="J64" s="733"/>
      <c r="K64" s="733"/>
      <c r="L64" s="733"/>
      <c r="M64" s="733"/>
      <c r="N64" s="733"/>
      <c r="O64" s="733"/>
      <c r="P64" s="733"/>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40" t="str">
        <f>"Please suggest process improvements to the "&amp;D2&amp;" worksheet."</f>
        <v>Please suggest process improvements to the Divisions worksheet.</v>
      </c>
      <c r="E66" s="740"/>
      <c r="F66" s="740"/>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44"/>
      <c r="E67" s="645"/>
      <c r="F67" s="645"/>
      <c r="G67" s="645"/>
      <c r="H67" s="645"/>
      <c r="I67" s="645"/>
      <c r="J67" s="645"/>
      <c r="K67" s="645"/>
      <c r="L67" s="645"/>
      <c r="M67" s="645"/>
      <c r="N67" s="645"/>
      <c r="O67" s="645"/>
      <c r="P67" s="646"/>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3.8">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02"/>
      <c r="O70" s="702"/>
      <c r="P70" s="702"/>
      <c r="Q70" s="702"/>
      <c r="R70" s="702"/>
      <c r="S70" s="702"/>
      <c r="T70" s="702"/>
      <c r="U70" s="702"/>
      <c r="V70" s="702"/>
      <c r="W70" s="702"/>
      <c r="X70" s="702"/>
      <c r="Y70" s="702"/>
      <c r="Z70" s="702"/>
      <c r="AA70" s="702"/>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 ref="E42:P42"/>
    <mergeCell ref="E46:P46"/>
    <mergeCell ref="D50:P50"/>
    <mergeCell ref="D58:P58"/>
    <mergeCell ref="D66:F66"/>
    <mergeCell ref="E64:P64"/>
    <mergeCell ref="E48:P48"/>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0"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0" customWidth="1"/>
    <col min="13" max="13" width="6.3984375" style="490" customWidth="1"/>
    <col min="14" max="14" width="12" style="490" customWidth="1"/>
    <col min="15" max="55" width="8.09765625" style="443" customWidth="1"/>
  </cols>
  <sheetData>
    <row r="1" spans="1:55" ht="96" customHeight="1">
      <c r="B1" s="751" t="s">
        <v>289</v>
      </c>
      <c r="C1" s="751"/>
      <c r="D1" s="751"/>
      <c r="E1" s="751"/>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223</v>
      </c>
      <c r="B2" s="557" t="s">
        <v>239</v>
      </c>
      <c r="C2" s="557" t="s">
        <v>224</v>
      </c>
      <c r="D2" s="557" t="s">
        <v>225</v>
      </c>
      <c r="E2" s="557" t="s">
        <v>191</v>
      </c>
      <c r="F2" s="557" t="s">
        <v>190</v>
      </c>
      <c r="G2" s="556" t="s">
        <v>195</v>
      </c>
      <c r="H2" s="556" t="s">
        <v>292</v>
      </c>
      <c r="I2" s="558" t="s">
        <v>291</v>
      </c>
      <c r="J2" s="558" t="s">
        <v>290</v>
      </c>
      <c r="K2" s="556" t="s">
        <v>238</v>
      </c>
      <c r="L2" s="556" t="s">
        <v>154</v>
      </c>
      <c r="M2" s="558" t="s">
        <v>250</v>
      </c>
      <c r="N2" s="558" t="s">
        <v>251</v>
      </c>
      <c r="O2" s="535" t="s">
        <v>246</v>
      </c>
      <c r="P2" s="535" t="s">
        <v>247</v>
      </c>
      <c r="Q2" s="538" t="s">
        <v>248</v>
      </c>
      <c r="R2" s="538" t="s">
        <v>249</v>
      </c>
      <c r="S2" s="538" t="s">
        <v>252</v>
      </c>
      <c r="T2" s="538" t="s">
        <v>253</v>
      </c>
      <c r="U2" s="538" t="s">
        <v>254</v>
      </c>
      <c r="V2" s="538" t="s">
        <v>255</v>
      </c>
      <c r="W2" s="538" t="s">
        <v>256</v>
      </c>
      <c r="X2" s="538" t="s">
        <v>257</v>
      </c>
      <c r="Y2" s="538" t="s">
        <v>258</v>
      </c>
      <c r="Z2" s="538" t="s">
        <v>259</v>
      </c>
      <c r="AA2" s="538" t="s">
        <v>260</v>
      </c>
      <c r="AB2" s="538" t="s">
        <v>261</v>
      </c>
      <c r="AC2" s="539" t="s">
        <v>262</v>
      </c>
      <c r="AD2" s="539" t="s">
        <v>263</v>
      </c>
      <c r="AE2" s="539" t="s">
        <v>264</v>
      </c>
      <c r="AF2" s="539" t="s">
        <v>265</v>
      </c>
      <c r="AG2" s="539" t="s">
        <v>266</v>
      </c>
      <c r="AH2" s="539" t="s">
        <v>267</v>
      </c>
      <c r="AI2" s="539" t="s">
        <v>268</v>
      </c>
      <c r="AJ2" s="539" t="s">
        <v>269</v>
      </c>
      <c r="AK2" s="539" t="s">
        <v>270</v>
      </c>
      <c r="AL2" s="539" t="s">
        <v>271</v>
      </c>
      <c r="AM2" s="539" t="s">
        <v>272</v>
      </c>
      <c r="AN2" s="539" t="s">
        <v>273</v>
      </c>
      <c r="AO2" s="536" t="s">
        <v>274</v>
      </c>
      <c r="AP2" s="536" t="s">
        <v>275</v>
      </c>
      <c r="AQ2" s="536" t="s">
        <v>276</v>
      </c>
      <c r="AR2" s="536" t="s">
        <v>277</v>
      </c>
      <c r="AS2" s="536" t="s">
        <v>278</v>
      </c>
      <c r="AT2" s="536" t="s">
        <v>279</v>
      </c>
      <c r="AU2" s="536" t="s">
        <v>280</v>
      </c>
      <c r="AV2" s="536" t="s">
        <v>281</v>
      </c>
      <c r="AW2" s="536" t="s">
        <v>282</v>
      </c>
      <c r="AX2" s="536" t="s">
        <v>283</v>
      </c>
      <c r="AY2" s="536" t="s">
        <v>284</v>
      </c>
      <c r="AZ2" s="536" t="s">
        <v>285</v>
      </c>
      <c r="BA2" s="537" t="s">
        <v>286</v>
      </c>
      <c r="BB2" s="537" t="s">
        <v>287</v>
      </c>
      <c r="BC2" s="537" t="s">
        <v>288</v>
      </c>
    </row>
    <row r="3" spans="1:55">
      <c r="A3" s="530" t="str">
        <f t="shared" ref="A3:A34" si="0">R.1Division</f>
        <v>AQ</v>
      </c>
      <c r="B3" s="49" t="str">
        <f t="shared" ref="B3:B34" si="1">R.1CodeName</f>
        <v>GHGTemp</v>
      </c>
      <c r="C3" s="49" t="s">
        <v>226</v>
      </c>
      <c r="D3" s="531" t="s">
        <v>183</v>
      </c>
      <c r="E3" s="49" t="s">
        <v>49</v>
      </c>
      <c r="F3" s="532" t="str">
        <f>R.3SEname</f>
        <v>Jerry Ebersole</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198</v>
      </c>
      <c r="N3" s="546" t="s">
        <v>198</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GHGTemp</v>
      </c>
      <c r="C4" s="49" t="s">
        <v>226</v>
      </c>
      <c r="D4" s="531" t="s">
        <v>108</v>
      </c>
      <c r="E4" s="49" t="s">
        <v>49</v>
      </c>
      <c r="F4" s="532" t="str">
        <f>R.3LMname</f>
        <v>Leah Feldon</v>
      </c>
      <c r="G4" s="542">
        <f>R.3LMHrs</f>
        <v>2</v>
      </c>
      <c r="H4" s="543">
        <f>Table3[[#This Row],[Hrs Rank]]</f>
        <v>2</v>
      </c>
      <c r="I4" s="533">
        <f t="shared" si="2"/>
        <v>8</v>
      </c>
      <c r="J4" s="533">
        <f t="shared" si="3"/>
        <v>40</v>
      </c>
      <c r="K4" s="545"/>
      <c r="L4" s="545"/>
      <c r="M4" s="546" t="s">
        <v>198</v>
      </c>
      <c r="N4" s="546" t="s">
        <v>198</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GHGTemp</v>
      </c>
      <c r="C5" s="49" t="s">
        <v>226</v>
      </c>
      <c r="D5" s="531" t="s">
        <v>109</v>
      </c>
      <c r="E5" s="49" t="s">
        <v>49</v>
      </c>
      <c r="F5" s="532" t="str">
        <f>R.3LAname</f>
        <v>Lydia Emer</v>
      </c>
      <c r="G5" s="542">
        <f>R.3LAHrs</f>
        <v>1</v>
      </c>
      <c r="H5" s="543">
        <f>Table3[[#This Row],[Hrs Rank]]</f>
        <v>1</v>
      </c>
      <c r="I5" s="533">
        <f t="shared" si="2"/>
        <v>1</v>
      </c>
      <c r="J5" s="533">
        <f t="shared" si="3"/>
        <v>8</v>
      </c>
      <c r="K5" s="545"/>
      <c r="L5" s="545"/>
      <c r="M5" s="546" t="s">
        <v>198</v>
      </c>
      <c r="N5" s="546" t="s">
        <v>198</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GHGTemp</v>
      </c>
      <c r="C6" s="49" t="s">
        <v>226</v>
      </c>
      <c r="D6" s="531" t="s">
        <v>185</v>
      </c>
      <c r="E6" s="49" t="s">
        <v>49</v>
      </c>
      <c r="F6" s="532" t="str">
        <f>R.3PEname</f>
        <v>To be determined</v>
      </c>
      <c r="G6" s="542">
        <f>R.3PEHrs</f>
        <v>4</v>
      </c>
      <c r="H6" s="543">
        <f>Table3[[#This Row],[Hrs Rank]]</f>
        <v>4</v>
      </c>
      <c r="I6" s="533">
        <f t="shared" si="2"/>
        <v>80</v>
      </c>
      <c r="J6" s="533">
        <f t="shared" si="3"/>
        <v>170</v>
      </c>
      <c r="K6" s="545"/>
      <c r="L6" s="545"/>
      <c r="M6" s="546" t="s">
        <v>198</v>
      </c>
      <c r="N6" s="546" t="s">
        <v>198</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GHGTemp</v>
      </c>
      <c r="C7" s="49" t="s">
        <v>226</v>
      </c>
      <c r="D7" s="531" t="s">
        <v>110</v>
      </c>
      <c r="E7" s="49" t="s">
        <v>49</v>
      </c>
      <c r="F7" s="532">
        <f>R.3PAname</f>
        <v>0</v>
      </c>
      <c r="G7" s="542">
        <f>R.3PAHrs</f>
        <v>0</v>
      </c>
      <c r="H7" s="543">
        <f>Table3[[#This Row],[Hrs Rank]]</f>
        <v>0</v>
      </c>
      <c r="I7" s="533">
        <f t="shared" si="2"/>
        <v>0</v>
      </c>
      <c r="J7" s="533">
        <f t="shared" si="3"/>
        <v>0</v>
      </c>
      <c r="K7" s="545"/>
      <c r="L7" s="545"/>
      <c r="M7" s="546" t="s">
        <v>198</v>
      </c>
      <c r="N7" s="546" t="s">
        <v>198</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GHGTemp</v>
      </c>
      <c r="C8" s="49" t="s">
        <v>226</v>
      </c>
      <c r="D8" s="531" t="str">
        <f>R.3CustomRole1</f>
        <v>Custom Role 1</v>
      </c>
      <c r="E8" s="49" t="s">
        <v>49</v>
      </c>
      <c r="F8" s="532" t="str">
        <f>R.3CustomName1</f>
        <v>Jill Inahara</v>
      </c>
      <c r="G8" s="542">
        <f>R.3CustomHrs1</f>
        <v>2</v>
      </c>
      <c r="H8" s="543">
        <f>Table3[[#This Row],[Hrs Rank]]</f>
        <v>2</v>
      </c>
      <c r="I8" s="533">
        <f t="shared" si="2"/>
        <v>8</v>
      </c>
      <c r="J8" s="533">
        <f t="shared" si="3"/>
        <v>40</v>
      </c>
      <c r="K8" s="545"/>
      <c r="L8" s="545"/>
      <c r="M8" s="546" t="s">
        <v>198</v>
      </c>
      <c r="N8" s="546" t="s">
        <v>198</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GHGTemp</v>
      </c>
      <c r="C9" s="49" t="s">
        <v>226</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198</v>
      </c>
      <c r="N9" s="546" t="s">
        <v>198</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GHGTemp</v>
      </c>
      <c r="C10" s="49" t="s">
        <v>184</v>
      </c>
      <c r="D10" s="531" t="s">
        <v>188</v>
      </c>
      <c r="E10" s="49" t="s">
        <v>49</v>
      </c>
      <c r="F10" s="532" t="str">
        <f>R.4AGName</f>
        <v>Paul Garrahan</v>
      </c>
      <c r="G10" s="542">
        <f>R.4AGHrs</f>
        <v>1</v>
      </c>
      <c r="H10" s="543">
        <f>Table3[[#This Row],[Hrs Rank]]</f>
        <v>1</v>
      </c>
      <c r="I10" s="533">
        <f t="shared" si="2"/>
        <v>1</v>
      </c>
      <c r="J10" s="533">
        <f t="shared" si="3"/>
        <v>8</v>
      </c>
      <c r="K10" s="545"/>
      <c r="L10" s="545"/>
      <c r="M10" s="546" t="s">
        <v>198</v>
      </c>
      <c r="N10" s="546" t="s">
        <v>198</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GHGTemp</v>
      </c>
      <c r="C11" s="49" t="s">
        <v>184</v>
      </c>
      <c r="D11" s="531" t="s">
        <v>111</v>
      </c>
      <c r="E11" s="49" t="s">
        <v>49</v>
      </c>
      <c r="F11" s="532" t="str">
        <f>R.4ARCName</f>
        <v>Maggie Vandehey</v>
      </c>
      <c r="G11" s="542">
        <f>R.4ARCHrs</f>
        <v>2</v>
      </c>
      <c r="H11" s="543">
        <f>Table3[[#This Row],[Hrs Rank]]</f>
        <v>2</v>
      </c>
      <c r="I11" s="533">
        <f t="shared" si="2"/>
        <v>8</v>
      </c>
      <c r="J11" s="533">
        <f t="shared" si="3"/>
        <v>40</v>
      </c>
      <c r="K11" s="545"/>
      <c r="L11" s="545"/>
      <c r="M11" s="546" t="s">
        <v>198</v>
      </c>
      <c r="N11" s="546" t="s">
        <v>198</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GHGTemp</v>
      </c>
      <c r="C12" s="49" t="s">
        <v>184</v>
      </c>
      <c r="D12" s="531" t="s">
        <v>155</v>
      </c>
      <c r="E12" s="49" t="s">
        <v>49</v>
      </c>
      <c r="F12" s="532" t="str">
        <f>R.4SIPCoName</f>
        <v>Andrea Gartenbaum</v>
      </c>
      <c r="G12" s="542">
        <f>R.4ASIPCoHrs</f>
        <v>1</v>
      </c>
      <c r="H12" s="543">
        <f>Table3[[#This Row],[Hrs Rank]]</f>
        <v>1</v>
      </c>
      <c r="I12" s="533">
        <f t="shared" si="2"/>
        <v>1</v>
      </c>
      <c r="J12" s="533">
        <f t="shared" si="3"/>
        <v>8</v>
      </c>
      <c r="K12" s="545"/>
      <c r="L12" s="545"/>
      <c r="M12" s="546" t="s">
        <v>198</v>
      </c>
      <c r="N12" s="546" t="s">
        <v>198</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GHGTemp</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198</v>
      </c>
      <c r="N13" s="546" t="s">
        <v>198</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GHGTemp</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198</v>
      </c>
      <c r="N14" s="546" t="s">
        <v>198</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GHGTemp</v>
      </c>
      <c r="C15" s="49" t="s">
        <v>227</v>
      </c>
      <c r="D15" s="531" t="s">
        <v>163</v>
      </c>
      <c r="E15" s="49" t="s">
        <v>49</v>
      </c>
      <c r="F15" s="532" t="str">
        <f>R.5EQCName1</f>
        <v>EQC - all members</v>
      </c>
      <c r="G15" s="542">
        <f>R.5EQCHrs1</f>
        <v>0</v>
      </c>
      <c r="H15" s="543">
        <f>Table3[[#This Row],[Hrs Rank]]</f>
        <v>0</v>
      </c>
      <c r="I15" s="533">
        <f t="shared" si="2"/>
        <v>0</v>
      </c>
      <c r="J15" s="533">
        <f t="shared" si="3"/>
        <v>0</v>
      </c>
      <c r="K15" s="545"/>
      <c r="L15" s="545"/>
      <c r="M15" s="546" t="s">
        <v>198</v>
      </c>
      <c r="N15" s="546" t="s">
        <v>198</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GHGTemp</v>
      </c>
      <c r="C16" s="49" t="s">
        <v>227</v>
      </c>
      <c r="D16" s="531" t="s">
        <v>165</v>
      </c>
      <c r="E16" s="49" t="s">
        <v>49</v>
      </c>
      <c r="F16" s="532" t="str">
        <f>R.5EQCName2</f>
        <v>Melinda Eden</v>
      </c>
      <c r="G16" s="542">
        <f>R.5EQCHrs2</f>
        <v>0</v>
      </c>
      <c r="H16" s="543">
        <f>Table3[[#This Row],[Hrs Rank]]</f>
        <v>0</v>
      </c>
      <c r="I16" s="533">
        <f t="shared" si="2"/>
        <v>0</v>
      </c>
      <c r="J16" s="533">
        <f t="shared" si="3"/>
        <v>0</v>
      </c>
      <c r="K16" s="545"/>
      <c r="L16" s="545"/>
      <c r="M16" s="546" t="s">
        <v>198</v>
      </c>
      <c r="N16" s="546" t="s">
        <v>198</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GHGTemp</v>
      </c>
      <c r="C17" s="49" t="s">
        <v>227</v>
      </c>
      <c r="D17" s="531" t="s">
        <v>166</v>
      </c>
      <c r="E17" s="49" t="s">
        <v>49</v>
      </c>
      <c r="F17" s="532" t="str">
        <f>R.5EQCName3</f>
        <v>Jane O'Keeffee</v>
      </c>
      <c r="G17" s="542">
        <f>R.5EQCHrs3</f>
        <v>0</v>
      </c>
      <c r="H17" s="543">
        <f>Table3[[#This Row],[Hrs Rank]]</f>
        <v>0</v>
      </c>
      <c r="I17" s="533">
        <f t="shared" si="2"/>
        <v>0</v>
      </c>
      <c r="J17" s="533">
        <f t="shared" si="3"/>
        <v>0</v>
      </c>
      <c r="K17" s="545"/>
      <c r="L17" s="545"/>
      <c r="M17" s="546" t="s">
        <v>198</v>
      </c>
      <c r="N17" s="546" t="s">
        <v>198</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GHGTemp</v>
      </c>
      <c r="C18" s="49" t="s">
        <v>227</v>
      </c>
      <c r="D18" s="531" t="s">
        <v>172</v>
      </c>
      <c r="E18" s="49" t="s">
        <v>49</v>
      </c>
      <c r="F18" s="532" t="str">
        <f>R.5EQCName4</f>
        <v>Ed Armstrong</v>
      </c>
      <c r="G18" s="542">
        <f>R.5EQCHrs4</f>
        <v>0</v>
      </c>
      <c r="H18" s="543">
        <f>Table3[[#This Row],[Hrs Rank]]</f>
        <v>0</v>
      </c>
      <c r="I18" s="533">
        <f t="shared" si="2"/>
        <v>0</v>
      </c>
      <c r="J18" s="533">
        <f t="shared" si="3"/>
        <v>0</v>
      </c>
      <c r="K18" s="545"/>
      <c r="L18" s="545"/>
      <c r="M18" s="546" t="s">
        <v>198</v>
      </c>
      <c r="N18" s="546" t="s">
        <v>198</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GHGTemp</v>
      </c>
      <c r="C19" s="49" t="s">
        <v>227</v>
      </c>
      <c r="D19" s="531" t="s">
        <v>172</v>
      </c>
      <c r="E19" s="49" t="s">
        <v>49</v>
      </c>
      <c r="F19" s="532" t="str">
        <f>R.5EQCName5</f>
        <v>Morgan Rider</v>
      </c>
      <c r="G19" s="542">
        <f>R.5EQCHrs5</f>
        <v>0</v>
      </c>
      <c r="H19" s="543">
        <f>Table3[[#This Row],[Hrs Rank]]</f>
        <v>0</v>
      </c>
      <c r="I19" s="533">
        <f t="shared" si="2"/>
        <v>0</v>
      </c>
      <c r="J19" s="533">
        <f t="shared" si="3"/>
        <v>0</v>
      </c>
      <c r="K19" s="545"/>
      <c r="L19" s="545"/>
      <c r="M19" s="546" t="s">
        <v>198</v>
      </c>
      <c r="N19" s="546" t="s">
        <v>198</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GHGTemp</v>
      </c>
      <c r="C20" s="49" t="s">
        <v>227</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198</v>
      </c>
      <c r="N20" s="546" t="s">
        <v>198</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GHGTemp</v>
      </c>
      <c r="C21" s="49" t="s">
        <v>227</v>
      </c>
      <c r="D21" s="534" t="s">
        <v>240</v>
      </c>
      <c r="E21" s="49" t="s">
        <v>49</v>
      </c>
      <c r="F21" s="534" t="str">
        <f>R.5InterestedStaffNameA</f>
        <v>Stephanie Caldera</v>
      </c>
      <c r="G21" s="542">
        <f>R.5InterestedStaffHrsA</f>
        <v>1</v>
      </c>
      <c r="H21" s="543">
        <f>Table3[[#This Row],[Hrs Rank]]</f>
        <v>1</v>
      </c>
      <c r="I21" s="533">
        <f t="shared" si="2"/>
        <v>1</v>
      </c>
      <c r="J21" s="533">
        <f t="shared" si="3"/>
        <v>8</v>
      </c>
      <c r="K21" s="545"/>
      <c r="L21" s="545"/>
      <c r="M21" s="546" t="s">
        <v>198</v>
      </c>
      <c r="N21" s="546" t="s">
        <v>198</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GHGTemp</v>
      </c>
      <c r="C22" s="49" t="s">
        <v>227</v>
      </c>
      <c r="D22" s="534" t="s">
        <v>240</v>
      </c>
      <c r="E22" s="49" t="s">
        <v>49</v>
      </c>
      <c r="F22" s="534">
        <f>R.5InterestedStaffNameB</f>
        <v>0</v>
      </c>
      <c r="G22" s="542">
        <f>R.5InterestedStaffHrsB</f>
        <v>0</v>
      </c>
      <c r="H22" s="543">
        <f>Table3[[#This Row],[Hrs Rank]]</f>
        <v>0</v>
      </c>
      <c r="I22" s="533">
        <f t="shared" si="2"/>
        <v>0</v>
      </c>
      <c r="J22" s="533">
        <f t="shared" si="3"/>
        <v>0</v>
      </c>
      <c r="K22" s="545"/>
      <c r="L22" s="545"/>
      <c r="M22" s="546" t="s">
        <v>198</v>
      </c>
      <c r="N22" s="546" t="s">
        <v>198</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GHGTemp</v>
      </c>
      <c r="C23" s="49" t="s">
        <v>227</v>
      </c>
      <c r="D23" s="534" t="s">
        <v>240</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198</v>
      </c>
      <c r="N23" s="546" t="s">
        <v>198</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GHGTemp</v>
      </c>
      <c r="C24" s="49" t="s">
        <v>227</v>
      </c>
      <c r="D24" s="534" t="s">
        <v>240</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198</v>
      </c>
      <c r="N24" s="546" t="s">
        <v>198</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GHGTemp</v>
      </c>
      <c r="C25" s="49" t="s">
        <v>228</v>
      </c>
      <c r="D25" s="531" t="s">
        <v>114</v>
      </c>
      <c r="E25" s="49" t="s">
        <v>49</v>
      </c>
      <c r="F25" s="532">
        <f>R.6LQDevName1</f>
        <v>0</v>
      </c>
      <c r="G25" s="542">
        <f>R.6LQDevHrs1</f>
        <v>0</v>
      </c>
      <c r="H25" s="543">
        <f>Table3[[#This Row],[Hrs Rank]]</f>
        <v>0</v>
      </c>
      <c r="I25" s="533">
        <f t="shared" si="2"/>
        <v>0</v>
      </c>
      <c r="J25" s="533">
        <f t="shared" si="3"/>
        <v>0</v>
      </c>
      <c r="K25" s="545"/>
      <c r="L25" s="545"/>
      <c r="M25" s="546" t="s">
        <v>198</v>
      </c>
      <c r="N25" s="546" t="s">
        <v>198</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GHGTemp</v>
      </c>
      <c r="C26" s="49" t="s">
        <v>228</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198</v>
      </c>
      <c r="N26" s="546" t="s">
        <v>198</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GHGTemp</v>
      </c>
      <c r="C27" s="49" t="s">
        <v>228</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198</v>
      </c>
      <c r="N27" s="546" t="s">
        <v>198</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GHGTemp</v>
      </c>
      <c r="C28" s="49" t="s">
        <v>228</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198</v>
      </c>
      <c r="N28" s="546" t="s">
        <v>198</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GHGTemp</v>
      </c>
      <c r="C29" s="49" t="s">
        <v>228</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198</v>
      </c>
      <c r="N29" s="546" t="s">
        <v>198</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GHGTemp</v>
      </c>
      <c r="C30" s="49" t="s">
        <v>228</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198</v>
      </c>
      <c r="N30" s="546" t="s">
        <v>198</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GHGTemp</v>
      </c>
      <c r="C31" s="49" t="s">
        <v>228</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198</v>
      </c>
      <c r="N31" s="546" t="s">
        <v>198</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GHGTemp</v>
      </c>
      <c r="C32" s="49" t="s">
        <v>228</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198</v>
      </c>
      <c r="N32" s="546" t="s">
        <v>198</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GHGTemp</v>
      </c>
      <c r="C33" s="49" t="s">
        <v>228</v>
      </c>
      <c r="D33" s="531" t="s">
        <v>115</v>
      </c>
      <c r="E33" s="49" t="s">
        <v>49</v>
      </c>
      <c r="F33" s="534">
        <f>R.6WQDevName1</f>
        <v>0</v>
      </c>
      <c r="G33" s="542">
        <f>R.6WQDevHrs1</f>
        <v>0</v>
      </c>
      <c r="H33" s="543">
        <f>Table3[[#This Row],[Hrs Rank]]</f>
        <v>0</v>
      </c>
      <c r="I33" s="533">
        <f t="shared" si="2"/>
        <v>0</v>
      </c>
      <c r="J33" s="533">
        <f t="shared" si="3"/>
        <v>0</v>
      </c>
      <c r="K33" s="545"/>
      <c r="L33" s="545"/>
      <c r="M33" s="546" t="s">
        <v>198</v>
      </c>
      <c r="N33" s="546" t="s">
        <v>198</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GHGTemp</v>
      </c>
      <c r="C34" s="49" t="s">
        <v>228</v>
      </c>
      <c r="D34" s="531" t="s">
        <v>115</v>
      </c>
      <c r="E34" s="49" t="s">
        <v>49</v>
      </c>
      <c r="F34" s="534">
        <f>R.6WQDevName2</f>
        <v>0</v>
      </c>
      <c r="G34" s="542">
        <f>R.6WQDevHrs2</f>
        <v>0</v>
      </c>
      <c r="H34" s="543">
        <f>Table3[[#This Row],[Hrs Rank]]</f>
        <v>0</v>
      </c>
      <c r="I34" s="533">
        <f t="shared" si="2"/>
        <v>0</v>
      </c>
      <c r="J34" s="533">
        <f t="shared" si="3"/>
        <v>0</v>
      </c>
      <c r="K34" s="545"/>
      <c r="L34" s="545"/>
      <c r="M34" s="546" t="s">
        <v>198</v>
      </c>
      <c r="N34" s="546" t="s">
        <v>198</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GHGTemp</v>
      </c>
      <c r="C35" s="49" t="s">
        <v>228</v>
      </c>
      <c r="D35" s="531" t="s">
        <v>115</v>
      </c>
      <c r="E35" s="49" t="s">
        <v>49</v>
      </c>
      <c r="F35" s="534">
        <f>R.6WQDevName3</f>
        <v>0</v>
      </c>
      <c r="G35" s="542">
        <f>R.6WQDevHrs3</f>
        <v>0</v>
      </c>
      <c r="H35" s="543">
        <f>Table3[[#This Row],[Hrs Rank]]</f>
        <v>0</v>
      </c>
      <c r="I35" s="533">
        <f t="shared" si="2"/>
        <v>0</v>
      </c>
      <c r="J35" s="533">
        <f t="shared" si="3"/>
        <v>0</v>
      </c>
      <c r="K35" s="545"/>
      <c r="L35" s="545"/>
      <c r="M35" s="546" t="s">
        <v>198</v>
      </c>
      <c r="N35" s="546" t="s">
        <v>198</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GHGTemp</v>
      </c>
      <c r="C36" s="49" t="s">
        <v>228</v>
      </c>
      <c r="D36" s="531" t="s">
        <v>115</v>
      </c>
      <c r="E36" s="49" t="s">
        <v>49</v>
      </c>
      <c r="F36" s="534">
        <f>R.6WQDevName4</f>
        <v>0</v>
      </c>
      <c r="G36" s="542">
        <f>R.6WQDevHrs4</f>
        <v>0</v>
      </c>
      <c r="H36" s="543">
        <f>Table3[[#This Row],[Hrs Rank]]</f>
        <v>0</v>
      </c>
      <c r="I36" s="533">
        <f t="shared" si="2"/>
        <v>0</v>
      </c>
      <c r="J36" s="533">
        <f t="shared" si="3"/>
        <v>0</v>
      </c>
      <c r="K36" s="545"/>
      <c r="L36" s="545"/>
      <c r="M36" s="546" t="s">
        <v>198</v>
      </c>
      <c r="N36" s="546" t="s">
        <v>198</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GHGTemp</v>
      </c>
      <c r="C37" s="49" t="s">
        <v>228</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198</v>
      </c>
      <c r="N37" s="546" t="s">
        <v>198</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GHGTemp</v>
      </c>
      <c r="C38" s="49" t="s">
        <v>228</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198</v>
      </c>
      <c r="N38" s="546" t="s">
        <v>198</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GHGTemp</v>
      </c>
      <c r="C39" s="49" t="s">
        <v>228</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198</v>
      </c>
      <c r="N39" s="546" t="s">
        <v>198</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GHGTemp</v>
      </c>
      <c r="C40" s="49" t="s">
        <v>228</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198</v>
      </c>
      <c r="N40" s="546" t="s">
        <v>198</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GHGTemp</v>
      </c>
      <c r="C41" s="49" t="s">
        <v>228</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198</v>
      </c>
      <c r="N41" s="546" t="s">
        <v>198</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GHGTemp</v>
      </c>
      <c r="C42" s="49" t="s">
        <v>228</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198</v>
      </c>
      <c r="N42" s="546" t="s">
        <v>198</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GHGTemp</v>
      </c>
      <c r="C43" s="49" t="s">
        <v>228</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198</v>
      </c>
      <c r="N43" s="546" t="s">
        <v>198</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GHGTemp</v>
      </c>
      <c r="C44" s="49" t="s">
        <v>228</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198</v>
      </c>
      <c r="N44" s="546" t="s">
        <v>198</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GHGTemp</v>
      </c>
      <c r="C45" s="49" t="s">
        <v>228</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198</v>
      </c>
      <c r="N45" s="546" t="s">
        <v>198</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GHGTemp</v>
      </c>
      <c r="C46" s="49" t="s">
        <v>228</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198</v>
      </c>
      <c r="N46" s="546" t="s">
        <v>198</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GHGTemp</v>
      </c>
      <c r="C47" s="49" t="s">
        <v>228</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198</v>
      </c>
      <c r="N47" s="546" t="s">
        <v>198</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GHGTemp</v>
      </c>
      <c r="C48" s="49" t="s">
        <v>228</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198</v>
      </c>
      <c r="N48" s="546" t="s">
        <v>198</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GHGTemp</v>
      </c>
      <c r="C49" s="49" t="s">
        <v>228</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198</v>
      </c>
      <c r="N49" s="546" t="s">
        <v>198</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GHGTemp</v>
      </c>
      <c r="C50" s="49" t="s">
        <v>228</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198</v>
      </c>
      <c r="N50" s="546" t="s">
        <v>198</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GHGTemp</v>
      </c>
      <c r="C51" s="49" t="s">
        <v>228</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198</v>
      </c>
      <c r="N51" s="546" t="s">
        <v>198</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GHGTemp</v>
      </c>
      <c r="C52" s="49" t="s">
        <v>228</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198</v>
      </c>
      <c r="N52" s="546" t="s">
        <v>198</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GHGTemp</v>
      </c>
      <c r="C53" s="49" t="s">
        <v>228</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198</v>
      </c>
      <c r="N53" s="546" t="s">
        <v>198</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GHGTemp</v>
      </c>
      <c r="C54" s="49" t="s">
        <v>228</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198</v>
      </c>
      <c r="N54" s="546" t="s">
        <v>198</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GHGTemp</v>
      </c>
      <c r="C55" s="49" t="s">
        <v>228</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198</v>
      </c>
      <c r="N55" s="546" t="s">
        <v>198</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GHGTemp</v>
      </c>
      <c r="C56" s="49" t="s">
        <v>228</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198</v>
      </c>
      <c r="N56" s="546" t="s">
        <v>198</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GHGTemp</v>
      </c>
      <c r="C57" s="49" t="s">
        <v>229</v>
      </c>
      <c r="D57" s="531" t="s">
        <v>192</v>
      </c>
      <c r="E57" s="49" t="s">
        <v>49</v>
      </c>
      <c r="F57" s="534">
        <f>R.7EastDevName1</f>
        <v>0</v>
      </c>
      <c r="G57" s="542">
        <f>R.7EastDevHrs1</f>
        <v>0</v>
      </c>
      <c r="H57" s="543">
        <f>Table3[[#This Row],[Hrs Rank]]</f>
        <v>0</v>
      </c>
      <c r="I57" s="533">
        <f t="shared" si="2"/>
        <v>0</v>
      </c>
      <c r="J57" s="533">
        <f t="shared" si="3"/>
        <v>0</v>
      </c>
      <c r="K57" s="545"/>
      <c r="L57" s="545"/>
      <c r="M57" s="546" t="s">
        <v>198</v>
      </c>
      <c r="N57" s="546" t="s">
        <v>198</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GHGTemp</v>
      </c>
      <c r="C58" s="49" t="s">
        <v>229</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198</v>
      </c>
      <c r="N58" s="546" t="s">
        <v>198</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GHGTemp</v>
      </c>
      <c r="C59" s="49" t="s">
        <v>229</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198</v>
      </c>
      <c r="N59" s="546" t="s">
        <v>198</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GHGTemp</v>
      </c>
      <c r="C60" s="49" t="s">
        <v>229</v>
      </c>
      <c r="D60" s="531" t="s">
        <v>192</v>
      </c>
      <c r="E60" s="49" t="s">
        <v>49</v>
      </c>
      <c r="F60" s="534">
        <f>R.7EastDevName4</f>
        <v>0</v>
      </c>
      <c r="G60" s="542">
        <f>R.7EastDevHrs4</f>
        <v>0</v>
      </c>
      <c r="H60" s="543">
        <f>Table3[[#This Row],[Hrs Rank]]</f>
        <v>0</v>
      </c>
      <c r="I60" s="533">
        <f t="shared" si="2"/>
        <v>0</v>
      </c>
      <c r="J60" s="533">
        <f t="shared" si="3"/>
        <v>0</v>
      </c>
      <c r="K60" s="545"/>
      <c r="L60" s="545"/>
      <c r="M60" s="546" t="s">
        <v>198</v>
      </c>
      <c r="N60" s="546" t="s">
        <v>198</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GHGTemp</v>
      </c>
      <c r="C61" s="49" t="s">
        <v>229</v>
      </c>
      <c r="D61" s="531" t="s">
        <v>192</v>
      </c>
      <c r="E61" s="49" t="s">
        <v>48</v>
      </c>
      <c r="F61" s="534">
        <f>R.7EastImpName1</f>
        <v>0</v>
      </c>
      <c r="G61" s="542">
        <f>R.7EastImpHrs1</f>
        <v>0</v>
      </c>
      <c r="H61" s="543">
        <f>Table3[[#This Row],[Hrs Rank]]</f>
        <v>0</v>
      </c>
      <c r="I61" s="533">
        <f t="shared" si="2"/>
        <v>0</v>
      </c>
      <c r="J61" s="533">
        <f t="shared" si="3"/>
        <v>0</v>
      </c>
      <c r="K61" s="545"/>
      <c r="L61" s="545"/>
      <c r="M61" s="546" t="s">
        <v>198</v>
      </c>
      <c r="N61" s="546" t="s">
        <v>198</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GHGTemp</v>
      </c>
      <c r="C62" s="49" t="s">
        <v>229</v>
      </c>
      <c r="D62" s="531" t="s">
        <v>192</v>
      </c>
      <c r="E62" s="49" t="s">
        <v>48</v>
      </c>
      <c r="F62" s="534">
        <f>R.7EastImpName2</f>
        <v>0</v>
      </c>
      <c r="G62" s="542">
        <f>R.7EastImpHrs2</f>
        <v>0</v>
      </c>
      <c r="H62" s="543">
        <f>Table3[[#This Row],[Hrs Rank]]</f>
        <v>0</v>
      </c>
      <c r="I62" s="533">
        <f t="shared" si="2"/>
        <v>0</v>
      </c>
      <c r="J62" s="533">
        <f t="shared" si="3"/>
        <v>0</v>
      </c>
      <c r="K62" s="545"/>
      <c r="L62" s="545"/>
      <c r="M62" s="546" t="s">
        <v>198</v>
      </c>
      <c r="N62" s="546" t="s">
        <v>198</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GHGTemp</v>
      </c>
      <c r="C63" s="49" t="s">
        <v>229</v>
      </c>
      <c r="D63" s="531" t="s">
        <v>192</v>
      </c>
      <c r="E63" s="49" t="s">
        <v>48</v>
      </c>
      <c r="F63" s="534">
        <f>R.7EastImpName3</f>
        <v>0</v>
      </c>
      <c r="G63" s="542">
        <f>R.7EastImpHrs3</f>
        <v>0</v>
      </c>
      <c r="H63" s="543">
        <f>Table3[[#This Row],[Hrs Rank]]</f>
        <v>0</v>
      </c>
      <c r="I63" s="533">
        <f t="shared" si="2"/>
        <v>0</v>
      </c>
      <c r="J63" s="533">
        <f t="shared" si="3"/>
        <v>0</v>
      </c>
      <c r="K63" s="545"/>
      <c r="L63" s="545"/>
      <c r="M63" s="546" t="s">
        <v>198</v>
      </c>
      <c r="N63" s="546" t="s">
        <v>198</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GHGTemp</v>
      </c>
      <c r="C64" s="49" t="s">
        <v>229</v>
      </c>
      <c r="D64" s="531" t="s">
        <v>192</v>
      </c>
      <c r="E64" s="49" t="s">
        <v>48</v>
      </c>
      <c r="F64" s="534">
        <f>R.7EastImpName4</f>
        <v>0</v>
      </c>
      <c r="G64" s="542">
        <f>R.7EastImpHrs4</f>
        <v>0</v>
      </c>
      <c r="H64" s="543">
        <f>Table3[[#This Row],[Hrs Rank]]</f>
        <v>0</v>
      </c>
      <c r="I64" s="533">
        <f t="shared" si="2"/>
        <v>0</v>
      </c>
      <c r="J64" s="533">
        <f t="shared" si="3"/>
        <v>0</v>
      </c>
      <c r="K64" s="545"/>
      <c r="L64" s="545"/>
      <c r="M64" s="546" t="s">
        <v>198</v>
      </c>
      <c r="N64" s="546" t="s">
        <v>198</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GHGTemp</v>
      </c>
      <c r="C65" s="49" t="s">
        <v>229</v>
      </c>
      <c r="D65" s="531" t="s">
        <v>193</v>
      </c>
      <c r="E65" s="49" t="s">
        <v>49</v>
      </c>
      <c r="F65" s="534">
        <f>R.7WestDevName1</f>
        <v>0</v>
      </c>
      <c r="G65" s="542">
        <f>R.7WestDevHrs1</f>
        <v>0</v>
      </c>
      <c r="H65" s="543">
        <f>Table3[[#This Row],[Hrs Rank]]</f>
        <v>0</v>
      </c>
      <c r="I65" s="533">
        <f t="shared" si="2"/>
        <v>0</v>
      </c>
      <c r="J65" s="533">
        <f t="shared" si="3"/>
        <v>0</v>
      </c>
      <c r="K65" s="545"/>
      <c r="L65" s="545"/>
      <c r="M65" s="546" t="s">
        <v>198</v>
      </c>
      <c r="N65" s="546" t="s">
        <v>198</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GHGTemp</v>
      </c>
      <c r="C66" s="49" t="s">
        <v>229</v>
      </c>
      <c r="D66" s="531" t="s">
        <v>193</v>
      </c>
      <c r="E66" s="49" t="s">
        <v>49</v>
      </c>
      <c r="F66" s="534">
        <f>R.7WestDevName2</f>
        <v>0</v>
      </c>
      <c r="G66" s="542">
        <f>R.7WestDevHrs2</f>
        <v>0</v>
      </c>
      <c r="H66" s="543">
        <f>Table3[[#This Row],[Hrs Rank]]</f>
        <v>0</v>
      </c>
      <c r="I66" s="533">
        <f t="shared" si="2"/>
        <v>0</v>
      </c>
      <c r="J66" s="533">
        <f t="shared" si="3"/>
        <v>0</v>
      </c>
      <c r="K66" s="545"/>
      <c r="L66" s="545"/>
      <c r="M66" s="546" t="s">
        <v>198</v>
      </c>
      <c r="N66" s="546" t="s">
        <v>198</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GHGTemp</v>
      </c>
      <c r="C67" s="49" t="s">
        <v>229</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198</v>
      </c>
      <c r="N67" s="546" t="s">
        <v>198</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GHGTemp</v>
      </c>
      <c r="C68" s="49" t="s">
        <v>229</v>
      </c>
      <c r="D68" s="531" t="s">
        <v>193</v>
      </c>
      <c r="E68" s="49" t="s">
        <v>49</v>
      </c>
      <c r="F68" s="534">
        <f>R.7WestDevName4</f>
        <v>0</v>
      </c>
      <c r="G68" s="542">
        <f>R.7WestDevHrs4</f>
        <v>0</v>
      </c>
      <c r="H68" s="543">
        <f>Table3[[#This Row],[Hrs Rank]]</f>
        <v>0</v>
      </c>
      <c r="I68" s="533">
        <f t="shared" si="8"/>
        <v>0</v>
      </c>
      <c r="J68" s="533">
        <f t="shared" si="9"/>
        <v>0</v>
      </c>
      <c r="K68" s="545"/>
      <c r="L68" s="545"/>
      <c r="M68" s="546" t="s">
        <v>198</v>
      </c>
      <c r="N68" s="546" t="s">
        <v>198</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GHGTemp</v>
      </c>
      <c r="C69" s="49" t="s">
        <v>229</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198</v>
      </c>
      <c r="N69" s="546" t="s">
        <v>198</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GHGTemp</v>
      </c>
      <c r="C70" s="49" t="s">
        <v>229</v>
      </c>
      <c r="D70" s="531" t="s">
        <v>193</v>
      </c>
      <c r="E70" s="49" t="s">
        <v>48</v>
      </c>
      <c r="F70" s="534">
        <f>R.7WestImpName2</f>
        <v>0</v>
      </c>
      <c r="G70" s="542">
        <f>R.7WestDevHrs2</f>
        <v>0</v>
      </c>
      <c r="H70" s="543">
        <f>Table3[[#This Row],[Hrs Rank]]</f>
        <v>0</v>
      </c>
      <c r="I70" s="533">
        <f t="shared" si="8"/>
        <v>0</v>
      </c>
      <c r="J70" s="533">
        <f t="shared" si="9"/>
        <v>0</v>
      </c>
      <c r="K70" s="545"/>
      <c r="L70" s="545"/>
      <c r="M70" s="546" t="s">
        <v>198</v>
      </c>
      <c r="N70" s="546" t="s">
        <v>198</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GHGTemp</v>
      </c>
      <c r="C71" s="49" t="s">
        <v>229</v>
      </c>
      <c r="D71" s="531" t="s">
        <v>193</v>
      </c>
      <c r="E71" s="49" t="s">
        <v>48</v>
      </c>
      <c r="F71" s="534">
        <f>R.7WestImpName3</f>
        <v>0</v>
      </c>
      <c r="G71" s="542">
        <f>R.7WestDevHrs3</f>
        <v>0</v>
      </c>
      <c r="H71" s="543">
        <f>Table3[[#This Row],[Hrs Rank]]</f>
        <v>0</v>
      </c>
      <c r="I71" s="533">
        <f t="shared" si="8"/>
        <v>0</v>
      </c>
      <c r="J71" s="533">
        <f t="shared" si="9"/>
        <v>0</v>
      </c>
      <c r="K71" s="545"/>
      <c r="L71" s="545"/>
      <c r="M71" s="546" t="s">
        <v>198</v>
      </c>
      <c r="N71" s="546" t="s">
        <v>198</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GHGTemp</v>
      </c>
      <c r="C72" s="49" t="s">
        <v>229</v>
      </c>
      <c r="D72" s="531" t="s">
        <v>193</v>
      </c>
      <c r="E72" s="49" t="s">
        <v>48</v>
      </c>
      <c r="F72" s="534">
        <f>R.7WestImpName4</f>
        <v>0</v>
      </c>
      <c r="G72" s="542">
        <f>R.7WestDevHrs4</f>
        <v>0</v>
      </c>
      <c r="H72" s="543">
        <f>Table3[[#This Row],[Hrs Rank]]</f>
        <v>0</v>
      </c>
      <c r="I72" s="533">
        <f t="shared" si="8"/>
        <v>0</v>
      </c>
      <c r="J72" s="533">
        <f t="shared" si="9"/>
        <v>0</v>
      </c>
      <c r="K72" s="545"/>
      <c r="L72" s="545"/>
      <c r="M72" s="546" t="s">
        <v>198</v>
      </c>
      <c r="N72" s="546" t="s">
        <v>198</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GHGTemp</v>
      </c>
      <c r="C73" s="49" t="s">
        <v>229</v>
      </c>
      <c r="D73" s="531" t="s">
        <v>194</v>
      </c>
      <c r="E73" s="49" t="s">
        <v>49</v>
      </c>
      <c r="F73" s="534" t="str">
        <f>R.7NWRegionDevName1</f>
        <v>George Davis</v>
      </c>
      <c r="G73" s="542">
        <f>R.7NWRegionDevHrs1</f>
        <v>2</v>
      </c>
      <c r="H73" s="543">
        <f>Table3[[#This Row],[Hrs Rank]]</f>
        <v>2</v>
      </c>
      <c r="I73" s="533">
        <f t="shared" si="8"/>
        <v>8</v>
      </c>
      <c r="J73" s="533">
        <f t="shared" si="9"/>
        <v>40</v>
      </c>
      <c r="K73" s="545"/>
      <c r="L73" s="545"/>
      <c r="M73" s="546" t="s">
        <v>198</v>
      </c>
      <c r="N73" s="546" t="s">
        <v>198</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GHGTemp</v>
      </c>
      <c r="C74" s="49" t="s">
        <v>229</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198</v>
      </c>
      <c r="N74" s="546" t="s">
        <v>198</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GHGTemp</v>
      </c>
      <c r="C75" s="49" t="s">
        <v>229</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198</v>
      </c>
      <c r="N75" s="546" t="s">
        <v>198</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GHGTemp</v>
      </c>
      <c r="C76" s="49" t="s">
        <v>229</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198</v>
      </c>
      <c r="N76" s="546" t="s">
        <v>198</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GHGTemp</v>
      </c>
      <c r="C77" s="49" t="s">
        <v>229</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198</v>
      </c>
      <c r="N77" s="546" t="s">
        <v>198</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GHGTemp</v>
      </c>
      <c r="C78" s="49" t="s">
        <v>229</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198</v>
      </c>
      <c r="N78" s="546" t="s">
        <v>198</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GHGTemp</v>
      </c>
      <c r="C79" s="49" t="s">
        <v>229</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198</v>
      </c>
      <c r="N79" s="546" t="s">
        <v>198</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GHGTemp</v>
      </c>
      <c r="C80" s="49" t="s">
        <v>229</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198</v>
      </c>
      <c r="N80" s="546" t="s">
        <v>198</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GHGTemp</v>
      </c>
      <c r="C81" s="49" t="s">
        <v>230</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198</v>
      </c>
      <c r="N81" s="546" t="s">
        <v>198</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GHGTemp</v>
      </c>
      <c r="C82" s="49" t="s">
        <v>230</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198</v>
      </c>
      <c r="N82" s="546" t="s">
        <v>198</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GHGTemp</v>
      </c>
      <c r="C83" s="49" t="s">
        <v>230</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198</v>
      </c>
      <c r="N83" s="546" t="s">
        <v>198</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GHGTemp</v>
      </c>
      <c r="C84" s="49" t="s">
        <v>230</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198</v>
      </c>
      <c r="N84" s="546" t="s">
        <v>198</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GHGTemp</v>
      </c>
      <c r="C85" s="49" t="s">
        <v>230</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198</v>
      </c>
      <c r="N85" s="546" t="s">
        <v>198</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GHGTemp</v>
      </c>
      <c r="C86" s="49" t="s">
        <v>230</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198</v>
      </c>
      <c r="N86" s="546" t="s">
        <v>198</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GHGTemp</v>
      </c>
      <c r="C87" s="49" t="s">
        <v>230</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198</v>
      </c>
      <c r="N87" s="546" t="s">
        <v>198</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GHGTemp</v>
      </c>
      <c r="C88" s="49" t="s">
        <v>230</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198</v>
      </c>
      <c r="N88" s="546" t="s">
        <v>198</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GHGTemp</v>
      </c>
      <c r="C89" s="49" t="s">
        <v>230</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198</v>
      </c>
      <c r="N89" s="546" t="s">
        <v>198</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GHGTemp</v>
      </c>
      <c r="C90" s="49" t="s">
        <v>230</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198</v>
      </c>
      <c r="N90" s="546" t="s">
        <v>198</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GHGTemp</v>
      </c>
      <c r="C91" s="49" t="s">
        <v>230</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198</v>
      </c>
      <c r="N91" s="546" t="s">
        <v>198</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GHGTemp</v>
      </c>
      <c r="C92" s="49" t="s">
        <v>230</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198</v>
      </c>
      <c r="N92" s="546" t="s">
        <v>198</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GHGTemp</v>
      </c>
      <c r="C93" s="49" t="s">
        <v>230</v>
      </c>
      <c r="D93" s="531" t="s">
        <v>133</v>
      </c>
      <c r="E93" s="49" t="s">
        <v>48</v>
      </c>
      <c r="F93" s="534">
        <f>R.8AcctImpName1</f>
        <v>0</v>
      </c>
      <c r="G93" s="542">
        <f>R.8AcctImpHrs1</f>
        <v>0</v>
      </c>
      <c r="H93" s="543">
        <f>Table3[[#This Row],[Hrs Rank]]</f>
        <v>0</v>
      </c>
      <c r="I93" s="533">
        <f t="shared" si="8"/>
        <v>0</v>
      </c>
      <c r="J93" s="533">
        <f t="shared" si="9"/>
        <v>0</v>
      </c>
      <c r="K93" s="545"/>
      <c r="L93" s="545"/>
      <c r="M93" s="546" t="s">
        <v>198</v>
      </c>
      <c r="N93" s="546" t="s">
        <v>198</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GHGTemp</v>
      </c>
      <c r="C94" s="49" t="s">
        <v>230</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198</v>
      </c>
      <c r="N94" s="546" t="s">
        <v>198</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GHGTemp</v>
      </c>
      <c r="C95" s="49" t="s">
        <v>230</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198</v>
      </c>
      <c r="N95" s="546" t="s">
        <v>198</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GHGTemp</v>
      </c>
      <c r="C96" s="49" t="s">
        <v>230</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198</v>
      </c>
      <c r="N96" s="546" t="s">
        <v>198</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GHGTemp</v>
      </c>
      <c r="C97" s="49" t="s">
        <v>230</v>
      </c>
      <c r="D97" s="531" t="s">
        <v>134</v>
      </c>
      <c r="E97" s="49" t="s">
        <v>49</v>
      </c>
      <c r="F97" s="534">
        <f>R.8DContractDevName1</f>
        <v>0</v>
      </c>
      <c r="G97" s="542">
        <f>R.8DContractDevHrs1</f>
        <v>0</v>
      </c>
      <c r="H97" s="543">
        <f>Table3[[#This Row],[Hrs Rank]]</f>
        <v>0</v>
      </c>
      <c r="I97" s="533">
        <f t="shared" si="8"/>
        <v>0</v>
      </c>
      <c r="J97" s="533">
        <f t="shared" si="9"/>
        <v>0</v>
      </c>
      <c r="K97" s="545"/>
      <c r="L97" s="545"/>
      <c r="M97" s="546" t="s">
        <v>198</v>
      </c>
      <c r="N97" s="546" t="s">
        <v>198</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GHGTemp</v>
      </c>
      <c r="C98" s="49" t="s">
        <v>230</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198</v>
      </c>
      <c r="N98" s="546" t="s">
        <v>198</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GHGTemp</v>
      </c>
      <c r="C99" s="49" t="s">
        <v>230</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198</v>
      </c>
      <c r="N99" s="546" t="s">
        <v>198</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GHGTemp</v>
      </c>
      <c r="C100" s="49" t="s">
        <v>230</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198</v>
      </c>
      <c r="N100" s="546" t="s">
        <v>198</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GHGTemp</v>
      </c>
      <c r="C101" s="49" t="s">
        <v>230</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198</v>
      </c>
      <c r="N101" s="546" t="s">
        <v>198</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GHGTemp</v>
      </c>
      <c r="C102" s="49" t="s">
        <v>230</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198</v>
      </c>
      <c r="N102" s="546" t="s">
        <v>198</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GHGTemp</v>
      </c>
      <c r="C103" s="49" t="s">
        <v>230</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198</v>
      </c>
      <c r="N103" s="546" t="s">
        <v>198</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GHGTemp</v>
      </c>
      <c r="C104" s="49" t="s">
        <v>230</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198</v>
      </c>
      <c r="N104" s="546" t="s">
        <v>198</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GHGTemp</v>
      </c>
      <c r="C105" s="49" t="s">
        <v>231</v>
      </c>
      <c r="D105" s="531" t="s">
        <v>241</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198</v>
      </c>
      <c r="N105" s="546" t="s">
        <v>198</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GHGTemp</v>
      </c>
      <c r="C106" s="49" t="s">
        <v>231</v>
      </c>
      <c r="D106" s="531" t="s">
        <v>241</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198</v>
      </c>
      <c r="N106" s="546" t="s">
        <v>198</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GHGTemp</v>
      </c>
      <c r="C107" s="49" t="s">
        <v>231</v>
      </c>
      <c r="D107" s="531" t="s">
        <v>241</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198</v>
      </c>
      <c r="N107" s="546" t="s">
        <v>198</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GHGTemp</v>
      </c>
      <c r="C108" s="49" t="s">
        <v>231</v>
      </c>
      <c r="D108" s="531" t="s">
        <v>241</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198</v>
      </c>
      <c r="N108" s="546" t="s">
        <v>198</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GHGTemp</v>
      </c>
      <c r="C109" s="49" t="s">
        <v>231</v>
      </c>
      <c r="D109" s="531" t="s">
        <v>241</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198</v>
      </c>
      <c r="N109" s="546" t="s">
        <v>198</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GHGTemp</v>
      </c>
      <c r="C110" s="49" t="s">
        <v>231</v>
      </c>
      <c r="D110" s="531" t="s">
        <v>241</v>
      </c>
      <c r="E110" s="49" t="s">
        <v>48</v>
      </c>
      <c r="F110" s="534">
        <f>R.9ComStrategyImpName2</f>
        <v>0</v>
      </c>
      <c r="G110" s="542">
        <f>R.9ComStrategyImpHrs2</f>
        <v>0</v>
      </c>
      <c r="H110" s="543">
        <f>Table3[[#This Row],[Hrs Rank]]</f>
        <v>0</v>
      </c>
      <c r="I110" s="533">
        <f t="shared" si="8"/>
        <v>0</v>
      </c>
      <c r="J110" s="533">
        <f t="shared" si="9"/>
        <v>0</v>
      </c>
      <c r="K110" s="545"/>
      <c r="L110" s="545"/>
      <c r="M110" s="546" t="s">
        <v>198</v>
      </c>
      <c r="N110" s="546" t="s">
        <v>198</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GHGTemp</v>
      </c>
      <c r="C111" s="49" t="s">
        <v>231</v>
      </c>
      <c r="D111" s="531" t="s">
        <v>241</v>
      </c>
      <c r="E111" s="49" t="s">
        <v>48</v>
      </c>
      <c r="F111" s="534">
        <f>R.9ComStrategyImpName3</f>
        <v>0</v>
      </c>
      <c r="G111" s="542">
        <f>R.9ComStrategyImpHrs3</f>
        <v>0</v>
      </c>
      <c r="H111" s="543">
        <f>Table3[[#This Row],[Hrs Rank]]</f>
        <v>0</v>
      </c>
      <c r="I111" s="533">
        <f t="shared" si="8"/>
        <v>0</v>
      </c>
      <c r="J111" s="533">
        <f t="shared" si="9"/>
        <v>0</v>
      </c>
      <c r="K111" s="545"/>
      <c r="L111" s="545"/>
      <c r="M111" s="546" t="s">
        <v>198</v>
      </c>
      <c r="N111" s="546" t="s">
        <v>198</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GHGTemp</v>
      </c>
      <c r="C112" s="49" t="s">
        <v>231</v>
      </c>
      <c r="D112" s="531" t="s">
        <v>241</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198</v>
      </c>
      <c r="N112" s="546" t="s">
        <v>198</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GHGTemp</v>
      </c>
      <c r="C113" s="49" t="s">
        <v>231</v>
      </c>
      <c r="D113" s="531" t="s">
        <v>242</v>
      </c>
      <c r="E113" s="49" t="s">
        <v>49</v>
      </c>
      <c r="F113" s="534" t="str">
        <f>R.9PRDevName1</f>
        <v>Brian White</v>
      </c>
      <c r="G113" s="542">
        <f>R.9PRDevHrs1</f>
        <v>1</v>
      </c>
      <c r="H113" s="543">
        <f>Table3[[#This Row],[Hrs Rank]]</f>
        <v>1</v>
      </c>
      <c r="I113" s="533">
        <f t="shared" si="8"/>
        <v>1</v>
      </c>
      <c r="J113" s="533">
        <f t="shared" si="9"/>
        <v>8</v>
      </c>
      <c r="K113" s="545"/>
      <c r="L113" s="545"/>
      <c r="M113" s="546" t="s">
        <v>198</v>
      </c>
      <c r="N113" s="546" t="s">
        <v>198</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GHGTemp</v>
      </c>
      <c r="C114" s="49" t="s">
        <v>231</v>
      </c>
      <c r="D114" s="531" t="s">
        <v>242</v>
      </c>
      <c r="E114" s="49" t="s">
        <v>49</v>
      </c>
      <c r="F114" s="534" t="str">
        <f>R.9PRDevName2</f>
        <v xml:space="preserve"> </v>
      </c>
      <c r="G114" s="542">
        <f>R.9PRDevHrs2</f>
        <v>0</v>
      </c>
      <c r="H114" s="543">
        <f>Table3[[#This Row],[Hrs Rank]]</f>
        <v>0</v>
      </c>
      <c r="I114" s="533">
        <f t="shared" si="8"/>
        <v>0</v>
      </c>
      <c r="J114" s="533">
        <f t="shared" si="9"/>
        <v>0</v>
      </c>
      <c r="K114" s="545"/>
      <c r="L114" s="545"/>
      <c r="M114" s="546" t="s">
        <v>198</v>
      </c>
      <c r="N114" s="546" t="s">
        <v>198</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GHGTemp</v>
      </c>
      <c r="C115" s="49" t="s">
        <v>231</v>
      </c>
      <c r="D115" s="531" t="s">
        <v>242</v>
      </c>
      <c r="E115" s="49" t="s">
        <v>49</v>
      </c>
      <c r="F115" s="534" t="str">
        <f>R.9PRDevName3</f>
        <v xml:space="preserve"> </v>
      </c>
      <c r="G115" s="542">
        <f>R.9PRDevHrs3</f>
        <v>0</v>
      </c>
      <c r="H115" s="543">
        <f>Table3[[#This Row],[Hrs Rank]]</f>
        <v>0</v>
      </c>
      <c r="I115" s="533">
        <f t="shared" si="8"/>
        <v>0</v>
      </c>
      <c r="J115" s="533">
        <f t="shared" si="9"/>
        <v>0</v>
      </c>
      <c r="K115" s="545"/>
      <c r="L115" s="545"/>
      <c r="M115" s="546" t="s">
        <v>198</v>
      </c>
      <c r="N115" s="546" t="s">
        <v>198</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GHGTemp</v>
      </c>
      <c r="C116" s="49" t="s">
        <v>231</v>
      </c>
      <c r="D116" s="531" t="s">
        <v>242</v>
      </c>
      <c r="E116" s="49" t="s">
        <v>49</v>
      </c>
      <c r="F116" s="534" t="str">
        <f>R.9PRDevName4</f>
        <v xml:space="preserve"> </v>
      </c>
      <c r="G116" s="542">
        <f>R.9PRDevHrs4</f>
        <v>0</v>
      </c>
      <c r="H116" s="543">
        <f>Table3[[#This Row],[Hrs Rank]]</f>
        <v>0</v>
      </c>
      <c r="I116" s="533">
        <f t="shared" si="8"/>
        <v>0</v>
      </c>
      <c r="J116" s="533">
        <f t="shared" si="9"/>
        <v>0</v>
      </c>
      <c r="K116" s="545"/>
      <c r="L116" s="545"/>
      <c r="M116" s="546" t="s">
        <v>198</v>
      </c>
      <c r="N116" s="546" t="s">
        <v>198</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GHGTemp</v>
      </c>
      <c r="C117" s="49" t="s">
        <v>231</v>
      </c>
      <c r="D117" s="531" t="s">
        <v>242</v>
      </c>
      <c r="E117" s="49" t="s">
        <v>48</v>
      </c>
      <c r="F117" s="534" t="str">
        <f>R.9PRImpName1</f>
        <v xml:space="preserve"> </v>
      </c>
      <c r="G117" s="542">
        <f>R.9PRImpHrs1</f>
        <v>0</v>
      </c>
      <c r="H117" s="543">
        <f>Table3[[#This Row],[Hrs Rank]]</f>
        <v>0</v>
      </c>
      <c r="I117" s="533">
        <f t="shared" si="8"/>
        <v>0</v>
      </c>
      <c r="J117" s="533">
        <f t="shared" si="9"/>
        <v>0</v>
      </c>
      <c r="K117" s="545"/>
      <c r="L117" s="545"/>
      <c r="M117" s="546" t="s">
        <v>198</v>
      </c>
      <c r="N117" s="546" t="s">
        <v>198</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GHGTemp</v>
      </c>
      <c r="C118" s="49" t="s">
        <v>231</v>
      </c>
      <c r="D118" s="531" t="s">
        <v>242</v>
      </c>
      <c r="E118" s="49" t="s">
        <v>48</v>
      </c>
      <c r="F118" s="534" t="str">
        <f>R.9PRImpName2</f>
        <v xml:space="preserve"> </v>
      </c>
      <c r="G118" s="542">
        <f>R.9PRImpHrs2</f>
        <v>0</v>
      </c>
      <c r="H118" s="543">
        <f>Table3[[#This Row],[Hrs Rank]]</f>
        <v>0</v>
      </c>
      <c r="I118" s="533">
        <f t="shared" si="8"/>
        <v>0</v>
      </c>
      <c r="J118" s="533">
        <f t="shared" si="9"/>
        <v>0</v>
      </c>
      <c r="K118" s="545"/>
      <c r="L118" s="545"/>
      <c r="M118" s="546" t="s">
        <v>198</v>
      </c>
      <c r="N118" s="546" t="s">
        <v>198</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GHGTemp</v>
      </c>
      <c r="C119" s="49" t="s">
        <v>231</v>
      </c>
      <c r="D119" s="531" t="s">
        <v>242</v>
      </c>
      <c r="E119" s="49" t="s">
        <v>48</v>
      </c>
      <c r="F119" s="534" t="str">
        <f>R.9PRImpName3</f>
        <v xml:space="preserve"> </v>
      </c>
      <c r="G119" s="542">
        <f>R.9PRImpHrs3</f>
        <v>0</v>
      </c>
      <c r="H119" s="543">
        <f>Table3[[#This Row],[Hrs Rank]]</f>
        <v>0</v>
      </c>
      <c r="I119" s="533">
        <f t="shared" si="8"/>
        <v>0</v>
      </c>
      <c r="J119" s="533">
        <f t="shared" si="9"/>
        <v>0</v>
      </c>
      <c r="K119" s="545"/>
      <c r="L119" s="545"/>
      <c r="M119" s="546" t="s">
        <v>198</v>
      </c>
      <c r="N119" s="546" t="s">
        <v>198</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GHGTemp</v>
      </c>
      <c r="C120" s="49" t="s">
        <v>231</v>
      </c>
      <c r="D120" s="531" t="s">
        <v>242</v>
      </c>
      <c r="E120" s="49" t="s">
        <v>48</v>
      </c>
      <c r="F120" s="534" t="str">
        <f>R.9PRImpName4</f>
        <v xml:space="preserve"> </v>
      </c>
      <c r="G120" s="542">
        <f>R.9PRImpHrs4</f>
        <v>0</v>
      </c>
      <c r="H120" s="543">
        <f>Table3[[#This Row],[Hrs Rank]]</f>
        <v>0</v>
      </c>
      <c r="I120" s="533">
        <f t="shared" si="8"/>
        <v>0</v>
      </c>
      <c r="J120" s="533">
        <f t="shared" si="9"/>
        <v>0</v>
      </c>
      <c r="K120" s="545"/>
      <c r="L120" s="545"/>
      <c r="M120" s="546" t="s">
        <v>198</v>
      </c>
      <c r="N120" s="546" t="s">
        <v>198</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GHGTemp</v>
      </c>
      <c r="C121" s="49" t="s">
        <v>231</v>
      </c>
      <c r="D121" s="531" t="s">
        <v>96</v>
      </c>
      <c r="E121" s="49" t="s">
        <v>49</v>
      </c>
      <c r="F121" s="534" t="str">
        <f>R.9WebDevName1</f>
        <v>Michele Thompson</v>
      </c>
      <c r="G121" s="542">
        <f>R.9WebDevHrs1</f>
        <v>1</v>
      </c>
      <c r="H121" s="543">
        <f>Table3[[#This Row],[Hrs Rank]]</f>
        <v>1</v>
      </c>
      <c r="I121" s="533">
        <f t="shared" si="8"/>
        <v>1</v>
      </c>
      <c r="J121" s="533">
        <f t="shared" si="9"/>
        <v>8</v>
      </c>
      <c r="K121" s="545"/>
      <c r="L121" s="545"/>
      <c r="M121" s="546" t="s">
        <v>198</v>
      </c>
      <c r="N121" s="546" t="s">
        <v>198</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GHGTemp</v>
      </c>
      <c r="C122" s="49" t="s">
        <v>231</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198</v>
      </c>
      <c r="N122" s="546" t="s">
        <v>198</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GHGTemp</v>
      </c>
      <c r="C123" s="49" t="s">
        <v>231</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198</v>
      </c>
      <c r="N123" s="546" t="s">
        <v>198</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GHGTemp</v>
      </c>
      <c r="C124" s="49" t="s">
        <v>231</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198</v>
      </c>
      <c r="N124" s="546" t="s">
        <v>198</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GHGTemp</v>
      </c>
      <c r="C125" s="49" t="s">
        <v>231</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198</v>
      </c>
      <c r="N125" s="546" t="s">
        <v>198</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GHGTemp</v>
      </c>
      <c r="C126" s="49" t="s">
        <v>231</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198</v>
      </c>
      <c r="N126" s="546" t="s">
        <v>198</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GHGTemp</v>
      </c>
      <c r="C127" s="49" t="s">
        <v>231</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198</v>
      </c>
      <c r="N127" s="546" t="s">
        <v>198</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GHGTemp</v>
      </c>
      <c r="C128" s="49" t="s">
        <v>231</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198</v>
      </c>
      <c r="N128" s="546" t="s">
        <v>198</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GHGTemp</v>
      </c>
      <c r="C129" s="49" t="s">
        <v>232</v>
      </c>
      <c r="D129" s="531" t="s">
        <v>131</v>
      </c>
      <c r="E129" s="49" t="s">
        <v>49</v>
      </c>
      <c r="F129" s="534">
        <f>R.10HRDevName1</f>
        <v>0</v>
      </c>
      <c r="G129" s="542">
        <f>R.10HRDevHrs1</f>
        <v>0</v>
      </c>
      <c r="H129" s="543">
        <f>Table3[[#This Row],[Hrs Rank]]</f>
        <v>0</v>
      </c>
      <c r="I129" s="533">
        <f t="shared" si="8"/>
        <v>0</v>
      </c>
      <c r="J129" s="533">
        <f t="shared" si="9"/>
        <v>0</v>
      </c>
      <c r="K129" s="545"/>
      <c r="L129" s="545"/>
      <c r="M129" s="546" t="s">
        <v>198</v>
      </c>
      <c r="N129" s="546" t="s">
        <v>198</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GHGTemp</v>
      </c>
      <c r="C130" s="49" t="s">
        <v>232</v>
      </c>
      <c r="D130" s="531" t="s">
        <v>131</v>
      </c>
      <c r="E130" s="49" t="s">
        <v>49</v>
      </c>
      <c r="F130" s="534">
        <f>R.10HRDevName2</f>
        <v>0</v>
      </c>
      <c r="G130" s="542">
        <f>R.10HRDevHrs2</f>
        <v>0</v>
      </c>
      <c r="H130" s="543">
        <f>Table3[[#This Row],[Hrs Rank]]</f>
        <v>0</v>
      </c>
      <c r="I130" s="533">
        <f t="shared" si="8"/>
        <v>0</v>
      </c>
      <c r="J130" s="533">
        <f t="shared" si="9"/>
        <v>0</v>
      </c>
      <c r="K130" s="545"/>
      <c r="L130" s="545"/>
      <c r="M130" s="546" t="s">
        <v>198</v>
      </c>
      <c r="N130" s="546" t="s">
        <v>198</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GHGTemp</v>
      </c>
      <c r="C131" s="49" t="s">
        <v>232</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198</v>
      </c>
      <c r="N131" s="546" t="s">
        <v>198</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GHGTemp</v>
      </c>
      <c r="C132" s="49" t="s">
        <v>232</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198</v>
      </c>
      <c r="N132" s="546" t="s">
        <v>198</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GHGTemp</v>
      </c>
      <c r="C133" s="49" t="s">
        <v>232</v>
      </c>
      <c r="D133" s="531" t="s">
        <v>131</v>
      </c>
      <c r="E133" s="49" t="s">
        <v>48</v>
      </c>
      <c r="F133" s="534">
        <f>R.10HRImpName1</f>
        <v>0</v>
      </c>
      <c r="G133" s="542">
        <f>R.10HRImpHrs1</f>
        <v>0</v>
      </c>
      <c r="H133" s="543">
        <f>Table3[[#This Row],[Hrs Rank]]</f>
        <v>0</v>
      </c>
      <c r="I133" s="533">
        <f t="shared" si="14"/>
        <v>0</v>
      </c>
      <c r="J133" s="533">
        <f t="shared" si="15"/>
        <v>0</v>
      </c>
      <c r="K133" s="545"/>
      <c r="L133" s="545"/>
      <c r="M133" s="546" t="s">
        <v>198</v>
      </c>
      <c r="N133" s="546" t="s">
        <v>198</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GHGTemp</v>
      </c>
      <c r="C134" s="49" t="s">
        <v>232</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198</v>
      </c>
      <c r="N134" s="546" t="s">
        <v>198</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GHGTemp</v>
      </c>
      <c r="C135" s="49" t="s">
        <v>232</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198</v>
      </c>
      <c r="N135" s="546" t="s">
        <v>198</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GHGTemp</v>
      </c>
      <c r="C136" s="49" t="s">
        <v>232</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198</v>
      </c>
      <c r="N136" s="546" t="s">
        <v>198</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GHGTemp</v>
      </c>
      <c r="C137" s="49" t="s">
        <v>232</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198</v>
      </c>
      <c r="N137" s="546" t="s">
        <v>198</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GHGTemp</v>
      </c>
      <c r="C138" s="49" t="s">
        <v>232</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198</v>
      </c>
      <c r="N138" s="546" t="s">
        <v>198</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GHGTemp</v>
      </c>
      <c r="C139" s="49" t="s">
        <v>232</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198</v>
      </c>
      <c r="N139" s="546" t="s">
        <v>198</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GHGTemp</v>
      </c>
      <c r="C140" s="49" t="s">
        <v>232</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198</v>
      </c>
      <c r="N140" s="546" t="s">
        <v>198</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GHGTemp</v>
      </c>
      <c r="C141" s="49" t="s">
        <v>232</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198</v>
      </c>
      <c r="N141" s="546" t="s">
        <v>198</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GHGTemp</v>
      </c>
      <c r="C142" s="49" t="s">
        <v>232</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198</v>
      </c>
      <c r="N142" s="546" t="s">
        <v>198</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GHGTemp</v>
      </c>
      <c r="C143" s="49" t="s">
        <v>232</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198</v>
      </c>
      <c r="N143" s="546" t="s">
        <v>198</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GHGTemp</v>
      </c>
      <c r="C144" s="49" t="s">
        <v>232</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198</v>
      </c>
      <c r="N144" s="546" t="s">
        <v>198</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GHGTemp</v>
      </c>
      <c r="C145" s="49" t="s">
        <v>232</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198</v>
      </c>
      <c r="N145" s="546" t="s">
        <v>198</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GHGTemp</v>
      </c>
      <c r="C146" s="49" t="s">
        <v>232</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198</v>
      </c>
      <c r="N146" s="546" t="s">
        <v>198</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GHGTemp</v>
      </c>
      <c r="C147" s="49" t="s">
        <v>232</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198</v>
      </c>
      <c r="N147" s="546" t="s">
        <v>198</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GHGTemp</v>
      </c>
      <c r="C148" s="49" t="s">
        <v>232</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198</v>
      </c>
      <c r="N148" s="546" t="s">
        <v>198</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GHGTemp</v>
      </c>
      <c r="C149" s="49" t="s">
        <v>232</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198</v>
      </c>
      <c r="N149" s="546" t="s">
        <v>198</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GHGTemp</v>
      </c>
      <c r="C150" s="49" t="s">
        <v>232</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198</v>
      </c>
      <c r="N150" s="546" t="s">
        <v>198</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GHGTemp</v>
      </c>
      <c r="C151" s="49" t="s">
        <v>232</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198</v>
      </c>
      <c r="N151" s="546" t="s">
        <v>198</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GHGTemp</v>
      </c>
      <c r="C152" s="49" t="s">
        <v>232</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198</v>
      </c>
      <c r="N152" s="546" t="s">
        <v>198</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GHGTemp</v>
      </c>
      <c r="C153" s="49" t="s">
        <v>232</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198</v>
      </c>
      <c r="N153" s="546" t="s">
        <v>198</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GHGTemp</v>
      </c>
      <c r="C154" s="49" t="s">
        <v>232</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198</v>
      </c>
      <c r="N154" s="546" t="s">
        <v>198</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GHGTemp</v>
      </c>
      <c r="C155" s="49" t="s">
        <v>232</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198</v>
      </c>
      <c r="N155" s="546" t="s">
        <v>198</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GHGTemp</v>
      </c>
      <c r="C156" s="49" t="s">
        <v>232</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198</v>
      </c>
      <c r="N156" s="546" t="s">
        <v>198</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GHGTemp</v>
      </c>
      <c r="C157" s="49" t="s">
        <v>232</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198</v>
      </c>
      <c r="N157" s="546" t="s">
        <v>198</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GHGTemp</v>
      </c>
      <c r="C158" s="49" t="s">
        <v>232</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198</v>
      </c>
      <c r="N158" s="546" t="s">
        <v>198</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GHGTemp</v>
      </c>
      <c r="C159" s="49" t="s">
        <v>232</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198</v>
      </c>
      <c r="N159" s="546" t="s">
        <v>198</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GHGTemp</v>
      </c>
      <c r="C160" s="49" t="s">
        <v>232</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198</v>
      </c>
      <c r="N160" s="546" t="s">
        <v>198</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GHGTemp</v>
      </c>
      <c r="C161" s="49" t="s">
        <v>233</v>
      </c>
      <c r="D161" s="531" t="s">
        <v>243</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198</v>
      </c>
      <c r="N161" s="546" t="s">
        <v>198</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GHGTemp</v>
      </c>
      <c r="C162" s="49" t="s">
        <v>233</v>
      </c>
      <c r="D162" s="531" t="s">
        <v>243</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198</v>
      </c>
      <c r="N162" s="546" t="s">
        <v>198</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GHGTemp</v>
      </c>
      <c r="C163" s="49" t="s">
        <v>233</v>
      </c>
      <c r="D163" s="531" t="s">
        <v>243</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198</v>
      </c>
      <c r="N163" s="546" t="s">
        <v>198</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GHGTemp</v>
      </c>
      <c r="C164" s="49" t="s">
        <v>233</v>
      </c>
      <c r="D164" s="531" t="s">
        <v>243</v>
      </c>
      <c r="E164" s="49" t="s">
        <v>49</v>
      </c>
      <c r="F164" s="534">
        <f>R.11DivTechDevName4</f>
        <v>0</v>
      </c>
      <c r="G164" s="542">
        <f>R.11DivTechDevHrs4</f>
        <v>0</v>
      </c>
      <c r="H164" s="543">
        <f>Table3[[#This Row],[Hrs Rank]]</f>
        <v>0</v>
      </c>
      <c r="I164" s="533">
        <f t="shared" si="14"/>
        <v>0</v>
      </c>
      <c r="J164" s="533">
        <f t="shared" si="15"/>
        <v>0</v>
      </c>
      <c r="K164" s="550"/>
      <c r="L164" s="550"/>
      <c r="M164" s="546" t="s">
        <v>198</v>
      </c>
      <c r="N164" s="546" t="s">
        <v>198</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GHGTemp</v>
      </c>
      <c r="C165" s="49" t="s">
        <v>233</v>
      </c>
      <c r="D165" s="531" t="s">
        <v>243</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198</v>
      </c>
      <c r="N165" s="546" t="s">
        <v>198</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GHGTemp</v>
      </c>
      <c r="C166" s="49" t="s">
        <v>233</v>
      </c>
      <c r="D166" s="531" t="s">
        <v>243</v>
      </c>
      <c r="E166" s="49" t="s">
        <v>48</v>
      </c>
      <c r="F166" s="534">
        <f>R.11DivTechImpName2</f>
        <v>0</v>
      </c>
      <c r="G166" s="542">
        <f>R.11DivTechImpHrs2</f>
        <v>0</v>
      </c>
      <c r="H166" s="543">
        <f>Table3[[#This Row],[Hrs Rank]]</f>
        <v>0</v>
      </c>
      <c r="I166" s="533">
        <f t="shared" si="14"/>
        <v>0</v>
      </c>
      <c r="J166" s="533">
        <f t="shared" si="15"/>
        <v>0</v>
      </c>
      <c r="K166" s="550"/>
      <c r="L166" s="550"/>
      <c r="M166" s="546" t="s">
        <v>198</v>
      </c>
      <c r="N166" s="546" t="s">
        <v>198</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GHGTemp</v>
      </c>
      <c r="C167" s="49" t="s">
        <v>233</v>
      </c>
      <c r="D167" s="531" t="s">
        <v>243</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198</v>
      </c>
      <c r="N167" s="546" t="s">
        <v>198</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GHGTemp</v>
      </c>
      <c r="C168" s="49" t="s">
        <v>233</v>
      </c>
      <c r="D168" s="531" t="s">
        <v>243</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198</v>
      </c>
      <c r="N168" s="546" t="s">
        <v>198</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GHGTemp</v>
      </c>
      <c r="C169" s="49" t="s">
        <v>233</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198</v>
      </c>
      <c r="N169" s="546" t="s">
        <v>198</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GHGTemp</v>
      </c>
      <c r="C170" s="49" t="s">
        <v>233</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198</v>
      </c>
      <c r="N170" s="546" t="s">
        <v>198</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GHGTemp</v>
      </c>
      <c r="C171" s="49" t="s">
        <v>233</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198</v>
      </c>
      <c r="N171" s="546" t="s">
        <v>198</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GHGTemp</v>
      </c>
      <c r="C172" s="49" t="s">
        <v>233</v>
      </c>
      <c r="D172" s="531" t="s">
        <v>126</v>
      </c>
      <c r="E172" s="49" t="s">
        <v>49</v>
      </c>
      <c r="F172" s="534">
        <f>R.11ITDevName4</f>
        <v>0</v>
      </c>
      <c r="G172" s="542">
        <f>R.11ITDevHrs4</f>
        <v>0</v>
      </c>
      <c r="H172" s="543">
        <f>Table3[[#This Row],[Hrs Rank]]</f>
        <v>0</v>
      </c>
      <c r="I172" s="533">
        <f t="shared" si="14"/>
        <v>0</v>
      </c>
      <c r="J172" s="533">
        <f t="shared" si="15"/>
        <v>0</v>
      </c>
      <c r="K172" s="550"/>
      <c r="L172" s="550"/>
      <c r="M172" s="546" t="s">
        <v>198</v>
      </c>
      <c r="N172" s="546" t="s">
        <v>198</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GHGTemp</v>
      </c>
      <c r="C173" s="49" t="s">
        <v>233</v>
      </c>
      <c r="D173" s="531" t="s">
        <v>126</v>
      </c>
      <c r="E173" s="49" t="s">
        <v>48</v>
      </c>
      <c r="F173" s="534">
        <f>R.11ITImpName1</f>
        <v>0</v>
      </c>
      <c r="G173" s="542">
        <f>R.11ITImpHrs1</f>
        <v>0</v>
      </c>
      <c r="H173" s="543">
        <f>Table3[[#This Row],[Hrs Rank]]</f>
        <v>0</v>
      </c>
      <c r="I173" s="533">
        <f t="shared" si="14"/>
        <v>0</v>
      </c>
      <c r="J173" s="533">
        <f t="shared" si="15"/>
        <v>0</v>
      </c>
      <c r="K173" s="550"/>
      <c r="L173" s="550"/>
      <c r="M173" s="546" t="s">
        <v>198</v>
      </c>
      <c r="N173" s="546" t="s">
        <v>198</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GHGTemp</v>
      </c>
      <c r="C174" s="49" t="s">
        <v>233</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198</v>
      </c>
      <c r="N174" s="546" t="s">
        <v>198</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GHGTemp</v>
      </c>
      <c r="C175" s="49" t="s">
        <v>233</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198</v>
      </c>
      <c r="N175" s="546" t="s">
        <v>198</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GHGTemp</v>
      </c>
      <c r="C176" s="49" t="s">
        <v>233</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198</v>
      </c>
      <c r="N176" s="546" t="s">
        <v>198</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GHGTemp</v>
      </c>
      <c r="C177" s="49" t="s">
        <v>233</v>
      </c>
      <c r="D177" s="531" t="s">
        <v>244</v>
      </c>
      <c r="E177" s="49" t="s">
        <v>49</v>
      </c>
      <c r="F177" s="534">
        <f>R.11BSDDevName1</f>
        <v>0</v>
      </c>
      <c r="G177" s="542">
        <f>R.11BSDDevHrs1</f>
        <v>0</v>
      </c>
      <c r="H177" s="543">
        <f>Table3[[#This Row],[Hrs Rank]]</f>
        <v>0</v>
      </c>
      <c r="I177" s="533">
        <f t="shared" si="14"/>
        <v>0</v>
      </c>
      <c r="J177" s="533">
        <f t="shared" si="15"/>
        <v>0</v>
      </c>
      <c r="K177" s="550"/>
      <c r="L177" s="550"/>
      <c r="M177" s="546" t="s">
        <v>198</v>
      </c>
      <c r="N177" s="546" t="s">
        <v>198</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GHGTemp</v>
      </c>
      <c r="C178" s="49" t="s">
        <v>233</v>
      </c>
      <c r="D178" s="531" t="s">
        <v>244</v>
      </c>
      <c r="E178" s="49" t="s">
        <v>49</v>
      </c>
      <c r="F178" s="534" t="str">
        <f>R.11BSDDevName2</f>
        <v xml:space="preserve"> </v>
      </c>
      <c r="G178" s="542">
        <f>R.11BSDDevHrs2</f>
        <v>0</v>
      </c>
      <c r="H178" s="543">
        <f>Table3[[#This Row],[Hrs Rank]]</f>
        <v>0</v>
      </c>
      <c r="I178" s="533">
        <f t="shared" si="14"/>
        <v>0</v>
      </c>
      <c r="J178" s="533">
        <f t="shared" si="15"/>
        <v>0</v>
      </c>
      <c r="K178" s="550"/>
      <c r="L178" s="550"/>
      <c r="M178" s="546" t="s">
        <v>198</v>
      </c>
      <c r="N178" s="546" t="s">
        <v>198</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GHGTemp</v>
      </c>
      <c r="C179" s="49" t="s">
        <v>233</v>
      </c>
      <c r="D179" s="531" t="s">
        <v>244</v>
      </c>
      <c r="E179" s="49" t="s">
        <v>49</v>
      </c>
      <c r="F179" s="534" t="str">
        <f>R.11BSDDevName3</f>
        <v xml:space="preserve"> </v>
      </c>
      <c r="G179" s="542">
        <f>R.11BSDDevHrs3</f>
        <v>0</v>
      </c>
      <c r="H179" s="543">
        <f>Table3[[#This Row],[Hrs Rank]]</f>
        <v>0</v>
      </c>
      <c r="I179" s="533">
        <f t="shared" si="14"/>
        <v>0</v>
      </c>
      <c r="J179" s="533">
        <f t="shared" si="15"/>
        <v>0</v>
      </c>
      <c r="K179" s="550"/>
      <c r="L179" s="550"/>
      <c r="M179" s="546" t="s">
        <v>198</v>
      </c>
      <c r="N179" s="546" t="s">
        <v>198</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GHGTemp</v>
      </c>
      <c r="C180" s="49" t="s">
        <v>233</v>
      </c>
      <c r="D180" s="531" t="s">
        <v>244</v>
      </c>
      <c r="E180" s="49" t="s">
        <v>49</v>
      </c>
      <c r="F180" s="534" t="str">
        <f>R.11BSDDevName4</f>
        <v xml:space="preserve"> </v>
      </c>
      <c r="G180" s="542">
        <f>R.11BSDDevHrs4</f>
        <v>0</v>
      </c>
      <c r="H180" s="543">
        <f>Table3[[#This Row],[Hrs Rank]]</f>
        <v>0</v>
      </c>
      <c r="I180" s="533">
        <f t="shared" si="14"/>
        <v>0</v>
      </c>
      <c r="J180" s="533">
        <f t="shared" si="15"/>
        <v>0</v>
      </c>
      <c r="K180" s="550"/>
      <c r="L180" s="550"/>
      <c r="M180" s="546" t="s">
        <v>198</v>
      </c>
      <c r="N180" s="546" t="s">
        <v>198</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GHGTemp</v>
      </c>
      <c r="C181" s="49" t="s">
        <v>233</v>
      </c>
      <c r="D181" s="531" t="s">
        <v>244</v>
      </c>
      <c r="E181" s="49" t="s">
        <v>48</v>
      </c>
      <c r="F181" s="534">
        <f>R.11BSDImpName1</f>
        <v>0</v>
      </c>
      <c r="G181" s="542">
        <f>R.11BSDImpHrs1</f>
        <v>0</v>
      </c>
      <c r="H181" s="543">
        <f>Table3[[#This Row],[Hrs Rank]]</f>
        <v>0</v>
      </c>
      <c r="I181" s="533">
        <f t="shared" si="14"/>
        <v>0</v>
      </c>
      <c r="J181" s="533">
        <f t="shared" si="15"/>
        <v>0</v>
      </c>
      <c r="K181" s="550"/>
      <c r="L181" s="550"/>
      <c r="M181" s="546" t="s">
        <v>198</v>
      </c>
      <c r="N181" s="546" t="s">
        <v>198</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GHGTemp</v>
      </c>
      <c r="C182" s="49" t="s">
        <v>233</v>
      </c>
      <c r="D182" s="531" t="s">
        <v>244</v>
      </c>
      <c r="E182" s="49" t="s">
        <v>48</v>
      </c>
      <c r="F182" s="534" t="str">
        <f>R.11BSDImpName2</f>
        <v xml:space="preserve"> </v>
      </c>
      <c r="G182" s="542">
        <f>R.11BSDImpHrs2</f>
        <v>0</v>
      </c>
      <c r="H182" s="543">
        <f>Table3[[#This Row],[Hrs Rank]]</f>
        <v>0</v>
      </c>
      <c r="I182" s="533">
        <f t="shared" si="14"/>
        <v>0</v>
      </c>
      <c r="J182" s="533">
        <f t="shared" si="15"/>
        <v>0</v>
      </c>
      <c r="K182" s="550"/>
      <c r="L182" s="550"/>
      <c r="M182" s="546" t="s">
        <v>198</v>
      </c>
      <c r="N182" s="546" t="s">
        <v>198</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GHGTemp</v>
      </c>
      <c r="C183" s="49" t="s">
        <v>233</v>
      </c>
      <c r="D183" s="531" t="s">
        <v>244</v>
      </c>
      <c r="E183" s="49" t="s">
        <v>48</v>
      </c>
      <c r="F183" s="534" t="str">
        <f>R.11BSDImpName3</f>
        <v xml:space="preserve"> </v>
      </c>
      <c r="G183" s="542">
        <f>R.11BSDImpHrs3</f>
        <v>0</v>
      </c>
      <c r="H183" s="543">
        <f>Table3[[#This Row],[Hrs Rank]]</f>
        <v>0</v>
      </c>
      <c r="I183" s="533">
        <f t="shared" si="14"/>
        <v>0</v>
      </c>
      <c r="J183" s="533">
        <f t="shared" si="15"/>
        <v>0</v>
      </c>
      <c r="K183" s="550"/>
      <c r="L183" s="550"/>
      <c r="M183" s="546" t="s">
        <v>198</v>
      </c>
      <c r="N183" s="546" t="s">
        <v>198</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GHGTemp</v>
      </c>
      <c r="C184" s="49" t="s">
        <v>233</v>
      </c>
      <c r="D184" s="531" t="s">
        <v>244</v>
      </c>
      <c r="E184" s="49" t="s">
        <v>48</v>
      </c>
      <c r="F184" s="534" t="str">
        <f>R.11BSDImpName4</f>
        <v xml:space="preserve"> </v>
      </c>
      <c r="G184" s="542">
        <f>R.11BSDImpHrs4</f>
        <v>0</v>
      </c>
      <c r="H184" s="543">
        <f>Table3[[#This Row],[Hrs Rank]]</f>
        <v>0</v>
      </c>
      <c r="I184" s="533">
        <f t="shared" si="14"/>
        <v>0</v>
      </c>
      <c r="J184" s="533">
        <f t="shared" si="15"/>
        <v>0</v>
      </c>
      <c r="K184" s="550"/>
      <c r="L184" s="550"/>
      <c r="M184" s="546" t="s">
        <v>198</v>
      </c>
      <c r="N184" s="546" t="s">
        <v>198</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GHGTemp</v>
      </c>
      <c r="C185" s="49" t="s">
        <v>234</v>
      </c>
      <c r="D185" s="531" t="s">
        <v>141</v>
      </c>
      <c r="E185" s="49" t="s">
        <v>49</v>
      </c>
      <c r="F185" s="534">
        <f>R.12OCEDevName1</f>
        <v>0</v>
      </c>
      <c r="G185" s="542">
        <f>R.12OCEDevHrs1</f>
        <v>0</v>
      </c>
      <c r="H185" s="543">
        <f>Table3[[#This Row],[Hrs Rank]]</f>
        <v>0</v>
      </c>
      <c r="I185" s="533">
        <f t="shared" si="14"/>
        <v>0</v>
      </c>
      <c r="J185" s="533">
        <f t="shared" si="15"/>
        <v>0</v>
      </c>
      <c r="K185" s="550"/>
      <c r="L185" s="550"/>
      <c r="M185" s="546" t="s">
        <v>198</v>
      </c>
      <c r="N185" s="546" t="s">
        <v>198</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GHGTemp</v>
      </c>
      <c r="C186" s="49" t="s">
        <v>234</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198</v>
      </c>
      <c r="N186" s="546" t="s">
        <v>198</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GHGTemp</v>
      </c>
      <c r="C187" s="49" t="s">
        <v>234</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198</v>
      </c>
      <c r="N187" s="546" t="s">
        <v>198</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GHGTemp</v>
      </c>
      <c r="C188" s="49" t="s">
        <v>234</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198</v>
      </c>
      <c r="N188" s="546" t="s">
        <v>198</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GHGTemp</v>
      </c>
      <c r="C189" s="49" t="s">
        <v>234</v>
      </c>
      <c r="D189" s="531" t="s">
        <v>141</v>
      </c>
      <c r="E189" s="49" t="s">
        <v>48</v>
      </c>
      <c r="F189" s="534">
        <f>R.12OCEImpName1</f>
        <v>0</v>
      </c>
      <c r="G189" s="542">
        <f>R.12OCEImpHrs1</f>
        <v>0</v>
      </c>
      <c r="H189" s="543">
        <f>Table3[[#This Row],[Hrs Rank]]</f>
        <v>0</v>
      </c>
      <c r="I189" s="533">
        <f t="shared" si="14"/>
        <v>0</v>
      </c>
      <c r="J189" s="533">
        <f t="shared" si="15"/>
        <v>0</v>
      </c>
      <c r="K189" s="550"/>
      <c r="L189" s="550"/>
      <c r="M189" s="546" t="s">
        <v>198</v>
      </c>
      <c r="N189" s="546" t="s">
        <v>198</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GHGTemp</v>
      </c>
      <c r="C190" s="49" t="s">
        <v>234</v>
      </c>
      <c r="D190" s="531" t="s">
        <v>141</v>
      </c>
      <c r="E190" s="49" t="s">
        <v>48</v>
      </c>
      <c r="F190" s="534">
        <f>R.12OCEImpName2</f>
        <v>0</v>
      </c>
      <c r="G190" s="542">
        <f>R.12OCEImpHrs2</f>
        <v>0</v>
      </c>
      <c r="H190" s="543">
        <f>Table3[[#This Row],[Hrs Rank]]</f>
        <v>0</v>
      </c>
      <c r="I190" s="533">
        <f t="shared" si="14"/>
        <v>0</v>
      </c>
      <c r="J190" s="533">
        <f t="shared" si="15"/>
        <v>0</v>
      </c>
      <c r="K190" s="550"/>
      <c r="L190" s="550"/>
      <c r="M190" s="546" t="s">
        <v>198</v>
      </c>
      <c r="N190" s="546" t="s">
        <v>198</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GHGTemp</v>
      </c>
      <c r="C191" s="49" t="s">
        <v>234</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198</v>
      </c>
      <c r="N191" s="546" t="s">
        <v>198</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GHGTemp</v>
      </c>
      <c r="C192" s="49" t="s">
        <v>234</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198</v>
      </c>
      <c r="N192" s="546" t="s">
        <v>198</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GHGTemp</v>
      </c>
      <c r="C193" s="49" t="s">
        <v>235</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198</v>
      </c>
      <c r="N193" s="546" t="s">
        <v>198</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GHGTemp</v>
      </c>
      <c r="C194" s="49" t="s">
        <v>235</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198</v>
      </c>
      <c r="N194" s="546" t="s">
        <v>198</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GHGTemp</v>
      </c>
      <c r="C195" s="49" t="s">
        <v>235</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198</v>
      </c>
      <c r="N195" s="546" t="s">
        <v>198</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GHGTemp</v>
      </c>
      <c r="C196" s="49" t="s">
        <v>235</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198</v>
      </c>
      <c r="N196" s="546" t="s">
        <v>198</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GHGTemp</v>
      </c>
      <c r="C197" s="49" t="s">
        <v>235</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198</v>
      </c>
      <c r="N197" s="546" t="s">
        <v>198</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GHGTemp</v>
      </c>
      <c r="C198" s="49" t="s">
        <v>235</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198</v>
      </c>
      <c r="N198" s="546" t="s">
        <v>198</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GHGTemp</v>
      </c>
      <c r="C199" s="49" t="s">
        <v>235</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198</v>
      </c>
      <c r="N199" s="546" t="s">
        <v>198</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GHGTemp</v>
      </c>
      <c r="C200" s="49" t="s">
        <v>235</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198</v>
      </c>
      <c r="N200" s="546" t="s">
        <v>198</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GHGTemp</v>
      </c>
      <c r="C201" s="49" t="s">
        <v>235</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198</v>
      </c>
      <c r="N201" s="546" t="s">
        <v>198</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GHGTemp</v>
      </c>
      <c r="C202" s="49" t="s">
        <v>235</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198</v>
      </c>
      <c r="N202" s="546" t="s">
        <v>198</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GHGTemp</v>
      </c>
      <c r="C203" s="49" t="s">
        <v>235</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198</v>
      </c>
      <c r="N203" s="546" t="s">
        <v>198</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GHGTemp</v>
      </c>
      <c r="C204" s="49" t="s">
        <v>235</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198</v>
      </c>
      <c r="N204" s="546" t="s">
        <v>198</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GHGTemp</v>
      </c>
      <c r="C205" s="49" t="s">
        <v>235</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198</v>
      </c>
      <c r="N205" s="546" t="s">
        <v>198</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GHGTemp</v>
      </c>
      <c r="C206" s="49" t="s">
        <v>235</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198</v>
      </c>
      <c r="N206" s="546" t="s">
        <v>198</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GHGTemp</v>
      </c>
      <c r="C207" s="49" t="s">
        <v>235</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198</v>
      </c>
      <c r="N207" s="546" t="s">
        <v>198</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GHGTemp</v>
      </c>
      <c r="C208" s="49" t="s">
        <v>235</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198</v>
      </c>
      <c r="N208" s="546" t="s">
        <v>198</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GHGTemp</v>
      </c>
      <c r="C209" s="49" t="s">
        <v>235</v>
      </c>
      <c r="D209" s="531" t="s">
        <v>124</v>
      </c>
      <c r="E209" s="49" t="s">
        <v>49</v>
      </c>
      <c r="F209" s="534">
        <f>R.13QADevName1</f>
        <v>0</v>
      </c>
      <c r="G209" s="542">
        <f>R.13QADevHrs1</f>
        <v>0</v>
      </c>
      <c r="H209" s="543">
        <f>Table3[[#This Row],[Hrs Rank]]</f>
        <v>0</v>
      </c>
      <c r="I209" s="533">
        <f t="shared" si="22"/>
        <v>0</v>
      </c>
      <c r="J209" s="533">
        <f t="shared" si="23"/>
        <v>0</v>
      </c>
      <c r="K209" s="550"/>
      <c r="L209" s="550"/>
      <c r="M209" s="546" t="s">
        <v>198</v>
      </c>
      <c r="N209" s="546" t="s">
        <v>198</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GHGTemp</v>
      </c>
      <c r="C210" s="49" t="s">
        <v>235</v>
      </c>
      <c r="D210" s="531" t="s">
        <v>124</v>
      </c>
      <c r="E210" s="49" t="s">
        <v>49</v>
      </c>
      <c r="F210" s="534">
        <f>R.13QADevName2</f>
        <v>0</v>
      </c>
      <c r="G210" s="542">
        <f>R.13QADevHrs2</f>
        <v>0</v>
      </c>
      <c r="H210" s="543">
        <f>Table3[[#This Row],[Hrs Rank]]</f>
        <v>0</v>
      </c>
      <c r="I210" s="533">
        <f t="shared" si="22"/>
        <v>0</v>
      </c>
      <c r="J210" s="533">
        <f t="shared" si="23"/>
        <v>0</v>
      </c>
      <c r="K210" s="550"/>
      <c r="L210" s="550"/>
      <c r="M210" s="546" t="s">
        <v>198</v>
      </c>
      <c r="N210" s="546" t="s">
        <v>198</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GHGTemp</v>
      </c>
      <c r="C211" s="49" t="s">
        <v>235</v>
      </c>
      <c r="D211" s="531" t="s">
        <v>124</v>
      </c>
      <c r="E211" s="49" t="s">
        <v>49</v>
      </c>
      <c r="F211" s="534">
        <f>R.13QADevName3</f>
        <v>0</v>
      </c>
      <c r="G211" s="542">
        <f>R.13QADevHrs3</f>
        <v>0</v>
      </c>
      <c r="H211" s="543">
        <f>Table3[[#This Row],[Hrs Rank]]</f>
        <v>0</v>
      </c>
      <c r="I211" s="533">
        <f t="shared" si="22"/>
        <v>0</v>
      </c>
      <c r="J211" s="533">
        <f t="shared" si="23"/>
        <v>0</v>
      </c>
      <c r="K211" s="550"/>
      <c r="L211" s="550"/>
      <c r="M211" s="546" t="s">
        <v>198</v>
      </c>
      <c r="N211" s="546" t="s">
        <v>198</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GHGTemp</v>
      </c>
      <c r="C212" s="49" t="s">
        <v>235</v>
      </c>
      <c r="D212" s="531" t="s">
        <v>124</v>
      </c>
      <c r="E212" s="49" t="s">
        <v>49</v>
      </c>
      <c r="F212" s="534">
        <f>R.13QADevName4</f>
        <v>0</v>
      </c>
      <c r="G212" s="542">
        <f>R.13QADevHrs4</f>
        <v>0</v>
      </c>
      <c r="H212" s="543">
        <f>Table3[[#This Row],[Hrs Rank]]</f>
        <v>0</v>
      </c>
      <c r="I212" s="533">
        <f t="shared" si="22"/>
        <v>0</v>
      </c>
      <c r="J212" s="533">
        <f t="shared" si="23"/>
        <v>0</v>
      </c>
      <c r="K212" s="550"/>
      <c r="L212" s="550"/>
      <c r="M212" s="546" t="s">
        <v>198</v>
      </c>
      <c r="N212" s="546" t="s">
        <v>198</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GHGTemp</v>
      </c>
      <c r="C213" s="49" t="s">
        <v>235</v>
      </c>
      <c r="D213" s="531" t="s">
        <v>124</v>
      </c>
      <c r="E213" s="49" t="s">
        <v>48</v>
      </c>
      <c r="F213" s="534">
        <f>R.13QAImpName1</f>
        <v>0</v>
      </c>
      <c r="G213" s="542">
        <f>R.13QAImpHrs1</f>
        <v>0</v>
      </c>
      <c r="H213" s="543">
        <f>Table3[[#This Row],[Hrs Rank]]</f>
        <v>0</v>
      </c>
      <c r="I213" s="533">
        <f t="shared" si="22"/>
        <v>0</v>
      </c>
      <c r="J213" s="533">
        <f t="shared" si="23"/>
        <v>0</v>
      </c>
      <c r="K213" s="550"/>
      <c r="L213" s="550"/>
      <c r="M213" s="546" t="s">
        <v>198</v>
      </c>
      <c r="N213" s="546" t="s">
        <v>198</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GHGTemp</v>
      </c>
      <c r="C214" s="49" t="s">
        <v>235</v>
      </c>
      <c r="D214" s="531" t="s">
        <v>124</v>
      </c>
      <c r="E214" s="49" t="s">
        <v>48</v>
      </c>
      <c r="F214" s="534">
        <f>R.13QAImpName2</f>
        <v>0</v>
      </c>
      <c r="G214" s="542">
        <f>R.13QAImpHrs2</f>
        <v>0</v>
      </c>
      <c r="H214" s="543">
        <f>Table3[[#This Row],[Hrs Rank]]</f>
        <v>0</v>
      </c>
      <c r="I214" s="533">
        <f t="shared" si="22"/>
        <v>0</v>
      </c>
      <c r="J214" s="533">
        <f t="shared" si="23"/>
        <v>0</v>
      </c>
      <c r="K214" s="550"/>
      <c r="L214" s="550"/>
      <c r="M214" s="546" t="s">
        <v>198</v>
      </c>
      <c r="N214" s="546" t="s">
        <v>198</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GHGTemp</v>
      </c>
      <c r="C215" s="49" t="s">
        <v>235</v>
      </c>
      <c r="D215" s="531" t="s">
        <v>124</v>
      </c>
      <c r="E215" s="49" t="s">
        <v>48</v>
      </c>
      <c r="F215" s="534">
        <f>R.13QAImpName3</f>
        <v>0</v>
      </c>
      <c r="G215" s="542">
        <f>R.13QAImpHrs3</f>
        <v>0</v>
      </c>
      <c r="H215" s="543">
        <f>Table3[[#This Row],[Hrs Rank]]</f>
        <v>0</v>
      </c>
      <c r="I215" s="533">
        <f t="shared" si="22"/>
        <v>0</v>
      </c>
      <c r="J215" s="533">
        <f t="shared" si="23"/>
        <v>0</v>
      </c>
      <c r="K215" s="550"/>
      <c r="L215" s="550"/>
      <c r="M215" s="546" t="s">
        <v>198</v>
      </c>
      <c r="N215" s="546" t="s">
        <v>198</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GHGTemp</v>
      </c>
      <c r="C216" s="49" t="s">
        <v>235</v>
      </c>
      <c r="D216" s="531" t="s">
        <v>124</v>
      </c>
      <c r="E216" s="49" t="s">
        <v>48</v>
      </c>
      <c r="F216" s="534">
        <f>R.13QAImpName4</f>
        <v>0</v>
      </c>
      <c r="G216" s="542">
        <f>R.13QAImpHrs4</f>
        <v>0</v>
      </c>
      <c r="H216" s="543">
        <f>Table3[[#This Row],[Hrs Rank]]</f>
        <v>0</v>
      </c>
      <c r="I216" s="533">
        <f t="shared" si="22"/>
        <v>0</v>
      </c>
      <c r="J216" s="533">
        <f t="shared" si="23"/>
        <v>0</v>
      </c>
      <c r="K216" s="550"/>
      <c r="L216" s="550"/>
      <c r="M216" s="546" t="s">
        <v>198</v>
      </c>
      <c r="N216" s="546" t="s">
        <v>198</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GHGTemp</v>
      </c>
      <c r="C217" s="49" t="s">
        <v>236</v>
      </c>
      <c r="D217" s="531" t="s">
        <v>119</v>
      </c>
      <c r="E217" s="49" t="s">
        <v>49</v>
      </c>
      <c r="F217" s="534">
        <f>R.14LRAPADevName1</f>
        <v>0</v>
      </c>
      <c r="G217" s="542">
        <v>0</v>
      </c>
      <c r="H217" s="543">
        <f>Table3[[#This Row],[Hrs Rank]]</f>
        <v>0</v>
      </c>
      <c r="I217" s="533">
        <f t="shared" si="22"/>
        <v>0</v>
      </c>
      <c r="J217" s="533">
        <f t="shared" si="23"/>
        <v>0</v>
      </c>
      <c r="K217" s="550"/>
      <c r="L217" s="550"/>
      <c r="M217" s="546" t="s">
        <v>198</v>
      </c>
      <c r="N217" s="546" t="s">
        <v>198</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GHGTemp</v>
      </c>
      <c r="C218" s="49" t="s">
        <v>236</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198</v>
      </c>
      <c r="N218" s="546" t="s">
        <v>198</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GHGTemp</v>
      </c>
      <c r="C219" s="49" t="s">
        <v>236</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198</v>
      </c>
      <c r="N219" s="546" t="s">
        <v>198</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GHGTemp</v>
      </c>
      <c r="C220" s="49" t="s">
        <v>236</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198</v>
      </c>
      <c r="N220" s="546" t="s">
        <v>198</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GHGTemp</v>
      </c>
      <c r="C221" s="49" t="s">
        <v>236</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198</v>
      </c>
      <c r="N221" s="546" t="s">
        <v>198</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GHGTemp</v>
      </c>
      <c r="C222" s="49" t="s">
        <v>236</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198</v>
      </c>
      <c r="N222" s="546" t="s">
        <v>198</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GHGTemp</v>
      </c>
      <c r="C223" s="49" t="s">
        <v>236</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198</v>
      </c>
      <c r="N223" s="546" t="s">
        <v>198</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GHGTemp</v>
      </c>
      <c r="C224" s="49" t="s">
        <v>236</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198</v>
      </c>
      <c r="N224" s="546" t="s">
        <v>198</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GHGTemp</v>
      </c>
      <c r="C225" s="49" t="s">
        <v>236</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198</v>
      </c>
      <c r="N225" s="546" t="s">
        <v>198</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GHGTemp</v>
      </c>
      <c r="C226" s="49" t="s">
        <v>236</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198</v>
      </c>
      <c r="N226" s="546" t="s">
        <v>198</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GHGTemp</v>
      </c>
      <c r="C227" s="49" t="s">
        <v>236</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198</v>
      </c>
      <c r="N227" s="546" t="s">
        <v>198</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GHGTemp</v>
      </c>
      <c r="C228" s="49" t="s">
        <v>236</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198</v>
      </c>
      <c r="N228" s="546" t="s">
        <v>198</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GHGTemp</v>
      </c>
      <c r="C229" s="49" t="s">
        <v>236</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198</v>
      </c>
      <c r="N229" s="546" t="s">
        <v>198</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GHGTemp</v>
      </c>
      <c r="C230" s="49" t="s">
        <v>236</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198</v>
      </c>
      <c r="N230" s="546" t="s">
        <v>198</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GHGTemp</v>
      </c>
      <c r="C231" s="49" t="s">
        <v>236</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198</v>
      </c>
      <c r="N231" s="546" t="s">
        <v>198</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GHGTemp</v>
      </c>
      <c r="C232" s="49" t="s">
        <v>236</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198</v>
      </c>
      <c r="N232" s="546" t="s">
        <v>198</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GHGTemp</v>
      </c>
      <c r="C233" s="49" t="s">
        <v>236</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198</v>
      </c>
      <c r="N233" s="546" t="s">
        <v>198</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GHGTemp</v>
      </c>
      <c r="C234" s="49" t="s">
        <v>236</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198</v>
      </c>
      <c r="N234" s="546" t="s">
        <v>198</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GHGTemp</v>
      </c>
      <c r="C235" s="49" t="s">
        <v>236</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198</v>
      </c>
      <c r="N235" s="546" t="s">
        <v>198</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GHGTemp</v>
      </c>
      <c r="C236" s="49" t="s">
        <v>236</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198</v>
      </c>
      <c r="N236" s="546" t="s">
        <v>198</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GHGTemp</v>
      </c>
      <c r="C237" s="49" t="s">
        <v>236</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198</v>
      </c>
      <c r="N237" s="546" t="s">
        <v>198</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GHGTemp</v>
      </c>
      <c r="C238" s="49" t="s">
        <v>236</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198</v>
      </c>
      <c r="N238" s="546" t="s">
        <v>198</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GHGTemp</v>
      </c>
      <c r="C239" s="49" t="s">
        <v>236</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198</v>
      </c>
      <c r="N239" s="546" t="s">
        <v>198</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GHGTemp</v>
      </c>
      <c r="C240" s="49" t="s">
        <v>236</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198</v>
      </c>
      <c r="N240" s="546" t="s">
        <v>198</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GHGTemp</v>
      </c>
      <c r="C241" s="49" t="s">
        <v>236</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198</v>
      </c>
      <c r="N241" s="546" t="s">
        <v>198</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GHGTemp</v>
      </c>
      <c r="C242" s="49" t="s">
        <v>236</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198</v>
      </c>
      <c r="N242" s="546" t="s">
        <v>198</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GHGTemp</v>
      </c>
      <c r="C243" s="49" t="s">
        <v>236</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198</v>
      </c>
      <c r="N243" s="546" t="s">
        <v>198</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GHGTemp</v>
      </c>
      <c r="C244" s="49" t="s">
        <v>236</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198</v>
      </c>
      <c r="N244" s="546" t="s">
        <v>198</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GHGTemp</v>
      </c>
      <c r="C245" s="49" t="s">
        <v>236</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198</v>
      </c>
      <c r="N245" s="546" t="s">
        <v>198</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GHGTemp</v>
      </c>
      <c r="C246" s="49" t="s">
        <v>236</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198</v>
      </c>
      <c r="N246" s="546" t="s">
        <v>198</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GHGTemp</v>
      </c>
      <c r="C247" s="49" t="s">
        <v>236</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198</v>
      </c>
      <c r="N247" s="546" t="s">
        <v>198</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GHGTemp</v>
      </c>
      <c r="C248" s="49" t="s">
        <v>236</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198</v>
      </c>
      <c r="N248" s="546" t="s">
        <v>198</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GHGTemp</v>
      </c>
      <c r="C249" s="49" t="s">
        <v>236</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198</v>
      </c>
      <c r="N249" s="546" t="s">
        <v>198</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GHGTemp</v>
      </c>
      <c r="C250" s="49" t="s">
        <v>236</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198</v>
      </c>
      <c r="N250" s="546" t="s">
        <v>198</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GHGTemp</v>
      </c>
      <c r="C251" s="49" t="s">
        <v>236</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198</v>
      </c>
      <c r="N251" s="546" t="s">
        <v>198</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GHGTemp</v>
      </c>
      <c r="C252" s="49" t="s">
        <v>236</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198</v>
      </c>
      <c r="N252" s="546" t="s">
        <v>198</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GHGTemp</v>
      </c>
      <c r="C253" s="49" t="s">
        <v>236</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198</v>
      </c>
      <c r="N253" s="546" t="s">
        <v>198</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GHGTemp</v>
      </c>
      <c r="C254" s="49" t="s">
        <v>236</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198</v>
      </c>
      <c r="N254" s="546" t="s">
        <v>198</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GHGTemp</v>
      </c>
      <c r="C255" s="49" t="s">
        <v>236</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198</v>
      </c>
      <c r="N255" s="546" t="s">
        <v>198</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GHGTemp</v>
      </c>
      <c r="C256" s="49" t="s">
        <v>236</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198</v>
      </c>
      <c r="N256" s="546" t="s">
        <v>198</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GHGTemp</v>
      </c>
      <c r="C257" s="49" t="s">
        <v>236</v>
      </c>
      <c r="D257" s="531" t="s">
        <v>245</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198</v>
      </c>
      <c r="N257" s="546" t="s">
        <v>198</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GHGTemp</v>
      </c>
      <c r="C258" s="49" t="s">
        <v>236</v>
      </c>
      <c r="D258" s="531" t="s">
        <v>245</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198</v>
      </c>
      <c r="N258" s="546" t="s">
        <v>198</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GHGTemp</v>
      </c>
      <c r="C259" s="49" t="s">
        <v>236</v>
      </c>
      <c r="D259" s="531" t="s">
        <v>245</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198</v>
      </c>
      <c r="N259" s="546" t="s">
        <v>198</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GHGTemp</v>
      </c>
      <c r="C260" s="49" t="s">
        <v>236</v>
      </c>
      <c r="D260" s="531" t="s">
        <v>245</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198</v>
      </c>
      <c r="N260" s="546" t="s">
        <v>198</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GHGTemp</v>
      </c>
      <c r="C261" s="49" t="s">
        <v>236</v>
      </c>
      <c r="D261" s="531" t="s">
        <v>245</v>
      </c>
      <c r="E261" s="49" t="s">
        <v>48</v>
      </c>
      <c r="F261" s="534">
        <f>R.14TribeImpName1</f>
        <v>0</v>
      </c>
      <c r="G261" s="542">
        <f>R.14TribeImpHrs1</f>
        <v>0</v>
      </c>
      <c r="H261" s="543">
        <f>Table3[[#This Row],[Hrs Rank]]</f>
        <v>0</v>
      </c>
      <c r="I261" s="533">
        <f t="shared" si="28"/>
        <v>0</v>
      </c>
      <c r="J261" s="533">
        <f t="shared" si="29"/>
        <v>0</v>
      </c>
      <c r="K261" s="550"/>
      <c r="L261" s="550"/>
      <c r="M261" s="546" t="s">
        <v>198</v>
      </c>
      <c r="N261" s="546" t="s">
        <v>198</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GHGTemp</v>
      </c>
      <c r="C262" s="49" t="s">
        <v>236</v>
      </c>
      <c r="D262" s="531" t="s">
        <v>245</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198</v>
      </c>
      <c r="N262" s="546" t="s">
        <v>198</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GHGTemp</v>
      </c>
      <c r="C263" s="49" t="s">
        <v>236</v>
      </c>
      <c r="D263" s="531" t="s">
        <v>245</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198</v>
      </c>
      <c r="N263" s="546" t="s">
        <v>198</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GHGTemp</v>
      </c>
      <c r="C264" s="49" t="s">
        <v>236</v>
      </c>
      <c r="D264" s="531" t="s">
        <v>245</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198</v>
      </c>
      <c r="N264" s="546" t="s">
        <v>198</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GHGTemp</v>
      </c>
      <c r="C265" s="49" t="s">
        <v>237</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198</v>
      </c>
      <c r="N265" s="546" t="s">
        <v>198</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GHGTemp</v>
      </c>
      <c r="C266" s="49" t="s">
        <v>237</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198</v>
      </c>
      <c r="N266" s="546" t="s">
        <v>198</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GHGTemp</v>
      </c>
      <c r="C267" s="49" t="s">
        <v>237</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198</v>
      </c>
      <c r="N267" s="546" t="s">
        <v>198</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GHGTemp</v>
      </c>
      <c r="C268" s="49" t="s">
        <v>237</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198</v>
      </c>
      <c r="N268" s="546" t="s">
        <v>198</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GHGTemp</v>
      </c>
      <c r="C269" s="49" t="s">
        <v>237</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198</v>
      </c>
      <c r="N269" s="546" t="s">
        <v>198</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GHGTemp</v>
      </c>
      <c r="C270" s="49" t="s">
        <v>237</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198</v>
      </c>
      <c r="N270" s="546" t="s">
        <v>198</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GHGTemp</v>
      </c>
      <c r="C271" s="49" t="s">
        <v>237</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198</v>
      </c>
      <c r="N271" s="546" t="s">
        <v>198</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GHGTemp</v>
      </c>
      <c r="C272" s="49" t="s">
        <v>237</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198</v>
      </c>
      <c r="N272" s="546" t="s">
        <v>198</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GHGTemp</v>
      </c>
      <c r="C273" s="49" t="s">
        <v>237</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198</v>
      </c>
      <c r="N273" s="546" t="s">
        <v>198</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GHGTemp</v>
      </c>
      <c r="C274" s="49" t="s">
        <v>237</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198</v>
      </c>
      <c r="N274" s="546" t="s">
        <v>198</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GHGTemp</v>
      </c>
      <c r="C275" s="49" t="s">
        <v>237</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198</v>
      </c>
      <c r="N275" s="546" t="s">
        <v>198</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GHGTemp</v>
      </c>
      <c r="C276" s="49" t="s">
        <v>237</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198</v>
      </c>
      <c r="N276" s="546" t="s">
        <v>198</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GHGTemp</v>
      </c>
      <c r="C277" s="49" t="s">
        <v>237</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198</v>
      </c>
      <c r="N277" s="546" t="s">
        <v>198</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GHGTemp</v>
      </c>
      <c r="C278" s="49" t="s">
        <v>237</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198</v>
      </c>
      <c r="N278" s="546" t="s">
        <v>198</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GHGTemp</v>
      </c>
      <c r="C279" s="49" t="s">
        <v>237</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198</v>
      </c>
      <c r="N279" s="546" t="s">
        <v>198</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GHGTemp</v>
      </c>
      <c r="C280" s="49" t="s">
        <v>237</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198</v>
      </c>
      <c r="N280" s="546" t="s">
        <v>198</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GHGTemp</v>
      </c>
      <c r="C281" s="49" t="s">
        <v>237</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198</v>
      </c>
      <c r="N281" s="546" t="s">
        <v>198</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GHGTemp</v>
      </c>
      <c r="C282" s="49" t="s">
        <v>237</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198</v>
      </c>
      <c r="N282" s="546" t="s">
        <v>198</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GHGTemp</v>
      </c>
      <c r="C283" s="49" t="s">
        <v>237</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198</v>
      </c>
      <c r="N283" s="546" t="s">
        <v>198</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GHGTemp</v>
      </c>
      <c r="C284" s="49" t="s">
        <v>237</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198</v>
      </c>
      <c r="N284" s="546" t="s">
        <v>198</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GHGTemp</v>
      </c>
      <c r="C285" s="49" t="s">
        <v>237</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198</v>
      </c>
      <c r="N285" s="546" t="s">
        <v>198</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GHGTemp</v>
      </c>
      <c r="C286" s="49" t="s">
        <v>237</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198</v>
      </c>
      <c r="N286" s="546" t="s">
        <v>198</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GHGTemp</v>
      </c>
      <c r="C287" s="49" t="s">
        <v>237</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198</v>
      </c>
      <c r="N287" s="546" t="s">
        <v>198</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GHGTemp</v>
      </c>
      <c r="C288" s="49" t="s">
        <v>237</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198</v>
      </c>
      <c r="N288" s="546" t="s">
        <v>198</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GHGTemp</v>
      </c>
      <c r="C289" s="49" t="s">
        <v>237</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198</v>
      </c>
      <c r="N289" s="546" t="s">
        <v>198</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GHGTemp</v>
      </c>
      <c r="C290" s="49" t="s">
        <v>237</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198</v>
      </c>
      <c r="N290" s="546" t="s">
        <v>198</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GHGTemp</v>
      </c>
      <c r="C291" s="49" t="s">
        <v>237</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198</v>
      </c>
      <c r="N291" s="546" t="s">
        <v>198</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GHGTemp</v>
      </c>
      <c r="C292" s="49" t="s">
        <v>237</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198</v>
      </c>
      <c r="N292" s="546" t="s">
        <v>198</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GHGTemp</v>
      </c>
      <c r="C293" s="49" t="s">
        <v>237</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198</v>
      </c>
      <c r="N293" s="546" t="s">
        <v>198</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GHGTemp</v>
      </c>
      <c r="C294" s="49" t="s">
        <v>237</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198</v>
      </c>
      <c r="N294" s="546" t="s">
        <v>198</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GHGTemp</v>
      </c>
      <c r="C295" s="49" t="s">
        <v>237</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198</v>
      </c>
      <c r="N295" s="546" t="s">
        <v>198</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GHGTemp</v>
      </c>
      <c r="C296" s="49" t="s">
        <v>237</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198</v>
      </c>
      <c r="N296" s="546" t="s">
        <v>198</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59" zoomScaleNormal="100" workbookViewId="0">
      <selection activeCell="D19" sqref="D19"/>
    </sheetView>
  </sheetViews>
  <sheetFormatPr defaultColWidth="9" defaultRowHeight="20.399999999999999" outlineLevelRow="1" outlineLevelCol="1"/>
  <cols>
    <col min="1" max="1" width="13.69921875" style="329" customWidth="1"/>
    <col min="2" max="2" width="2.59765625" customWidth="1"/>
    <col min="3" max="3" width="2.59765625" style="43" customWidth="1"/>
    <col min="4" max="4" width="40.5" style="69" customWidth="1"/>
    <col min="5" max="5" width="15.69921875" style="69" customWidth="1"/>
    <col min="6" max="15" width="1.59765625" style="69" customWidth="1"/>
    <col min="16" max="16" width="15.69921875" style="69" customWidth="1"/>
    <col min="17" max="17" width="2.59765625" style="69" customWidth="1"/>
    <col min="18" max="18" width="2.59765625" style="63" customWidth="1"/>
    <col min="19" max="19" width="9" style="112" hidden="1" customWidth="1" outlineLevel="1"/>
    <col min="20" max="20" width="14.89843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097656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28" t="str">
        <f>R.1MediaAndLongName</f>
        <v xml:space="preserve">AQ  </v>
      </c>
      <c r="F2" s="728"/>
      <c r="G2" s="728"/>
      <c r="H2" s="728"/>
      <c r="I2" s="728"/>
      <c r="J2" s="728"/>
      <c r="K2" s="728"/>
      <c r="L2" s="728"/>
      <c r="M2" s="728"/>
      <c r="N2" s="728"/>
      <c r="O2" s="728"/>
      <c r="P2" s="728"/>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14" t="s">
        <v>53</v>
      </c>
      <c r="N3" s="714"/>
      <c r="O3" s="714"/>
      <c r="P3" s="714"/>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1</v>
      </c>
      <c r="F4" s="715" t="s">
        <v>50</v>
      </c>
      <c r="G4" s="715"/>
      <c r="H4" s="715"/>
      <c r="I4" s="715"/>
      <c r="J4" s="715"/>
      <c r="K4" s="715"/>
      <c r="L4" s="715"/>
      <c r="M4" s="716" t="str">
        <f>S5</f>
        <v>8-40</v>
      </c>
      <c r="N4" s="716"/>
      <c r="O4" s="716"/>
      <c r="P4" s="716"/>
      <c r="Q4" s="155"/>
      <c r="R4" s="333"/>
      <c r="S4" s="353">
        <f>COUNTIFS(S13:S55,"&gt;0")</f>
        <v>1</v>
      </c>
      <c r="T4" s="354">
        <f>SUM(T13:T55)</f>
        <v>8</v>
      </c>
      <c r="U4" s="354">
        <f>SUM(U13:U55)</f>
        <v>40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15" t="s">
        <v>54</v>
      </c>
      <c r="G5" s="715"/>
      <c r="H5" s="715"/>
      <c r="I5" s="715"/>
      <c r="J5" s="715"/>
      <c r="K5" s="715"/>
      <c r="L5" s="715"/>
      <c r="M5" s="717" t="str">
        <f>S6</f>
        <v>$672-3,360</v>
      </c>
      <c r="N5" s="717"/>
      <c r="O5" s="717"/>
      <c r="P5" s="717"/>
      <c r="Q5" s="155"/>
      <c r="R5" s="333"/>
      <c r="S5" s="121" t="str">
        <f>IF(R.7StaffCount=0,"0",IF(R.7LowHrs=0,"0-"&amp;TEXT(R.7HighHrs,"#,###"),TEXT(R.7LowHrs,"#,###")&amp;"-"&amp;TEXT(R.7HighHrs,"#,###")))</f>
        <v>8-40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$672-3,360</v>
      </c>
      <c r="T6" s="123">
        <f>T4*E5</f>
        <v>672</v>
      </c>
      <c r="U6" s="123">
        <f>U4*E5</f>
        <v>3360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44" t="s">
        <v>221</v>
      </c>
      <c r="E7" s="745"/>
      <c r="F7" s="745"/>
      <c r="G7" s="745"/>
      <c r="H7" s="745"/>
      <c r="I7" s="745"/>
      <c r="J7" s="745"/>
      <c r="K7" s="745"/>
      <c r="L7" s="745"/>
      <c r="M7" s="745"/>
      <c r="N7" s="745"/>
      <c r="O7" s="745"/>
      <c r="P7" s="746"/>
      <c r="Q7" s="155"/>
      <c r="R7" s="333"/>
      <c r="S7" s="495">
        <f>AVERAGEIF(S14:S56,"&gt;0")</f>
        <v>2</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03"/>
      <c r="E11" s="704"/>
      <c r="F11" s="704"/>
      <c r="G11" s="704"/>
      <c r="H11" s="704"/>
      <c r="I11" s="704"/>
      <c r="J11" s="704"/>
      <c r="K11" s="704"/>
      <c r="L11" s="704"/>
      <c r="M11" s="704"/>
      <c r="N11" s="704"/>
      <c r="O11" s="704"/>
      <c r="P11" s="705"/>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47" t="s">
        <v>15</v>
      </c>
      <c r="G12" s="747"/>
      <c r="H12" s="747"/>
      <c r="I12" s="747"/>
      <c r="J12" s="747"/>
      <c r="K12" s="747"/>
      <c r="L12" s="747"/>
      <c r="M12" s="747"/>
      <c r="N12" s="747"/>
      <c r="O12" s="747"/>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609"/>
      <c r="E13" s="29" t="s">
        <v>199</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1" t="s">
        <v>522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199</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199</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54"/>
      <c r="E18" s="755"/>
      <c r="F18" s="755"/>
      <c r="G18" s="755"/>
      <c r="H18" s="755"/>
      <c r="I18" s="755"/>
      <c r="J18" s="755"/>
      <c r="K18" s="755"/>
      <c r="L18" s="755"/>
      <c r="M18" s="755"/>
      <c r="N18" s="755"/>
      <c r="O18" s="755"/>
      <c r="P18" s="756"/>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199</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3"/>
      <c r="F24" s="753"/>
      <c r="G24" s="753"/>
      <c r="H24" s="753"/>
      <c r="I24" s="753"/>
      <c r="J24" s="753"/>
      <c r="K24" s="753"/>
      <c r="L24" s="753"/>
      <c r="M24" s="753"/>
      <c r="N24" s="753"/>
      <c r="O24" s="753"/>
      <c r="P24" s="753"/>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03"/>
      <c r="E27" s="704"/>
      <c r="F27" s="704"/>
      <c r="G27" s="704"/>
      <c r="H27" s="704"/>
      <c r="I27" s="704"/>
      <c r="J27" s="704"/>
      <c r="K27" s="704"/>
      <c r="L27" s="704"/>
      <c r="M27" s="704"/>
      <c r="N27" s="704"/>
      <c r="O27" s="704"/>
      <c r="P27" s="705"/>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199</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199</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54"/>
      <c r="E34" s="755"/>
      <c r="F34" s="755"/>
      <c r="G34" s="755"/>
      <c r="H34" s="755"/>
      <c r="I34" s="755"/>
      <c r="J34" s="755"/>
      <c r="K34" s="755"/>
      <c r="L34" s="755"/>
      <c r="M34" s="755"/>
      <c r="N34" s="755"/>
      <c r="O34" s="755"/>
      <c r="P34" s="756"/>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199</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199</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3"/>
      <c r="F40" s="753"/>
      <c r="G40" s="753"/>
      <c r="H40" s="753"/>
      <c r="I40" s="753"/>
      <c r="J40" s="753"/>
      <c r="K40" s="753"/>
      <c r="L40" s="753"/>
      <c r="M40" s="753"/>
      <c r="N40" s="753"/>
      <c r="O40" s="753"/>
      <c r="P40" s="753"/>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03" t="s">
        <v>0</v>
      </c>
      <c r="E43" s="704"/>
      <c r="F43" s="704"/>
      <c r="G43" s="704"/>
      <c r="H43" s="704"/>
      <c r="I43" s="704"/>
      <c r="J43" s="704"/>
      <c r="K43" s="704"/>
      <c r="L43" s="704"/>
      <c r="M43" s="704"/>
      <c r="N43" s="704"/>
      <c r="O43" s="704"/>
      <c r="P43" s="705"/>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47" t="s">
        <v>15</v>
      </c>
      <c r="G44" s="747"/>
      <c r="H44" s="747"/>
      <c r="I44" s="747"/>
      <c r="J44" s="747"/>
      <c r="K44" s="747"/>
      <c r="L44" s="747"/>
      <c r="M44" s="747"/>
      <c r="N44" s="747"/>
      <c r="O44" s="747"/>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611" t="s">
        <v>598</v>
      </c>
      <c r="E45" s="29" t="s">
        <v>202</v>
      </c>
      <c r="F45" s="70">
        <v>1</v>
      </c>
      <c r="G45" s="71">
        <v>2</v>
      </c>
      <c r="H45" s="72">
        <v>3</v>
      </c>
      <c r="I45" s="73">
        <v>4</v>
      </c>
      <c r="J45" s="74">
        <v>5</v>
      </c>
      <c r="K45" s="75">
        <v>6</v>
      </c>
      <c r="L45" s="76">
        <v>7</v>
      </c>
      <c r="M45" s="77">
        <v>8</v>
      </c>
      <c r="N45" s="78">
        <v>9</v>
      </c>
      <c r="O45" s="79">
        <v>10</v>
      </c>
      <c r="P45" s="31" t="s">
        <v>0</v>
      </c>
      <c r="Q45" s="138"/>
      <c r="R45" s="333"/>
      <c r="S45" s="132">
        <f>VLOOKUP($E45,R.VL_DEQResourcesInvolved,2,FALSE)</f>
        <v>2</v>
      </c>
      <c r="T45" s="120">
        <f>VLOOKUP($E45,R.VL_DEQResourcesInvolved,3,FALSE)</f>
        <v>8</v>
      </c>
      <c r="U45" s="120">
        <f>IF(S45=10,T45,VLOOKUP($E45,R.VL_DEQResourcesInvolved,4,FALSE))</f>
        <v>40</v>
      </c>
      <c r="V45" s="571" t="s">
        <v>522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54" t="s">
        <v>0</v>
      </c>
      <c r="E50" s="755"/>
      <c r="F50" s="755"/>
      <c r="G50" s="755"/>
      <c r="H50" s="755"/>
      <c r="I50" s="755"/>
      <c r="J50" s="755"/>
      <c r="K50" s="755"/>
      <c r="L50" s="755"/>
      <c r="M50" s="755"/>
      <c r="N50" s="755"/>
      <c r="O50" s="755"/>
      <c r="P50" s="756"/>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2"/>
      <c r="F56" s="752"/>
      <c r="G56" s="752"/>
      <c r="H56" s="752"/>
      <c r="I56" s="752"/>
      <c r="J56" s="752"/>
      <c r="K56" s="752"/>
      <c r="L56" s="752"/>
      <c r="M56" s="752"/>
      <c r="N56" s="752"/>
      <c r="O56" s="752"/>
      <c r="P56" s="752"/>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7" t="str">
        <f>"Please suggest process improvements to the "&amp;D2&amp;" worksheet."</f>
        <v>Please suggest process improvements to the Regions worksheet.</v>
      </c>
      <c r="E57" s="757"/>
      <c r="F57" s="757"/>
      <c r="G57" s="757"/>
      <c r="H57" s="757"/>
      <c r="I57" s="757"/>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44"/>
      <c r="E58" s="645"/>
      <c r="F58" s="645"/>
      <c r="G58" s="645"/>
      <c r="H58" s="645"/>
      <c r="I58" s="645"/>
      <c r="J58" s="645"/>
      <c r="K58" s="645"/>
      <c r="L58" s="645"/>
      <c r="M58" s="645"/>
      <c r="N58" s="645"/>
      <c r="O58" s="645"/>
      <c r="P58" s="646"/>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54" zoomScaleNormal="100" workbookViewId="0">
      <selection activeCell="V15" sqref="V15"/>
    </sheetView>
  </sheetViews>
  <sheetFormatPr defaultColWidth="9" defaultRowHeight="20.399999999999999" outlineLevelRow="1" outlineLevelCol="1"/>
  <cols>
    <col min="1" max="1" width="13.69921875" style="309" customWidth="1"/>
    <col min="2" max="2" width="2.59765625" customWidth="1"/>
    <col min="3" max="3" width="2.59765625" style="43" customWidth="1"/>
    <col min="4" max="4" width="40.5" style="55" customWidth="1"/>
    <col min="5" max="5" width="15.69921875" style="55" customWidth="1"/>
    <col min="6" max="15" width="1.59765625" style="55" customWidth="1"/>
    <col min="16" max="16" width="15.69921875" style="55" customWidth="1"/>
    <col min="17" max="17" width="2.59765625" style="55"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13" t="str">
        <f>R.1MediaAndLongName</f>
        <v xml:space="preserve">AQ  </v>
      </c>
      <c r="F2" s="713"/>
      <c r="G2" s="713"/>
      <c r="H2" s="713"/>
      <c r="I2" s="713"/>
      <c r="J2" s="713"/>
      <c r="K2" s="713"/>
      <c r="L2" s="713"/>
      <c r="M2" s="713"/>
      <c r="N2" s="713"/>
      <c r="O2" s="713"/>
      <c r="P2" s="713"/>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14" t="s">
        <v>53</v>
      </c>
      <c r="N3" s="714"/>
      <c r="O3" s="714"/>
      <c r="P3" s="714"/>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15" t="s">
        <v>50</v>
      </c>
      <c r="G4" s="715"/>
      <c r="H4" s="715"/>
      <c r="I4" s="715"/>
      <c r="J4" s="715"/>
      <c r="K4" s="715"/>
      <c r="L4" s="715"/>
      <c r="M4" s="716" t="str">
        <f>S5</f>
        <v>0</v>
      </c>
      <c r="N4" s="716"/>
      <c r="O4" s="716"/>
      <c r="P4" s="716"/>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15" t="s">
        <v>54</v>
      </c>
      <c r="G5" s="715"/>
      <c r="H5" s="715"/>
      <c r="I5" s="715"/>
      <c r="J5" s="715"/>
      <c r="K5" s="715"/>
      <c r="L5" s="715"/>
      <c r="M5" s="717" t="str">
        <f>S6</f>
        <v>$0</v>
      </c>
      <c r="N5" s="717"/>
      <c r="O5" s="717"/>
      <c r="P5" s="717"/>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8" t="s">
        <v>157</v>
      </c>
      <c r="E6" s="758"/>
      <c r="F6" s="758"/>
      <c r="G6" s="758"/>
      <c r="H6" s="758"/>
      <c r="I6" s="758"/>
      <c r="J6" s="758"/>
      <c r="K6" s="758"/>
      <c r="L6" s="758"/>
      <c r="M6" s="758"/>
      <c r="N6" s="758"/>
      <c r="O6" s="758"/>
      <c r="P6" s="758"/>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44" t="s">
        <v>215</v>
      </c>
      <c r="E7" s="745"/>
      <c r="F7" s="745"/>
      <c r="G7" s="745"/>
      <c r="H7" s="745"/>
      <c r="I7" s="745"/>
      <c r="J7" s="745"/>
      <c r="K7" s="745"/>
      <c r="L7" s="745"/>
      <c r="M7" s="745"/>
      <c r="N7" s="745"/>
      <c r="O7" s="745"/>
      <c r="P7" s="746"/>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62" t="s">
        <v>159</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27"/>
      <c r="T10" s="727"/>
      <c r="U10" s="727"/>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4" t="s">
        <v>158</v>
      </c>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47" t="s">
        <v>15</v>
      </c>
      <c r="G14" s="747"/>
      <c r="H14" s="747"/>
      <c r="I14" s="747"/>
      <c r="J14" s="747"/>
      <c r="K14" s="747"/>
      <c r="L14" s="747"/>
      <c r="M14" s="747"/>
      <c r="N14" s="747"/>
      <c r="O14" s="747"/>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20.25" hidden="1" customHeight="1" outlineLevel="1">
      <c r="A16" s="316"/>
      <c r="B16" s="333"/>
      <c r="C16" s="137"/>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48"/>
      <c r="E20" s="749"/>
      <c r="F20" s="749"/>
      <c r="G20" s="749"/>
      <c r="H20" s="749"/>
      <c r="I20" s="749"/>
      <c r="J20" s="749"/>
      <c r="K20" s="749"/>
      <c r="L20" s="749"/>
      <c r="M20" s="749"/>
      <c r="N20" s="749"/>
      <c r="O20" s="749"/>
      <c r="P20" s="750"/>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4" t="s">
        <v>0</v>
      </c>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20.25" hidden="1" customHeight="1" outlineLevel="1">
      <c r="A32" s="3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37"/>
      <c r="E36" s="738"/>
      <c r="F36" s="738"/>
      <c r="G36" s="738"/>
      <c r="H36" s="738"/>
      <c r="I36" s="738"/>
      <c r="J36" s="738"/>
      <c r="K36" s="738"/>
      <c r="L36" s="738"/>
      <c r="M36" s="738"/>
      <c r="N36" s="738"/>
      <c r="O36" s="738"/>
      <c r="P36" s="739"/>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588</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4"/>
      <c r="E45" s="735"/>
      <c r="F45" s="735"/>
      <c r="G45" s="735"/>
      <c r="H45" s="735"/>
      <c r="I45" s="735"/>
      <c r="J45" s="735"/>
      <c r="K45" s="735"/>
      <c r="L45" s="735"/>
      <c r="M45" s="735"/>
      <c r="N45" s="735"/>
      <c r="O45" s="735"/>
      <c r="P45" s="736"/>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47" t="s">
        <v>15</v>
      </c>
      <c r="G46" s="747"/>
      <c r="H46" s="747"/>
      <c r="I46" s="747"/>
      <c r="J46" s="747"/>
      <c r="K46" s="747"/>
      <c r="L46" s="747"/>
      <c r="M46" s="747"/>
      <c r="N46" s="747"/>
      <c r="O46" s="747"/>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20.25" hidden="1" customHeight="1" outlineLevel="1">
      <c r="A48" s="3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48"/>
      <c r="E52" s="749"/>
      <c r="F52" s="749"/>
      <c r="G52" s="749"/>
      <c r="H52" s="749"/>
      <c r="I52" s="749"/>
      <c r="J52" s="749"/>
      <c r="K52" s="749"/>
      <c r="L52" s="749"/>
      <c r="M52" s="749"/>
      <c r="N52" s="749"/>
      <c r="O52" s="749"/>
      <c r="P52" s="750"/>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6"/>
      <c r="B55" s="333"/>
      <c r="C55" s="137"/>
      <c r="D55" s="35"/>
      <c r="E55" s="29" t="s">
        <v>199</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47" t="str">
        <f>"Please suggest process improvements to the "&amp;D2&amp;" worksheet."</f>
        <v>Please suggest process improvements to the Financial Services worksheet.</v>
      </c>
      <c r="E59" s="647"/>
      <c r="F59" s="647"/>
      <c r="G59" s="647"/>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44"/>
      <c r="E60" s="645"/>
      <c r="F60" s="645"/>
      <c r="G60" s="645"/>
      <c r="H60" s="645"/>
      <c r="I60" s="645"/>
      <c r="J60" s="645"/>
      <c r="K60" s="645"/>
      <c r="L60" s="645"/>
      <c r="M60" s="645"/>
      <c r="N60" s="645"/>
      <c r="O60" s="645"/>
      <c r="P60" s="646"/>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P31" sqref="P31"/>
    </sheetView>
  </sheetViews>
  <sheetFormatPr defaultColWidth="9" defaultRowHeight="20.399999999999999" outlineLevelRow="1" outlineLevelCol="1"/>
  <cols>
    <col min="1" max="1" width="14.3984375" style="311" customWidth="1"/>
    <col min="2" max="2" width="2.59765625" customWidth="1"/>
    <col min="3" max="3" width="2.59765625" style="43" customWidth="1"/>
    <col min="4" max="4" width="40.5" style="101" customWidth="1"/>
    <col min="5" max="5" width="15.69921875" style="101" customWidth="1"/>
    <col min="6" max="15" width="1.59765625" style="101" customWidth="1"/>
    <col min="16" max="16" width="15.69921875" style="101" customWidth="1"/>
    <col min="17" max="17" width="2.59765625" style="101"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28" t="str">
        <f>R.1MediaAndLongName</f>
        <v xml:space="preserve">AQ  </v>
      </c>
      <c r="F2" s="728"/>
      <c r="G2" s="728"/>
      <c r="H2" s="728"/>
      <c r="I2" s="728"/>
      <c r="J2" s="728"/>
      <c r="K2" s="728"/>
      <c r="L2" s="728"/>
      <c r="M2" s="728"/>
      <c r="N2" s="728"/>
      <c r="O2" s="728"/>
      <c r="P2" s="728"/>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14" t="s">
        <v>53</v>
      </c>
      <c r="N3" s="714"/>
      <c r="O3" s="714"/>
      <c r="P3" s="714"/>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2</v>
      </c>
      <c r="F4" s="715" t="s">
        <v>50</v>
      </c>
      <c r="G4" s="715"/>
      <c r="H4" s="715"/>
      <c r="I4" s="715"/>
      <c r="J4" s="715"/>
      <c r="K4" s="715"/>
      <c r="L4" s="715"/>
      <c r="M4" s="716" t="str">
        <f>S5</f>
        <v>2-16</v>
      </c>
      <c r="N4" s="716"/>
      <c r="O4" s="716"/>
      <c r="P4" s="716"/>
      <c r="Q4" s="155"/>
      <c r="R4" s="333"/>
      <c r="S4" s="353">
        <f>COUNTIFS(S15:S57,"&gt;0")</f>
        <v>2</v>
      </c>
      <c r="T4" s="354">
        <f>SUM(T15:T57)</f>
        <v>2</v>
      </c>
      <c r="U4" s="354">
        <f>SUM(U15:U57)</f>
        <v>16</v>
      </c>
      <c r="V4" s="119"/>
      <c r="W4" s="63"/>
      <c r="X4" s="63"/>
      <c r="Y4" s="63"/>
      <c r="Z4" s="63"/>
      <c r="AA4" s="63"/>
      <c r="AB4" s="63"/>
      <c r="AC4" s="63"/>
      <c r="AD4" s="65"/>
      <c r="AE4" s="65"/>
      <c r="AF4" s="65"/>
    </row>
    <row r="5" spans="1:33" s="6" customFormat="1" ht="20.25" customHeight="1">
      <c r="A5" s="318"/>
      <c r="B5" s="333"/>
      <c r="C5" s="154"/>
      <c r="D5" s="493" t="s">
        <v>62</v>
      </c>
      <c r="E5" s="97">
        <f>R.AvgHrDEQCost</f>
        <v>84</v>
      </c>
      <c r="F5" s="715" t="s">
        <v>54</v>
      </c>
      <c r="G5" s="715"/>
      <c r="H5" s="715"/>
      <c r="I5" s="715"/>
      <c r="J5" s="715"/>
      <c r="K5" s="715"/>
      <c r="L5" s="715"/>
      <c r="M5" s="717" t="str">
        <f>S6</f>
        <v>$168-1,344</v>
      </c>
      <c r="N5" s="717"/>
      <c r="O5" s="717"/>
      <c r="P5" s="717"/>
      <c r="Q5" s="155"/>
      <c r="R5" s="333"/>
      <c r="S5" s="121" t="str">
        <f>IF(R.9StaffCount=0,"0",IF(R.9LowHrs=0,"0-"&amp;TEXT(R.9HighHrs,"#,###"),TEXT(R.9LowHrs,"#,###")&amp;"-"&amp;TEXT(R.9HighHrs,"#,###")))</f>
        <v>2-16</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$168-1,344</v>
      </c>
      <c r="T6" s="354">
        <f>T4*E5</f>
        <v>168</v>
      </c>
      <c r="U6" s="354">
        <f>U4*E5</f>
        <v>1344</v>
      </c>
      <c r="V6" s="119"/>
      <c r="W6" s="63"/>
      <c r="X6" s="63"/>
      <c r="Y6" s="63"/>
      <c r="Z6" s="63"/>
      <c r="AA6" s="63"/>
      <c r="AB6" s="63"/>
      <c r="AC6" s="63"/>
      <c r="AD6" s="65"/>
      <c r="AE6" s="65"/>
      <c r="AF6" s="65"/>
    </row>
    <row r="7" spans="1:33" s="6" customFormat="1" ht="105" customHeight="1">
      <c r="A7" s="315"/>
      <c r="B7" s="333"/>
      <c r="C7" s="154"/>
      <c r="D7" s="744" t="s">
        <v>216</v>
      </c>
      <c r="E7" s="745"/>
      <c r="F7" s="745"/>
      <c r="G7" s="745"/>
      <c r="H7" s="745"/>
      <c r="I7" s="745"/>
      <c r="J7" s="745"/>
      <c r="K7" s="745"/>
      <c r="L7" s="745"/>
      <c r="M7" s="745"/>
      <c r="N7" s="745"/>
      <c r="O7" s="745"/>
      <c r="P7" s="746"/>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62" t="s">
        <v>494</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27" t="s">
        <v>0</v>
      </c>
      <c r="T10" s="727"/>
      <c r="U10" s="727"/>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37" t="s">
        <v>0</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47" t="s">
        <v>15</v>
      </c>
      <c r="G14" s="747"/>
      <c r="H14" s="747"/>
      <c r="I14" s="747"/>
      <c r="J14" s="747"/>
      <c r="K14" s="747"/>
      <c r="L14" s="747"/>
      <c r="M14" s="747"/>
      <c r="N14" s="747"/>
      <c r="O14" s="747"/>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customHeight="1">
      <c r="A16" s="319"/>
      <c r="B16" s="333"/>
      <c r="C16" s="137"/>
      <c r="D16" s="463" t="s">
        <v>0</v>
      </c>
      <c r="E16" s="29" t="s">
        <v>199</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20.25" hidden="1" customHeight="1" outlineLevel="1">
      <c r="A17" s="319"/>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48"/>
      <c r="E20" s="749"/>
      <c r="F20" s="749"/>
      <c r="G20" s="749"/>
      <c r="H20" s="749"/>
      <c r="I20" s="749"/>
      <c r="J20" s="749"/>
      <c r="K20" s="749"/>
      <c r="L20" s="749"/>
      <c r="M20" s="749"/>
      <c r="N20" s="749"/>
      <c r="O20" s="749"/>
      <c r="P20" s="750"/>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9"/>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199</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4"/>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586</v>
      </c>
      <c r="E31" s="29" t="s">
        <v>201</v>
      </c>
      <c r="F31" s="70">
        <v>1</v>
      </c>
      <c r="G31" s="71">
        <v>2</v>
      </c>
      <c r="H31" s="72">
        <v>3</v>
      </c>
      <c r="I31" s="73">
        <v>4</v>
      </c>
      <c r="J31" s="74">
        <v>5</v>
      </c>
      <c r="K31" s="75">
        <v>6</v>
      </c>
      <c r="L31" s="76">
        <v>7</v>
      </c>
      <c r="M31" s="77">
        <v>8</v>
      </c>
      <c r="N31" s="78">
        <v>9</v>
      </c>
      <c r="O31" s="79">
        <v>10</v>
      </c>
      <c r="P31" s="31" t="s">
        <v>11</v>
      </c>
      <c r="Q31" s="138"/>
      <c r="R31" s="333"/>
      <c r="S31" s="132">
        <f>VLOOKUP($E31,R.VL_DEQResourcesInvolved,2,FALSE)</f>
        <v>1</v>
      </c>
      <c r="T31" s="120">
        <f>VLOOKUP($E31,R.VL_DEQResourcesInvolved,3,FALSE)</f>
        <v>1</v>
      </c>
      <c r="U31" s="120">
        <f>IF(S31=10,T31,VLOOKUP($E31,R.VL_DEQResourcesInvolved,4,FALSE))</f>
        <v>8</v>
      </c>
      <c r="V31" s="571" t="s">
        <v>522</v>
      </c>
      <c r="W31" s="63"/>
      <c r="X31" s="63"/>
      <c r="Y31" s="63"/>
      <c r="Z31" s="63"/>
      <c r="AA31" s="63"/>
      <c r="AB31" s="63"/>
      <c r="AC31" s="63"/>
      <c r="AD31" s="129"/>
      <c r="AE31" s="129"/>
      <c r="AF31" s="129"/>
    </row>
    <row r="32" spans="1:32" s="27" customFormat="1" ht="20.25" hidden="1" customHeight="1" outlineLevel="1">
      <c r="A32" s="319"/>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37" t="s">
        <v>0</v>
      </c>
      <c r="E36" s="738"/>
      <c r="F36" s="738"/>
      <c r="G36" s="738"/>
      <c r="H36" s="738"/>
      <c r="I36" s="738"/>
      <c r="J36" s="738"/>
      <c r="K36" s="738"/>
      <c r="L36" s="738"/>
      <c r="M36" s="738"/>
      <c r="N36" s="738"/>
      <c r="O36" s="738"/>
      <c r="P36" s="739"/>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199</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9"/>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37" t="s">
        <v>143</v>
      </c>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47" t="s">
        <v>15</v>
      </c>
      <c r="G46" s="747"/>
      <c r="H46" s="747"/>
      <c r="I46" s="747"/>
      <c r="J46" s="747"/>
      <c r="K46" s="747"/>
      <c r="L46" s="747"/>
      <c r="M46" s="747"/>
      <c r="N46" s="747"/>
      <c r="O46" s="747"/>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587</v>
      </c>
      <c r="E47" s="29" t="s">
        <v>201</v>
      </c>
      <c r="F47" s="70">
        <v>1</v>
      </c>
      <c r="G47" s="71">
        <v>2</v>
      </c>
      <c r="H47" s="72">
        <v>3</v>
      </c>
      <c r="I47" s="73">
        <v>4</v>
      </c>
      <c r="J47" s="74">
        <v>5</v>
      </c>
      <c r="K47" s="75">
        <v>6</v>
      </c>
      <c r="L47" s="76">
        <v>7</v>
      </c>
      <c r="M47" s="77">
        <v>8</v>
      </c>
      <c r="N47" s="78">
        <v>9</v>
      </c>
      <c r="O47" s="79">
        <v>10</v>
      </c>
      <c r="P47" s="31" t="s">
        <v>11</v>
      </c>
      <c r="Q47" s="138"/>
      <c r="R47" s="333"/>
      <c r="S47" s="132">
        <f>VLOOKUP($E47,R.VL_DEQResourcesInvolved,2,FALSE)</f>
        <v>1</v>
      </c>
      <c r="T47" s="120">
        <f>VLOOKUP($E47,R.VL_DEQResourcesInvolved,3,FALSE)</f>
        <v>1</v>
      </c>
      <c r="U47" s="120">
        <f>IF(S47=10,T47,VLOOKUP($E47,R.VL_DEQResourcesInvolved,4,FALSE))</f>
        <v>8</v>
      </c>
      <c r="V47" s="571" t="s">
        <v>522</v>
      </c>
      <c r="W47" s="63"/>
      <c r="X47" s="63"/>
      <c r="Y47" s="63"/>
      <c r="Z47" s="63"/>
      <c r="AA47" s="63"/>
      <c r="AB47" s="63"/>
      <c r="AC47" s="63"/>
      <c r="AD47" s="129"/>
      <c r="AE47" s="129"/>
      <c r="AF47" s="129"/>
    </row>
    <row r="48" spans="1:32" s="27" customFormat="1" ht="20.25" hidden="1" customHeight="1" outlineLevel="1">
      <c r="A48" s="319"/>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48" t="s">
        <v>0</v>
      </c>
      <c r="E52" s="749"/>
      <c r="F52" s="749"/>
      <c r="G52" s="749"/>
      <c r="H52" s="749"/>
      <c r="I52" s="749"/>
      <c r="J52" s="749"/>
      <c r="K52" s="749"/>
      <c r="L52" s="749"/>
      <c r="M52" s="749"/>
      <c r="N52" s="749"/>
      <c r="O52" s="749"/>
      <c r="P52" s="750"/>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199</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9"/>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47" t="str">
        <f>"Please suggest process improvements to the "&amp;D2&amp;" worksheet."</f>
        <v>Please suggest process improvements to the Communications and Outreach worksheet.</v>
      </c>
      <c r="E59" s="647"/>
      <c r="F59" s="647"/>
      <c r="G59" s="647"/>
      <c r="H59" s="647"/>
      <c r="I59" s="647"/>
      <c r="J59" s="647"/>
      <c r="K59" s="647"/>
      <c r="L59" s="647"/>
      <c r="M59" s="647"/>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44"/>
      <c r="E60" s="645"/>
      <c r="F60" s="645"/>
      <c r="G60" s="645"/>
      <c r="H60" s="645"/>
      <c r="I60" s="645"/>
      <c r="J60" s="645"/>
      <c r="K60" s="645"/>
      <c r="L60" s="645"/>
      <c r="M60" s="645"/>
      <c r="N60" s="645"/>
      <c r="O60" s="645"/>
      <c r="P60" s="646"/>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3.8">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 zoomScaleNormal="100" workbookViewId="0">
      <selection activeCell="D2" sqref="D2"/>
    </sheetView>
  </sheetViews>
  <sheetFormatPr defaultColWidth="9" defaultRowHeight="20.399999999999999" outlineLevelRow="1" outlineLevelCol="1"/>
  <cols>
    <col min="1" max="1" width="13.69921875" style="311" customWidth="1"/>
    <col min="2" max="2" width="3.59765625" customWidth="1"/>
    <col min="3" max="3" width="3.59765625" style="43" customWidth="1"/>
    <col min="4" max="4" width="40.5" style="103" customWidth="1"/>
    <col min="5" max="5" width="15.69921875" style="103" customWidth="1"/>
    <col min="6" max="15" width="1.59765625" style="103" customWidth="1"/>
    <col min="16" max="16" width="15.69921875" style="103" customWidth="1"/>
    <col min="17" max="17" width="3.59765625" style="103"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3" width="31.097656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28" t="str">
        <f>R.1MediaAndLongName</f>
        <v xml:space="preserve">AQ  </v>
      </c>
      <c r="F2" s="728"/>
      <c r="G2" s="728"/>
      <c r="H2" s="728"/>
      <c r="I2" s="728"/>
      <c r="J2" s="728"/>
      <c r="K2" s="728"/>
      <c r="L2" s="728"/>
      <c r="M2" s="728"/>
      <c r="N2" s="728"/>
      <c r="O2" s="728"/>
      <c r="P2" s="728"/>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14" t="s">
        <v>53</v>
      </c>
      <c r="N3" s="714"/>
      <c r="O3" s="714"/>
      <c r="P3" s="714"/>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15" t="s">
        <v>50</v>
      </c>
      <c r="G4" s="715"/>
      <c r="H4" s="715"/>
      <c r="I4" s="715"/>
      <c r="J4" s="715"/>
      <c r="K4" s="715"/>
      <c r="L4" s="715"/>
      <c r="M4" s="716" t="str">
        <f>S4</f>
        <v>0</v>
      </c>
      <c r="N4" s="716"/>
      <c r="O4" s="716"/>
      <c r="P4" s="716"/>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15" t="s">
        <v>54</v>
      </c>
      <c r="G5" s="715"/>
      <c r="H5" s="715"/>
      <c r="I5" s="715"/>
      <c r="J5" s="715"/>
      <c r="K5" s="715"/>
      <c r="L5" s="715"/>
      <c r="M5" s="717" t="str">
        <f>S5</f>
        <v>$0</v>
      </c>
      <c r="N5" s="717"/>
      <c r="O5" s="717"/>
      <c r="P5" s="717"/>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44" t="s">
        <v>217</v>
      </c>
      <c r="E7" s="745"/>
      <c r="F7" s="745"/>
      <c r="G7" s="745"/>
      <c r="H7" s="745"/>
      <c r="I7" s="745"/>
      <c r="J7" s="745"/>
      <c r="K7" s="745"/>
      <c r="L7" s="745"/>
      <c r="M7" s="745"/>
      <c r="N7" s="745"/>
      <c r="O7" s="745"/>
      <c r="P7" s="74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492</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4"/>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47" t="s">
        <v>15</v>
      </c>
      <c r="G14" s="747"/>
      <c r="H14" s="747"/>
      <c r="I14" s="747"/>
      <c r="J14" s="747"/>
      <c r="K14" s="747"/>
      <c r="L14" s="747"/>
      <c r="M14" s="747"/>
      <c r="N14" s="747"/>
      <c r="O14" s="747"/>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48"/>
      <c r="E20" s="749"/>
      <c r="F20" s="749"/>
      <c r="G20" s="749"/>
      <c r="H20" s="749"/>
      <c r="I20" s="749"/>
      <c r="J20" s="749"/>
      <c r="K20" s="749"/>
      <c r="L20" s="749"/>
      <c r="M20" s="749"/>
      <c r="N20" s="749"/>
      <c r="O20" s="749"/>
      <c r="P20" s="750"/>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3"/>
      <c r="F26" s="753"/>
      <c r="G26" s="753"/>
      <c r="H26" s="753"/>
      <c r="I26" s="753"/>
      <c r="J26" s="753"/>
      <c r="K26" s="753"/>
      <c r="L26" s="753"/>
      <c r="M26" s="753"/>
      <c r="N26" s="753"/>
      <c r="O26" s="753"/>
      <c r="P26" s="753"/>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4"/>
      <c r="E29" s="735"/>
      <c r="F29" s="735"/>
      <c r="G29" s="735"/>
      <c r="H29" s="735"/>
      <c r="I29" s="735"/>
      <c r="J29" s="735"/>
      <c r="K29" s="735"/>
      <c r="L29" s="735"/>
      <c r="M29" s="735"/>
      <c r="N29" s="735"/>
      <c r="O29" s="735"/>
      <c r="P29" s="736"/>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37"/>
      <c r="E36" s="738"/>
      <c r="F36" s="738"/>
      <c r="G36" s="738"/>
      <c r="H36" s="738"/>
      <c r="I36" s="738"/>
      <c r="J36" s="738"/>
      <c r="K36" s="738"/>
      <c r="L36" s="738"/>
      <c r="M36" s="738"/>
      <c r="N36" s="738"/>
      <c r="O36" s="738"/>
      <c r="P36" s="739"/>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3"/>
      <c r="F42" s="753"/>
      <c r="G42" s="753"/>
      <c r="H42" s="753"/>
      <c r="I42" s="753"/>
      <c r="J42" s="753"/>
      <c r="K42" s="753"/>
      <c r="L42" s="753"/>
      <c r="M42" s="753"/>
      <c r="N42" s="753"/>
      <c r="O42" s="753"/>
      <c r="P42" s="753"/>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4"/>
      <c r="E45" s="735"/>
      <c r="F45" s="735"/>
      <c r="G45" s="735"/>
      <c r="H45" s="735"/>
      <c r="I45" s="735"/>
      <c r="J45" s="735"/>
      <c r="K45" s="735"/>
      <c r="L45" s="735"/>
      <c r="M45" s="735"/>
      <c r="N45" s="735"/>
      <c r="O45" s="735"/>
      <c r="P45" s="736"/>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47" t="s">
        <v>15</v>
      </c>
      <c r="G46" s="747"/>
      <c r="H46" s="747"/>
      <c r="I46" s="747"/>
      <c r="J46" s="747"/>
      <c r="K46" s="747"/>
      <c r="L46" s="747"/>
      <c r="M46" s="747"/>
      <c r="N46" s="747"/>
      <c r="O46" s="747"/>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48"/>
      <c r="E52" s="749"/>
      <c r="F52" s="749"/>
      <c r="G52" s="749"/>
      <c r="H52" s="749"/>
      <c r="I52" s="749"/>
      <c r="J52" s="749"/>
      <c r="K52" s="749"/>
      <c r="L52" s="749"/>
      <c r="M52" s="749"/>
      <c r="N52" s="749"/>
      <c r="O52" s="749"/>
      <c r="P52" s="750"/>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199</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3"/>
      <c r="F58" s="753"/>
      <c r="G58" s="753"/>
      <c r="H58" s="753"/>
      <c r="I58" s="753"/>
      <c r="J58" s="753"/>
      <c r="K58" s="753"/>
      <c r="L58" s="753"/>
      <c r="M58" s="753"/>
      <c r="N58" s="753"/>
      <c r="O58" s="753"/>
      <c r="P58" s="753"/>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4"/>
      <c r="E61" s="735"/>
      <c r="F61" s="735"/>
      <c r="G61" s="735"/>
      <c r="H61" s="735"/>
      <c r="I61" s="735"/>
      <c r="J61" s="735"/>
      <c r="K61" s="735"/>
      <c r="L61" s="735"/>
      <c r="M61" s="735"/>
      <c r="N61" s="735"/>
      <c r="O61" s="735"/>
      <c r="P61" s="736"/>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3" t="s">
        <v>15</v>
      </c>
      <c r="G62" s="763"/>
      <c r="H62" s="763"/>
      <c r="I62" s="763"/>
      <c r="J62" s="763"/>
      <c r="K62" s="763"/>
      <c r="L62" s="763"/>
      <c r="M62" s="763"/>
      <c r="N62" s="763"/>
      <c r="O62" s="763"/>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199</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37" t="s">
        <v>0</v>
      </c>
      <c r="E68" s="738"/>
      <c r="F68" s="738"/>
      <c r="G68" s="738"/>
      <c r="H68" s="738"/>
      <c r="I68" s="738"/>
      <c r="J68" s="738"/>
      <c r="K68" s="738"/>
      <c r="L68" s="738"/>
      <c r="M68" s="738"/>
      <c r="N68" s="738"/>
      <c r="O68" s="738"/>
      <c r="P68" s="739"/>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3" t="s">
        <v>15</v>
      </c>
      <c r="G69" s="763"/>
      <c r="H69" s="763"/>
      <c r="I69" s="763"/>
      <c r="J69" s="763"/>
      <c r="K69" s="763"/>
      <c r="L69" s="763"/>
      <c r="M69" s="763"/>
      <c r="N69" s="763"/>
      <c r="O69" s="763"/>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2"/>
      <c r="F74" s="752"/>
      <c r="G74" s="752"/>
      <c r="H74" s="752"/>
      <c r="I74" s="752"/>
      <c r="J74" s="752"/>
      <c r="K74" s="752"/>
      <c r="L74" s="752"/>
      <c r="M74" s="752"/>
      <c r="N74" s="752"/>
      <c r="O74" s="752"/>
      <c r="P74" s="752"/>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47" t="str">
        <f>"Please suggest process improvements to the "&amp;D2&amp;" worksheet."</f>
        <v>Please suggest process improvements to the Organizational Services worksheet.</v>
      </c>
      <c r="E75" s="647"/>
      <c r="F75" s="647"/>
      <c r="G75" s="647"/>
      <c r="H75" s="647"/>
      <c r="I75" s="647"/>
      <c r="J75" s="647"/>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44"/>
      <c r="E76" s="645"/>
      <c r="F76" s="645"/>
      <c r="G76" s="645"/>
      <c r="H76" s="645"/>
      <c r="I76" s="645"/>
      <c r="J76" s="645"/>
      <c r="K76" s="645"/>
      <c r="L76" s="645"/>
      <c r="M76" s="645"/>
      <c r="N76" s="645"/>
      <c r="O76" s="645"/>
      <c r="P76" s="646"/>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3.8">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C2" sqref="C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03" customWidth="1"/>
    <col min="5" max="5" width="15.69921875" style="103" customWidth="1"/>
    <col min="6" max="15" width="1.59765625" style="103" customWidth="1"/>
    <col min="16" max="16" width="15.69921875" style="103" customWidth="1"/>
    <col min="17" max="17" width="3.59765625" style="103"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28" t="str">
        <f>R.1MediaAndLongName</f>
        <v xml:space="preserve">AQ  </v>
      </c>
      <c r="F2" s="728"/>
      <c r="G2" s="728"/>
      <c r="H2" s="728"/>
      <c r="I2" s="728"/>
      <c r="J2" s="728"/>
      <c r="K2" s="728"/>
      <c r="L2" s="728"/>
      <c r="M2" s="728"/>
      <c r="N2" s="728"/>
      <c r="O2" s="728"/>
      <c r="P2" s="728"/>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14" t="s">
        <v>53</v>
      </c>
      <c r="N3" s="714"/>
      <c r="O3" s="714"/>
      <c r="P3" s="714"/>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15" t="s">
        <v>50</v>
      </c>
      <c r="G4" s="715"/>
      <c r="H4" s="715"/>
      <c r="I4" s="715"/>
      <c r="J4" s="715"/>
      <c r="K4" s="715"/>
      <c r="L4" s="715"/>
      <c r="M4" s="716" t="str">
        <f>S4</f>
        <v>0</v>
      </c>
      <c r="N4" s="716"/>
      <c r="O4" s="716"/>
      <c r="P4" s="716"/>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15" t="s">
        <v>54</v>
      </c>
      <c r="G5" s="715"/>
      <c r="H5" s="715"/>
      <c r="I5" s="715"/>
      <c r="J5" s="715"/>
      <c r="K5" s="715"/>
      <c r="L5" s="715"/>
      <c r="M5" s="717" t="str">
        <f>S5</f>
        <v>$0</v>
      </c>
      <c r="N5" s="717"/>
      <c r="O5" s="717"/>
      <c r="P5" s="717"/>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44" t="s">
        <v>218</v>
      </c>
      <c r="E7" s="745"/>
      <c r="F7" s="745"/>
      <c r="G7" s="745"/>
      <c r="H7" s="745"/>
      <c r="I7" s="745"/>
      <c r="J7" s="745"/>
      <c r="K7" s="745"/>
      <c r="L7" s="745"/>
      <c r="M7" s="745"/>
      <c r="N7" s="745"/>
      <c r="O7" s="745"/>
      <c r="P7" s="74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486</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4" t="s">
        <v>0</v>
      </c>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47" t="s">
        <v>15</v>
      </c>
      <c r="G14" s="747"/>
      <c r="H14" s="747"/>
      <c r="I14" s="747"/>
      <c r="J14" s="747"/>
      <c r="K14" s="747"/>
      <c r="L14" s="747"/>
      <c r="M14" s="747"/>
      <c r="N14" s="747"/>
      <c r="O14" s="747"/>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48"/>
      <c r="E20" s="749"/>
      <c r="F20" s="749"/>
      <c r="G20" s="749"/>
      <c r="H20" s="749"/>
      <c r="I20" s="749"/>
      <c r="J20" s="749"/>
      <c r="K20" s="749"/>
      <c r="L20" s="749"/>
      <c r="M20" s="749"/>
      <c r="N20" s="749"/>
      <c r="O20" s="749"/>
      <c r="P20" s="750"/>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2"/>
      <c r="F26" s="752"/>
      <c r="G26" s="752"/>
      <c r="H26" s="752"/>
      <c r="I26" s="752"/>
      <c r="J26" s="752"/>
      <c r="K26" s="752"/>
      <c r="L26" s="752"/>
      <c r="M26" s="752"/>
      <c r="N26" s="752"/>
      <c r="O26" s="752"/>
      <c r="P26" s="752"/>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4" t="s">
        <v>0</v>
      </c>
      <c r="E29" s="735"/>
      <c r="F29" s="735"/>
      <c r="G29" s="735"/>
      <c r="H29" s="735"/>
      <c r="I29" s="735"/>
      <c r="J29" s="735"/>
      <c r="K29" s="735"/>
      <c r="L29" s="735"/>
      <c r="M29" s="735"/>
      <c r="N29" s="735"/>
      <c r="O29" s="735"/>
      <c r="P29" s="736"/>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3" t="s">
        <v>15</v>
      </c>
      <c r="G30" s="763"/>
      <c r="H30" s="763"/>
      <c r="I30" s="763"/>
      <c r="J30" s="763"/>
      <c r="K30" s="763"/>
      <c r="L30" s="763"/>
      <c r="M30" s="763"/>
      <c r="N30" s="763"/>
      <c r="O30" s="763"/>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199</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37"/>
      <c r="E36" s="738"/>
      <c r="F36" s="738"/>
      <c r="G36" s="738"/>
      <c r="H36" s="738"/>
      <c r="I36" s="738"/>
      <c r="J36" s="738"/>
      <c r="K36" s="738"/>
      <c r="L36" s="738"/>
      <c r="M36" s="738"/>
      <c r="N36" s="738"/>
      <c r="O36" s="738"/>
      <c r="P36" s="739"/>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3" t="s">
        <v>15</v>
      </c>
      <c r="G37" s="763"/>
      <c r="H37" s="763"/>
      <c r="I37" s="763"/>
      <c r="J37" s="763"/>
      <c r="K37" s="763"/>
      <c r="L37" s="763"/>
      <c r="M37" s="763"/>
      <c r="N37" s="763"/>
      <c r="O37" s="763"/>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4"/>
      <c r="E45" s="735"/>
      <c r="F45" s="735"/>
      <c r="G45" s="735"/>
      <c r="H45" s="735"/>
      <c r="I45" s="735"/>
      <c r="J45" s="735"/>
      <c r="K45" s="735"/>
      <c r="L45" s="735"/>
      <c r="M45" s="735"/>
      <c r="N45" s="735"/>
      <c r="O45" s="735"/>
      <c r="P45" s="736"/>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47" t="s">
        <v>15</v>
      </c>
      <c r="G46" s="747"/>
      <c r="H46" s="747"/>
      <c r="I46" s="747"/>
      <c r="J46" s="747"/>
      <c r="K46" s="747"/>
      <c r="L46" s="747"/>
      <c r="M46" s="747"/>
      <c r="N46" s="747"/>
      <c r="O46" s="747"/>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48"/>
      <c r="E52" s="749"/>
      <c r="F52" s="749"/>
      <c r="G52" s="749"/>
      <c r="H52" s="749"/>
      <c r="I52" s="749"/>
      <c r="J52" s="749"/>
      <c r="K52" s="749"/>
      <c r="L52" s="749"/>
      <c r="M52" s="749"/>
      <c r="N52" s="749"/>
      <c r="O52" s="749"/>
      <c r="P52" s="750"/>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47" t="str">
        <f>"Please suggest process improvements to the "&amp;D2&amp;" worksheet."</f>
        <v>Please suggest process improvements to the Technical Services worksheet.</v>
      </c>
      <c r="E59" s="647"/>
      <c r="F59" s="647"/>
      <c r="G59" s="647"/>
      <c r="H59" s="647"/>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44"/>
      <c r="E60" s="645"/>
      <c r="F60" s="645"/>
      <c r="G60" s="645"/>
      <c r="H60" s="645"/>
      <c r="I60" s="645"/>
      <c r="J60" s="645"/>
      <c r="K60" s="645"/>
      <c r="L60" s="645"/>
      <c r="M60" s="645"/>
      <c r="N60" s="645"/>
      <c r="O60" s="645"/>
      <c r="P60" s="646"/>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3.8">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301" customWidth="1"/>
    <col min="5" max="5" width="15.69921875" style="301" customWidth="1"/>
    <col min="6" max="15" width="1.59765625" style="301" customWidth="1"/>
    <col min="16" max="16" width="15.69921875" style="301" customWidth="1"/>
    <col min="17" max="17" width="3.59765625" style="3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2" width="31.09765625" style="63" customWidth="1"/>
    <col min="33" max="33" width="31.097656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28" t="str">
        <f>R.1MediaAndLongName</f>
        <v xml:space="preserve">AQ  </v>
      </c>
      <c r="F2" s="728"/>
      <c r="G2" s="728"/>
      <c r="H2" s="728"/>
      <c r="I2" s="728"/>
      <c r="J2" s="728"/>
      <c r="K2" s="728"/>
      <c r="L2" s="728"/>
      <c r="M2" s="728"/>
      <c r="N2" s="728"/>
      <c r="O2" s="728"/>
      <c r="P2" s="728"/>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14" t="s">
        <v>53</v>
      </c>
      <c r="N3" s="714"/>
      <c r="O3" s="714"/>
      <c r="P3" s="714"/>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15" t="s">
        <v>50</v>
      </c>
      <c r="G4" s="715"/>
      <c r="H4" s="715"/>
      <c r="I4" s="715"/>
      <c r="J4" s="715"/>
      <c r="K4" s="715"/>
      <c r="L4" s="715"/>
      <c r="M4" s="716" t="str">
        <f>S5</f>
        <v>0</v>
      </c>
      <c r="N4" s="716"/>
      <c r="O4" s="716"/>
      <c r="P4" s="716"/>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15" t="s">
        <v>54</v>
      </c>
      <c r="G5" s="715"/>
      <c r="H5" s="715"/>
      <c r="I5" s="715"/>
      <c r="J5" s="715"/>
      <c r="K5" s="715"/>
      <c r="L5" s="715"/>
      <c r="M5" s="717" t="str">
        <f>S6</f>
        <v>$0</v>
      </c>
      <c r="N5" s="717"/>
      <c r="O5" s="717"/>
      <c r="P5" s="717"/>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44" t="s">
        <v>219</v>
      </c>
      <c r="E7" s="745"/>
      <c r="F7" s="745"/>
      <c r="G7" s="745"/>
      <c r="H7" s="745"/>
      <c r="I7" s="745"/>
      <c r="J7" s="745"/>
      <c r="K7" s="745"/>
      <c r="L7" s="745"/>
      <c r="M7" s="745"/>
      <c r="N7" s="745"/>
      <c r="O7" s="745"/>
      <c r="P7" s="74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483</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3.8">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4"/>
      <c r="E13" s="735"/>
      <c r="F13" s="735"/>
      <c r="G13" s="735"/>
      <c r="H13" s="735"/>
      <c r="I13" s="735"/>
      <c r="J13" s="735"/>
      <c r="K13" s="735"/>
      <c r="L13" s="735"/>
      <c r="M13" s="735"/>
      <c r="N13" s="735"/>
      <c r="O13" s="735"/>
      <c r="P13" s="736"/>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4" t="s">
        <v>15</v>
      </c>
      <c r="G14" s="764"/>
      <c r="H14" s="764"/>
      <c r="I14" s="764"/>
      <c r="J14" s="764"/>
      <c r="K14" s="764"/>
      <c r="L14" s="764"/>
      <c r="M14" s="764"/>
      <c r="N14" s="764"/>
      <c r="O14" s="764"/>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3.8"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4"/>
      <c r="E20" s="735"/>
      <c r="F20" s="735"/>
      <c r="G20" s="735"/>
      <c r="H20" s="735"/>
      <c r="I20" s="735"/>
      <c r="J20" s="735"/>
      <c r="K20" s="735"/>
      <c r="L20" s="735"/>
      <c r="M20" s="735"/>
      <c r="N20" s="735"/>
      <c r="O20" s="735"/>
      <c r="P20" s="736"/>
      <c r="Q20" s="138"/>
      <c r="R20" s="333"/>
      <c r="S20" s="131" t="s">
        <v>0</v>
      </c>
      <c r="T20" s="130"/>
      <c r="U20" s="130"/>
      <c r="V20" s="63"/>
      <c r="W20" s="63"/>
      <c r="X20" s="63"/>
      <c r="Y20" s="63"/>
      <c r="Z20" s="63"/>
      <c r="AA20" s="63"/>
      <c r="AB20" s="63"/>
      <c r="AC20" s="63"/>
      <c r="AD20" s="129"/>
      <c r="AE20" s="129"/>
      <c r="AF20" s="129"/>
    </row>
    <row r="21" spans="1:32" s="32" customFormat="1" ht="13.8">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3"/>
      <c r="F26" s="753"/>
      <c r="G26" s="753"/>
      <c r="H26" s="753"/>
      <c r="I26" s="753"/>
      <c r="J26" s="753"/>
      <c r="K26" s="753"/>
      <c r="L26" s="753"/>
      <c r="M26" s="753"/>
      <c r="N26" s="753"/>
      <c r="O26" s="753"/>
      <c r="P26" s="753"/>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47" t="str">
        <f>"Please suggest process improvements to the "&amp;D2&amp;" worksheet."</f>
        <v>Please suggest process improvements to the Compliance &amp; Enforcement worksheet.</v>
      </c>
      <c r="E27" s="647"/>
      <c r="F27" s="647"/>
      <c r="G27" s="647"/>
      <c r="H27" s="647"/>
      <c r="I27" s="647"/>
      <c r="J27" s="647"/>
      <c r="K27" s="647"/>
      <c r="L27" s="647"/>
      <c r="M27" s="647"/>
      <c r="N27" s="647"/>
      <c r="O27" s="647"/>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44"/>
      <c r="E28" s="645"/>
      <c r="F28" s="645"/>
      <c r="G28" s="645"/>
      <c r="H28" s="645"/>
      <c r="I28" s="645"/>
      <c r="J28" s="645"/>
      <c r="K28" s="645"/>
      <c r="L28" s="645"/>
      <c r="M28" s="645"/>
      <c r="N28" s="645"/>
      <c r="O28" s="645"/>
      <c r="P28" s="646"/>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23" zoomScaleNormal="100" workbookViewId="0">
      <selection activeCell="D2" sqref="D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2" width="31.09765625" style="63" customWidth="1"/>
    <col min="33" max="33" width="31.097656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28" t="str">
        <f>R.1MediaAndLongName</f>
        <v xml:space="preserve">AQ  </v>
      </c>
      <c r="F2" s="728"/>
      <c r="G2" s="728"/>
      <c r="H2" s="728"/>
      <c r="I2" s="728"/>
      <c r="J2" s="728"/>
      <c r="K2" s="728"/>
      <c r="L2" s="728"/>
      <c r="M2" s="728"/>
      <c r="N2" s="728"/>
      <c r="O2" s="728"/>
      <c r="P2" s="728"/>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5" t="s">
        <v>77</v>
      </c>
      <c r="E3" s="765"/>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14" t="s">
        <v>53</v>
      </c>
      <c r="N4" s="714"/>
      <c r="O4" s="714"/>
      <c r="P4" s="714"/>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15" t="s">
        <v>50</v>
      </c>
      <c r="G5" s="715"/>
      <c r="H5" s="715"/>
      <c r="I5" s="715"/>
      <c r="J5" s="715"/>
      <c r="K5" s="715"/>
      <c r="L5" s="715"/>
      <c r="M5" s="716" t="str">
        <f>S5</f>
        <v>0</v>
      </c>
      <c r="N5" s="716"/>
      <c r="O5" s="716"/>
      <c r="P5" s="716"/>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15" t="s">
        <v>54</v>
      </c>
      <c r="G6" s="715"/>
      <c r="H6" s="715"/>
      <c r="I6" s="715"/>
      <c r="J6" s="715"/>
      <c r="K6" s="715"/>
      <c r="L6" s="715"/>
      <c r="M6" s="717" t="str">
        <f>S6</f>
        <v>$0</v>
      </c>
      <c r="N6" s="717"/>
      <c r="O6" s="717"/>
      <c r="P6" s="717"/>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44" t="s">
        <v>220</v>
      </c>
      <c r="E8" s="745"/>
      <c r="F8" s="745"/>
      <c r="G8" s="745"/>
      <c r="H8" s="745"/>
      <c r="I8" s="745"/>
      <c r="J8" s="745"/>
      <c r="K8" s="745"/>
      <c r="L8" s="745"/>
      <c r="M8" s="745"/>
      <c r="N8" s="745"/>
      <c r="O8" s="745"/>
      <c r="P8" s="746"/>
      <c r="Q8" s="155"/>
      <c r="R8" s="333"/>
      <c r="S8"/>
      <c r="T8" s="492"/>
      <c r="U8" s="492"/>
      <c r="V8" s="119"/>
      <c r="W8" s="435"/>
      <c r="X8" s="435"/>
      <c r="Y8" s="435"/>
      <c r="Z8" s="435"/>
      <c r="AA8" s="435"/>
      <c r="AB8" s="435"/>
      <c r="AC8" s="435"/>
      <c r="AD8" s="65"/>
      <c r="AE8" s="65"/>
      <c r="AF8" s="65"/>
    </row>
    <row r="9" spans="1:33" s="6" customFormat="1" ht="20.25" customHeight="1">
      <c r="A9" s="315"/>
      <c r="B9" s="333"/>
      <c r="C9" s="154"/>
      <c r="D9" s="762" t="s">
        <v>475</v>
      </c>
      <c r="E9" s="762"/>
      <c r="F9" s="762"/>
      <c r="G9" s="762"/>
      <c r="H9" s="762"/>
      <c r="I9" s="762"/>
      <c r="J9" s="762"/>
      <c r="K9" s="762"/>
      <c r="L9" s="762"/>
      <c r="M9" s="762"/>
      <c r="N9" s="762"/>
      <c r="O9" s="762"/>
      <c r="P9" s="762"/>
      <c r="Q9" s="155"/>
      <c r="R9" s="333"/>
      <c r="T9" s="492"/>
      <c r="U9" s="492"/>
      <c r="V9" s="119"/>
      <c r="W9" s="435"/>
      <c r="X9" s="435"/>
      <c r="Y9" s="435"/>
      <c r="Z9" s="435"/>
      <c r="AA9" s="435"/>
      <c r="AB9" s="435"/>
      <c r="AC9" s="435"/>
      <c r="AD9" s="65"/>
      <c r="AE9" s="65"/>
      <c r="AF9" s="65"/>
    </row>
    <row r="10" spans="1:33" s="27" customFormat="1" ht="15.75" customHeight="1">
      <c r="A10" s="344"/>
      <c r="B10" s="439"/>
      <c r="C10" s="137"/>
      <c r="D10" s="759" t="s">
        <v>438</v>
      </c>
      <c r="E10" s="760"/>
      <c r="F10" s="760"/>
      <c r="G10" s="760"/>
      <c r="H10" s="760"/>
      <c r="I10" s="760"/>
      <c r="J10" s="760"/>
      <c r="K10" s="760"/>
      <c r="L10" s="760"/>
      <c r="M10" s="760"/>
      <c r="N10" s="760"/>
      <c r="O10" s="760"/>
      <c r="P10" s="761"/>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4"/>
      <c r="E14" s="735"/>
      <c r="F14" s="735"/>
      <c r="G14" s="735"/>
      <c r="H14" s="735"/>
      <c r="I14" s="735"/>
      <c r="J14" s="735"/>
      <c r="K14" s="735"/>
      <c r="L14" s="735"/>
      <c r="M14" s="735"/>
      <c r="N14" s="735"/>
      <c r="O14" s="735"/>
      <c r="P14" s="736"/>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47" t="s">
        <v>15</v>
      </c>
      <c r="G15" s="747"/>
      <c r="H15" s="747"/>
      <c r="I15" s="747"/>
      <c r="J15" s="747"/>
      <c r="K15" s="747"/>
      <c r="L15" s="747"/>
      <c r="M15" s="747"/>
      <c r="N15" s="747"/>
      <c r="O15" s="747"/>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15.75" hidden="1" customHeight="1" outlineLevel="1">
      <c r="A17" s="116"/>
      <c r="B17" s="333"/>
      <c r="C17" s="137"/>
      <c r="D17" s="541"/>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199</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48"/>
      <c r="E21" s="749"/>
      <c r="F21" s="749"/>
      <c r="G21" s="749"/>
      <c r="H21" s="749"/>
      <c r="I21" s="749"/>
      <c r="J21" s="749"/>
      <c r="K21" s="749"/>
      <c r="L21" s="749"/>
      <c r="M21" s="749"/>
      <c r="N21" s="749"/>
      <c r="O21" s="749"/>
      <c r="P21" s="750"/>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3" t="s">
        <v>15</v>
      </c>
      <c r="G22" s="763"/>
      <c r="H22" s="763"/>
      <c r="I22" s="763"/>
      <c r="J22" s="763"/>
      <c r="K22" s="763"/>
      <c r="L22" s="763"/>
      <c r="M22" s="763"/>
      <c r="N22" s="763"/>
      <c r="O22" s="763"/>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522</v>
      </c>
      <c r="W23" s="63"/>
      <c r="X23" s="63"/>
      <c r="Y23" s="63"/>
      <c r="Z23" s="63"/>
      <c r="AA23" s="63"/>
      <c r="AB23" s="63"/>
      <c r="AC23" s="63"/>
      <c r="AD23" s="129"/>
      <c r="AE23" s="129"/>
      <c r="AF23" s="129"/>
    </row>
    <row r="24" spans="1:32" s="27" customFormat="1" ht="15.75" hidden="1" customHeight="1" outlineLevel="1">
      <c r="A24" s="116"/>
      <c r="B24" s="333"/>
      <c r="C24" s="137"/>
      <c r="D24" s="541"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199</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3"/>
      <c r="F27" s="753"/>
      <c r="G27" s="753"/>
      <c r="H27" s="753"/>
      <c r="I27" s="753"/>
      <c r="J27" s="753"/>
      <c r="K27" s="753"/>
      <c r="L27" s="753"/>
      <c r="M27" s="753"/>
      <c r="N27" s="753"/>
      <c r="O27" s="753"/>
      <c r="P27" s="753"/>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4"/>
      <c r="E30" s="735"/>
      <c r="F30" s="735"/>
      <c r="G30" s="735"/>
      <c r="H30" s="735"/>
      <c r="I30" s="735"/>
      <c r="J30" s="735"/>
      <c r="K30" s="735"/>
      <c r="L30" s="735"/>
      <c r="M30" s="735"/>
      <c r="N30" s="735"/>
      <c r="O30" s="735"/>
      <c r="P30" s="736"/>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3" t="s">
        <v>15</v>
      </c>
      <c r="G31" s="763"/>
      <c r="H31" s="763"/>
      <c r="I31" s="763"/>
      <c r="J31" s="763"/>
      <c r="K31" s="763"/>
      <c r="L31" s="763"/>
      <c r="M31" s="763"/>
      <c r="N31" s="763"/>
      <c r="O31" s="763"/>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522</v>
      </c>
      <c r="W32" s="63"/>
      <c r="X32" s="63"/>
      <c r="Y32" s="63"/>
      <c r="Z32" s="63"/>
      <c r="AA32" s="63"/>
      <c r="AB32" s="63"/>
      <c r="AC32" s="63"/>
      <c r="AD32" s="129"/>
      <c r="AE32" s="129"/>
      <c r="AF32" s="129"/>
    </row>
    <row r="33" spans="1:32" s="27" customFormat="1" ht="15.75" hidden="1" customHeight="1" outlineLevel="1">
      <c r="A33" s="116"/>
      <c r="B33" s="333"/>
      <c r="C33" s="137"/>
      <c r="D33" s="541"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199</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37"/>
      <c r="E37" s="738"/>
      <c r="F37" s="738"/>
      <c r="G37" s="738"/>
      <c r="H37" s="738"/>
      <c r="I37" s="738"/>
      <c r="J37" s="738"/>
      <c r="K37" s="738"/>
      <c r="L37" s="738"/>
      <c r="M37" s="738"/>
      <c r="N37" s="738"/>
      <c r="O37" s="738"/>
      <c r="P37" s="739"/>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3" t="s">
        <v>15</v>
      </c>
      <c r="G38" s="763"/>
      <c r="H38" s="763"/>
      <c r="I38" s="763"/>
      <c r="J38" s="763"/>
      <c r="K38" s="763"/>
      <c r="L38" s="763"/>
      <c r="M38" s="763"/>
      <c r="N38" s="763"/>
      <c r="O38" s="763"/>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522</v>
      </c>
      <c r="W39" s="63"/>
      <c r="X39" s="63"/>
      <c r="Y39" s="63"/>
      <c r="Z39" s="63"/>
      <c r="AA39" s="63"/>
      <c r="AB39" s="63"/>
      <c r="AC39" s="63"/>
      <c r="AD39" s="129"/>
      <c r="AE39" s="129"/>
      <c r="AF39" s="129"/>
    </row>
    <row r="40" spans="1:32" s="27" customFormat="1" ht="15.75" hidden="1" customHeight="1" outlineLevel="1">
      <c r="A40" s="116"/>
      <c r="B40" s="333"/>
      <c r="C40" s="137"/>
      <c r="D40" s="541"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199</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3"/>
      <c r="F43" s="753"/>
      <c r="G43" s="753"/>
      <c r="H43" s="753"/>
      <c r="I43" s="753"/>
      <c r="J43" s="753"/>
      <c r="K43" s="753"/>
      <c r="L43" s="753"/>
      <c r="M43" s="753"/>
      <c r="N43" s="753"/>
      <c r="O43" s="753"/>
      <c r="P43" s="753"/>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4"/>
      <c r="E46" s="735"/>
      <c r="F46" s="735"/>
      <c r="G46" s="735"/>
      <c r="H46" s="735"/>
      <c r="I46" s="735"/>
      <c r="J46" s="735"/>
      <c r="K46" s="735"/>
      <c r="L46" s="735"/>
      <c r="M46" s="735"/>
      <c r="N46" s="735"/>
      <c r="O46" s="735"/>
      <c r="P46" s="736"/>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47" t="s">
        <v>15</v>
      </c>
      <c r="G47" s="747"/>
      <c r="H47" s="747"/>
      <c r="I47" s="747"/>
      <c r="J47" s="747"/>
      <c r="K47" s="747"/>
      <c r="L47" s="747"/>
      <c r="M47" s="747"/>
      <c r="N47" s="747"/>
      <c r="O47" s="747"/>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199</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522</v>
      </c>
      <c r="W48" s="63"/>
      <c r="X48" s="63"/>
      <c r="Y48" s="63"/>
      <c r="Z48" s="63"/>
      <c r="AA48" s="63"/>
      <c r="AB48" s="63"/>
      <c r="AC48" s="63"/>
      <c r="AD48" s="129"/>
      <c r="AE48" s="129"/>
      <c r="AF48" s="129"/>
    </row>
    <row r="49" spans="1:32" s="27" customFormat="1" ht="15.75" hidden="1" customHeight="1" outlineLevel="1">
      <c r="A49" s="116"/>
      <c r="B49" s="333"/>
      <c r="C49" s="137"/>
      <c r="D49" s="540"/>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199</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48"/>
      <c r="E53" s="749"/>
      <c r="F53" s="749"/>
      <c r="G53" s="749"/>
      <c r="H53" s="749"/>
      <c r="I53" s="749"/>
      <c r="J53" s="749"/>
      <c r="K53" s="749"/>
      <c r="L53" s="749"/>
      <c r="M53" s="749"/>
      <c r="N53" s="749"/>
      <c r="O53" s="749"/>
      <c r="P53" s="750"/>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3" t="s">
        <v>15</v>
      </c>
      <c r="G54" s="763"/>
      <c r="H54" s="763"/>
      <c r="I54" s="763"/>
      <c r="J54" s="763"/>
      <c r="K54" s="763"/>
      <c r="L54" s="763"/>
      <c r="M54" s="763"/>
      <c r="N54" s="763"/>
      <c r="O54" s="763"/>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522</v>
      </c>
      <c r="W55" s="63"/>
      <c r="X55" s="63"/>
      <c r="Y55" s="63"/>
      <c r="Z55" s="63"/>
      <c r="AA55" s="63"/>
      <c r="AB55" s="63"/>
      <c r="AC55" s="63"/>
      <c r="AD55" s="129"/>
      <c r="AE55" s="129"/>
      <c r="AF55" s="129"/>
    </row>
    <row r="56" spans="1:32" s="27" customFormat="1" ht="15.75" hidden="1" customHeight="1" outlineLevel="1">
      <c r="A56" s="116"/>
      <c r="B56" s="333"/>
      <c r="C56" s="137"/>
      <c r="D56" s="540"/>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199</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3"/>
      <c r="F59" s="753"/>
      <c r="G59" s="753"/>
      <c r="H59" s="753"/>
      <c r="I59" s="753"/>
      <c r="J59" s="753"/>
      <c r="K59" s="753"/>
      <c r="L59" s="753"/>
      <c r="M59" s="753"/>
      <c r="N59" s="753"/>
      <c r="O59" s="753"/>
      <c r="P59" s="753"/>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47" t="str">
        <f>"Please suggest process improvements to the "&amp;D2&amp;" worksheet."</f>
        <v>Please suggest process improvements to the LEAD worksheet.</v>
      </c>
      <c r="E60" s="647"/>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44"/>
      <c r="E61" s="645"/>
      <c r="F61" s="645"/>
      <c r="G61" s="645"/>
      <c r="H61" s="645"/>
      <c r="I61" s="645"/>
      <c r="J61" s="645"/>
      <c r="K61" s="645"/>
      <c r="L61" s="645"/>
      <c r="M61" s="645"/>
      <c r="N61" s="645"/>
      <c r="O61" s="645"/>
      <c r="P61" s="646"/>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3.8">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35" zoomScaleNormal="100" workbookViewId="0">
      <selection activeCell="C2" sqref="C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5.09765625" style="63" customWidth="1" collapsed="1"/>
    <col min="23" max="23" width="30.59765625" style="63" customWidth="1"/>
    <col min="24" max="24" width="18" style="63" customWidth="1"/>
    <col min="25" max="33" width="31.097656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28" t="str">
        <f>R.1MediaAndLongName</f>
        <v xml:space="preserve">AQ  </v>
      </c>
      <c r="F2" s="728"/>
      <c r="G2" s="728"/>
      <c r="H2" s="728"/>
      <c r="I2" s="728"/>
      <c r="J2" s="728"/>
      <c r="K2" s="728"/>
      <c r="L2" s="728"/>
      <c r="M2" s="728"/>
      <c r="N2" s="728"/>
      <c r="O2" s="728"/>
      <c r="P2" s="728"/>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14" t="s">
        <v>53</v>
      </c>
      <c r="N3" s="714"/>
      <c r="O3" s="714"/>
      <c r="P3" s="714"/>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15" t="s">
        <v>50</v>
      </c>
      <c r="G4" s="715"/>
      <c r="H4" s="715"/>
      <c r="I4" s="715"/>
      <c r="J4" s="715"/>
      <c r="K4" s="715"/>
      <c r="L4" s="715"/>
      <c r="M4" s="716" t="str">
        <f>S4</f>
        <v>0</v>
      </c>
      <c r="N4" s="716"/>
      <c r="O4" s="716"/>
      <c r="P4" s="716"/>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15" t="s">
        <v>54</v>
      </c>
      <c r="G5" s="715"/>
      <c r="H5" s="715"/>
      <c r="I5" s="715"/>
      <c r="J5" s="715"/>
      <c r="K5" s="715"/>
      <c r="L5" s="715"/>
      <c r="M5" s="717" t="str">
        <f>S5</f>
        <v>$0</v>
      </c>
      <c r="N5" s="717"/>
      <c r="O5" s="717"/>
      <c r="P5" s="717"/>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44" t="s">
        <v>560</v>
      </c>
      <c r="E7" s="745"/>
      <c r="F7" s="745"/>
      <c r="G7" s="745"/>
      <c r="H7" s="745"/>
      <c r="I7" s="745"/>
      <c r="J7" s="745"/>
      <c r="K7" s="745"/>
      <c r="L7" s="745"/>
      <c r="M7" s="745"/>
      <c r="N7" s="745"/>
      <c r="O7" s="745"/>
      <c r="P7" s="74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470</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0</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4" t="s">
        <v>0</v>
      </c>
      <c r="E13" s="735"/>
      <c r="F13" s="735"/>
      <c r="G13" s="735"/>
      <c r="H13" s="735"/>
      <c r="I13" s="735"/>
      <c r="J13" s="735"/>
      <c r="K13" s="735"/>
      <c r="L13" s="735"/>
      <c r="M13" s="735"/>
      <c r="N13" s="735"/>
      <c r="O13" s="735"/>
      <c r="P13" s="736"/>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47" t="s">
        <v>15</v>
      </c>
      <c r="G14" s="747"/>
      <c r="H14" s="747"/>
      <c r="I14" s="747"/>
      <c r="J14" s="747"/>
      <c r="K14" s="747"/>
      <c r="L14" s="747"/>
      <c r="M14" s="747"/>
      <c r="N14" s="747"/>
      <c r="O14" s="747"/>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Y15" s="63"/>
      <c r="Z15" s="63"/>
      <c r="AA15" s="63"/>
      <c r="AB15" s="63"/>
      <c r="AC15" s="63"/>
      <c r="AD15" s="129"/>
      <c r="AE15" s="129"/>
      <c r="AF15" s="129"/>
      <c r="AG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48"/>
      <c r="E20" s="749"/>
      <c r="F20" s="749"/>
      <c r="G20" s="749"/>
      <c r="H20" s="749"/>
      <c r="I20" s="749"/>
      <c r="J20" s="749"/>
      <c r="K20" s="749"/>
      <c r="L20" s="749"/>
      <c r="M20" s="749"/>
      <c r="N20" s="749"/>
      <c r="O20" s="749"/>
      <c r="P20" s="750"/>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2"/>
      <c r="F26" s="752"/>
      <c r="G26" s="752"/>
      <c r="H26" s="752"/>
      <c r="I26" s="752"/>
      <c r="J26" s="752"/>
      <c r="K26" s="752"/>
      <c r="L26" s="752"/>
      <c r="M26" s="752"/>
      <c r="N26" s="752"/>
      <c r="O26" s="752"/>
      <c r="P26" s="752"/>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4" t="s">
        <v>0</v>
      </c>
      <c r="E29" s="735"/>
      <c r="F29" s="735"/>
      <c r="G29" s="735"/>
      <c r="H29" s="735"/>
      <c r="I29" s="735"/>
      <c r="J29" s="735"/>
      <c r="K29" s="735"/>
      <c r="L29" s="735"/>
      <c r="M29" s="735"/>
      <c r="N29" s="735"/>
      <c r="O29" s="735"/>
      <c r="P29" s="736"/>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3" t="s">
        <v>15</v>
      </c>
      <c r="G30" s="763"/>
      <c r="H30" s="763"/>
      <c r="I30" s="763"/>
      <c r="J30" s="763"/>
      <c r="K30" s="763"/>
      <c r="L30" s="763"/>
      <c r="M30" s="763"/>
      <c r="N30" s="763"/>
      <c r="O30" s="763"/>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37"/>
      <c r="E36" s="738"/>
      <c r="F36" s="738"/>
      <c r="G36" s="738"/>
      <c r="H36" s="738"/>
      <c r="I36" s="738"/>
      <c r="J36" s="738"/>
      <c r="K36" s="738"/>
      <c r="L36" s="738"/>
      <c r="M36" s="738"/>
      <c r="N36" s="738"/>
      <c r="O36" s="738"/>
      <c r="P36" s="739"/>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3" t="s">
        <v>15</v>
      </c>
      <c r="G37" s="763"/>
      <c r="H37" s="763"/>
      <c r="I37" s="763"/>
      <c r="J37" s="763"/>
      <c r="K37" s="763"/>
      <c r="L37" s="763"/>
      <c r="M37" s="763"/>
      <c r="N37" s="763"/>
      <c r="O37" s="763"/>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3"/>
      <c r="F42" s="753"/>
      <c r="G42" s="753"/>
      <c r="H42" s="753"/>
      <c r="I42" s="753"/>
      <c r="J42" s="753"/>
      <c r="K42" s="753"/>
      <c r="L42" s="753"/>
      <c r="M42" s="753"/>
      <c r="N42" s="753"/>
      <c r="O42" s="753"/>
      <c r="P42" s="753"/>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4"/>
      <c r="E45" s="735"/>
      <c r="F45" s="735"/>
      <c r="G45" s="735"/>
      <c r="H45" s="735"/>
      <c r="I45" s="735"/>
      <c r="J45" s="735"/>
      <c r="K45" s="735"/>
      <c r="L45" s="735"/>
      <c r="M45" s="735"/>
      <c r="N45" s="735"/>
      <c r="O45" s="735"/>
      <c r="P45" s="736"/>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47" t="s">
        <v>15</v>
      </c>
      <c r="G46" s="747"/>
      <c r="H46" s="747"/>
      <c r="I46" s="747"/>
      <c r="J46" s="747"/>
      <c r="K46" s="747"/>
      <c r="L46" s="747"/>
      <c r="M46" s="747"/>
      <c r="N46" s="747"/>
      <c r="O46" s="747"/>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48"/>
      <c r="E52" s="749"/>
      <c r="F52" s="749"/>
      <c r="G52" s="749"/>
      <c r="H52" s="749"/>
      <c r="I52" s="749"/>
      <c r="J52" s="749"/>
      <c r="K52" s="749"/>
      <c r="L52" s="749"/>
      <c r="M52" s="749"/>
      <c r="N52" s="749"/>
      <c r="O52" s="749"/>
      <c r="P52" s="750"/>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3"/>
      <c r="F58" s="753"/>
      <c r="G58" s="753"/>
      <c r="H58" s="753"/>
      <c r="I58" s="753"/>
      <c r="J58" s="753"/>
      <c r="K58" s="753"/>
      <c r="L58" s="753"/>
      <c r="M58" s="753"/>
      <c r="N58" s="753"/>
      <c r="O58" s="753"/>
      <c r="P58" s="753"/>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6"/>
      <c r="E61" s="767"/>
      <c r="F61" s="767"/>
      <c r="G61" s="767"/>
      <c r="H61" s="767"/>
      <c r="I61" s="767"/>
      <c r="J61" s="767"/>
      <c r="K61" s="767"/>
      <c r="L61" s="767"/>
      <c r="M61" s="767"/>
      <c r="N61" s="767"/>
      <c r="O61" s="767"/>
      <c r="P61" s="768"/>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3" t="s">
        <v>15</v>
      </c>
      <c r="G62" s="763"/>
      <c r="H62" s="763"/>
      <c r="I62" s="763"/>
      <c r="J62" s="763"/>
      <c r="K62" s="763"/>
      <c r="L62" s="763"/>
      <c r="M62" s="763"/>
      <c r="N62" s="763"/>
      <c r="O62" s="763"/>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199</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37"/>
      <c r="E68" s="738"/>
      <c r="F68" s="738"/>
      <c r="G68" s="738"/>
      <c r="H68" s="738"/>
      <c r="I68" s="738"/>
      <c r="J68" s="738"/>
      <c r="K68" s="738"/>
      <c r="L68" s="738"/>
      <c r="M68" s="738"/>
      <c r="N68" s="738"/>
      <c r="O68" s="738"/>
      <c r="P68" s="739"/>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3" t="s">
        <v>15</v>
      </c>
      <c r="G69" s="763"/>
      <c r="H69" s="763"/>
      <c r="I69" s="763"/>
      <c r="J69" s="763"/>
      <c r="K69" s="763"/>
      <c r="L69" s="763"/>
      <c r="M69" s="763"/>
      <c r="N69" s="763"/>
      <c r="O69" s="763"/>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199</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3"/>
      <c r="F74" s="753"/>
      <c r="G74" s="753"/>
      <c r="H74" s="753"/>
      <c r="I74" s="753"/>
      <c r="J74" s="753"/>
      <c r="K74" s="753"/>
      <c r="L74" s="753"/>
      <c r="M74" s="753"/>
      <c r="N74" s="753"/>
      <c r="O74" s="753"/>
      <c r="P74" s="753"/>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4"/>
      <c r="E77" s="735"/>
      <c r="F77" s="735"/>
      <c r="G77" s="735"/>
      <c r="H77" s="735"/>
      <c r="I77" s="735"/>
      <c r="J77" s="735"/>
      <c r="K77" s="735"/>
      <c r="L77" s="735"/>
      <c r="M77" s="735"/>
      <c r="N77" s="735"/>
      <c r="O77" s="735"/>
      <c r="P77" s="736"/>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47" t="s">
        <v>15</v>
      </c>
      <c r="G78" s="747"/>
      <c r="H78" s="747"/>
      <c r="I78" s="747"/>
      <c r="J78" s="747"/>
      <c r="K78" s="747"/>
      <c r="L78" s="747"/>
      <c r="M78" s="747"/>
      <c r="N78" s="747"/>
      <c r="O78" s="747"/>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199</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199</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199</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199</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48"/>
      <c r="E84" s="749"/>
      <c r="F84" s="749"/>
      <c r="G84" s="749"/>
      <c r="H84" s="749"/>
      <c r="I84" s="749"/>
      <c r="J84" s="749"/>
      <c r="K84" s="749"/>
      <c r="L84" s="749"/>
      <c r="M84" s="749"/>
      <c r="N84" s="749"/>
      <c r="O84" s="749"/>
      <c r="P84" s="750"/>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3" t="s">
        <v>15</v>
      </c>
      <c r="G85" s="763"/>
      <c r="H85" s="763"/>
      <c r="I85" s="763"/>
      <c r="J85" s="763"/>
      <c r="K85" s="763"/>
      <c r="L85" s="763"/>
      <c r="M85" s="763"/>
      <c r="N85" s="763"/>
      <c r="O85" s="763"/>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199</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199</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199</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199</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3"/>
      <c r="F90" s="753"/>
      <c r="G90" s="753"/>
      <c r="H90" s="753"/>
      <c r="I90" s="753"/>
      <c r="J90" s="753"/>
      <c r="K90" s="753"/>
      <c r="L90" s="753"/>
      <c r="M90" s="753"/>
      <c r="N90" s="753"/>
      <c r="O90" s="753"/>
      <c r="P90" s="753"/>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4"/>
      <c r="E93" s="735"/>
      <c r="F93" s="735"/>
      <c r="G93" s="735"/>
      <c r="H93" s="735"/>
      <c r="I93" s="735"/>
      <c r="J93" s="735"/>
      <c r="K93" s="735"/>
      <c r="L93" s="735"/>
      <c r="M93" s="735"/>
      <c r="N93" s="735"/>
      <c r="O93" s="735"/>
      <c r="P93" s="736"/>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3" t="s">
        <v>15</v>
      </c>
      <c r="G94" s="763"/>
      <c r="H94" s="763"/>
      <c r="I94" s="763"/>
      <c r="J94" s="763"/>
      <c r="K94" s="763"/>
      <c r="L94" s="763"/>
      <c r="M94" s="763"/>
      <c r="N94" s="763"/>
      <c r="O94" s="763"/>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561</v>
      </c>
      <c r="E95" s="29" t="s">
        <v>199</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199</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199</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199</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37"/>
      <c r="E100" s="738"/>
      <c r="F100" s="738"/>
      <c r="G100" s="738"/>
      <c r="H100" s="738"/>
      <c r="I100" s="738"/>
      <c r="J100" s="738"/>
      <c r="K100" s="738"/>
      <c r="L100" s="738"/>
      <c r="M100" s="738"/>
      <c r="N100" s="738"/>
      <c r="O100" s="738"/>
      <c r="P100" s="739"/>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3" t="s">
        <v>15</v>
      </c>
      <c r="G101" s="763"/>
      <c r="H101" s="763"/>
      <c r="I101" s="763"/>
      <c r="J101" s="763"/>
      <c r="K101" s="763"/>
      <c r="L101" s="763"/>
      <c r="M101" s="763"/>
      <c r="N101" s="763"/>
      <c r="O101" s="763"/>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199</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199</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199</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199</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3"/>
      <c r="F106" s="753"/>
      <c r="G106" s="753"/>
      <c r="H106" s="753"/>
      <c r="I106" s="753"/>
      <c r="J106" s="753"/>
      <c r="K106" s="753"/>
      <c r="L106" s="753"/>
      <c r="M106" s="753"/>
      <c r="N106" s="753"/>
      <c r="O106" s="753"/>
      <c r="P106" s="753"/>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47" t="str">
        <f>"Please suggest process improvements to the "&amp;D2&amp;" worksheet."</f>
        <v>Please suggest process improvements to the Intergovernmental worksheet.</v>
      </c>
      <c r="E107" s="647"/>
      <c r="F107" s="647"/>
      <c r="G107" s="647"/>
      <c r="H107" s="647"/>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44"/>
      <c r="E108" s="645"/>
      <c r="F108" s="645"/>
      <c r="G108" s="645"/>
      <c r="H108" s="645"/>
      <c r="I108" s="645"/>
      <c r="J108" s="645"/>
      <c r="K108" s="645"/>
      <c r="L108" s="645"/>
      <c r="M108" s="645"/>
      <c r="N108" s="645"/>
      <c r="O108" s="645"/>
      <c r="P108" s="646"/>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topLeftCell="A56" zoomScaleNormal="100" workbookViewId="0">
      <selection activeCell="D2" sqref="D2"/>
    </sheetView>
  </sheetViews>
  <sheetFormatPr defaultColWidth="9" defaultRowHeight="20.399999999999999" outlineLevelRow="1" outlineLevelCol="1"/>
  <cols>
    <col min="1" max="1" width="14.39843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301" customWidth="1"/>
    <col min="19" max="19" width="2.59765625" style="63" customWidth="1"/>
    <col min="20" max="20" width="9" style="112" hidden="1" customWidth="1" outlineLevel="1"/>
    <col min="21" max="21" width="14.8984375" style="63" hidden="1" customWidth="1" outlineLevel="1"/>
    <col min="22" max="22" width="14.59765625" style="63" hidden="1" customWidth="1" outlineLevel="1"/>
    <col min="23" max="23" width="5.09765625" style="63" customWidth="1" collapsed="1"/>
    <col min="24" max="24" width="30.59765625" style="63" customWidth="1"/>
    <col min="25" max="25" width="18" style="63" customWidth="1"/>
    <col min="26" max="34" width="31.097656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28" t="str">
        <f>R.1MediaAndLongName</f>
        <v xml:space="preserve">AQ  </v>
      </c>
      <c r="F2" s="728"/>
      <c r="G2" s="728"/>
      <c r="H2" s="728"/>
      <c r="I2" s="728"/>
      <c r="J2" s="728"/>
      <c r="K2" s="728"/>
      <c r="L2" s="728"/>
      <c r="M2" s="728"/>
      <c r="N2" s="728"/>
      <c r="O2" s="728"/>
      <c r="P2" s="728"/>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14" t="s">
        <v>53</v>
      </c>
      <c r="N3" s="714"/>
      <c r="O3" s="714"/>
      <c r="P3" s="714"/>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15" t="s">
        <v>50</v>
      </c>
      <c r="G4" s="715"/>
      <c r="H4" s="715"/>
      <c r="I4" s="715"/>
      <c r="J4" s="715"/>
      <c r="K4" s="715"/>
      <c r="L4" s="715"/>
      <c r="M4" s="716" t="str">
        <f>T4</f>
        <v>0</v>
      </c>
      <c r="N4" s="716"/>
      <c r="O4" s="716"/>
      <c r="P4" s="716"/>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15" t="s">
        <v>54</v>
      </c>
      <c r="G5" s="715"/>
      <c r="H5" s="715"/>
      <c r="I5" s="715"/>
      <c r="J5" s="715"/>
      <c r="K5" s="715"/>
      <c r="L5" s="715"/>
      <c r="M5" s="717" t="str">
        <f>T5</f>
        <v>$0</v>
      </c>
      <c r="N5" s="717"/>
      <c r="O5" s="717"/>
      <c r="P5" s="717"/>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709"/>
      <c r="E7" s="710"/>
      <c r="F7" s="710"/>
      <c r="G7" s="710"/>
      <c r="H7" s="710"/>
      <c r="I7" s="710"/>
      <c r="J7" s="710"/>
      <c r="K7" s="710"/>
      <c r="L7" s="710"/>
      <c r="M7" s="710"/>
      <c r="N7" s="710"/>
      <c r="O7" s="710"/>
      <c r="P7" s="711"/>
      <c r="Q7" s="157"/>
      <c r="R7" s="333"/>
      <c r="S7" s="124"/>
      <c r="T7" s="727" t="s">
        <v>0</v>
      </c>
      <c r="U7" s="727"/>
      <c r="V7" s="727"/>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211</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4"/>
      <c r="E11" s="735"/>
      <c r="F11" s="735"/>
      <c r="G11" s="735"/>
      <c r="H11" s="735"/>
      <c r="I11" s="735"/>
      <c r="J11" s="735"/>
      <c r="K11" s="735"/>
      <c r="L11" s="735"/>
      <c r="M11" s="735"/>
      <c r="N11" s="735"/>
      <c r="O11" s="735"/>
      <c r="P11" s="736"/>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47" t="s">
        <v>15</v>
      </c>
      <c r="G12" s="747"/>
      <c r="H12" s="747"/>
      <c r="I12" s="747"/>
      <c r="J12" s="747"/>
      <c r="K12" s="747"/>
      <c r="L12" s="747"/>
      <c r="M12" s="747"/>
      <c r="N12" s="747"/>
      <c r="O12" s="747"/>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199</v>
      </c>
      <c r="F13" s="70">
        <v>1</v>
      </c>
      <c r="G13" s="71">
        <v>2</v>
      </c>
      <c r="H13" s="72">
        <v>3</v>
      </c>
      <c r="I13" s="73">
        <v>4</v>
      </c>
      <c r="J13" s="74">
        <v>5</v>
      </c>
      <c r="K13" s="75">
        <v>6</v>
      </c>
      <c r="L13" s="76">
        <v>7</v>
      </c>
      <c r="M13" s="77">
        <v>8</v>
      </c>
      <c r="N13" s="78">
        <v>9</v>
      </c>
      <c r="O13" s="79">
        <v>10</v>
      </c>
      <c r="P13" s="31"/>
      <c r="Q13" s="138"/>
      <c r="R13" s="333"/>
      <c r="S13" s="571" t="s">
        <v>522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199</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48"/>
      <c r="E18" s="749"/>
      <c r="F18" s="749"/>
      <c r="G18" s="749"/>
      <c r="H18" s="749"/>
      <c r="I18" s="749"/>
      <c r="J18" s="749"/>
      <c r="K18" s="749"/>
      <c r="L18" s="749"/>
      <c r="M18" s="749"/>
      <c r="N18" s="749"/>
      <c r="O18" s="749"/>
      <c r="P18" s="750"/>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3" t="s">
        <v>15</v>
      </c>
      <c r="G19" s="763"/>
      <c r="H19" s="763"/>
      <c r="I19" s="763"/>
      <c r="J19" s="763"/>
      <c r="K19" s="763"/>
      <c r="L19" s="763"/>
      <c r="M19" s="763"/>
      <c r="N19" s="763"/>
      <c r="O19" s="763"/>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199</v>
      </c>
      <c r="F20" s="70">
        <v>1</v>
      </c>
      <c r="G20" s="71">
        <v>2</v>
      </c>
      <c r="H20" s="72">
        <v>3</v>
      </c>
      <c r="I20" s="73">
        <v>4</v>
      </c>
      <c r="J20" s="74">
        <v>5</v>
      </c>
      <c r="K20" s="75">
        <v>6</v>
      </c>
      <c r="L20" s="76">
        <v>7</v>
      </c>
      <c r="M20" s="77">
        <v>8</v>
      </c>
      <c r="N20" s="78">
        <v>9</v>
      </c>
      <c r="O20" s="79">
        <v>10</v>
      </c>
      <c r="P20" s="31" t="s">
        <v>0</v>
      </c>
      <c r="Q20" s="138"/>
      <c r="R20" s="333"/>
      <c r="S20" s="571" t="s">
        <v>522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199</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3"/>
      <c r="F24" s="753"/>
      <c r="G24" s="753"/>
      <c r="H24" s="753"/>
      <c r="I24" s="753"/>
      <c r="J24" s="753"/>
      <c r="K24" s="753"/>
      <c r="L24" s="753"/>
      <c r="M24" s="753"/>
      <c r="N24" s="753"/>
      <c r="O24" s="753"/>
      <c r="P24" s="753"/>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212</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4"/>
      <c r="E27" s="735"/>
      <c r="F27" s="735"/>
      <c r="G27" s="735"/>
      <c r="H27" s="735"/>
      <c r="I27" s="735"/>
      <c r="J27" s="735"/>
      <c r="K27" s="735"/>
      <c r="L27" s="735"/>
      <c r="M27" s="735"/>
      <c r="N27" s="735"/>
      <c r="O27" s="735"/>
      <c r="P27" s="736"/>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3" t="s">
        <v>15</v>
      </c>
      <c r="G28" s="763"/>
      <c r="H28" s="763"/>
      <c r="I28" s="763"/>
      <c r="J28" s="763"/>
      <c r="K28" s="763"/>
      <c r="L28" s="763"/>
      <c r="M28" s="763"/>
      <c r="N28" s="763"/>
      <c r="O28" s="763"/>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199</v>
      </c>
      <c r="F29" s="70">
        <v>1</v>
      </c>
      <c r="G29" s="71">
        <v>2</v>
      </c>
      <c r="H29" s="72">
        <v>3</v>
      </c>
      <c r="I29" s="73">
        <v>4</v>
      </c>
      <c r="J29" s="74">
        <v>5</v>
      </c>
      <c r="K29" s="75">
        <v>6</v>
      </c>
      <c r="L29" s="76">
        <v>7</v>
      </c>
      <c r="M29" s="77">
        <v>8</v>
      </c>
      <c r="N29" s="78">
        <v>9</v>
      </c>
      <c r="O29" s="79">
        <v>10</v>
      </c>
      <c r="P29" s="31"/>
      <c r="Q29" s="138"/>
      <c r="R29" s="333"/>
      <c r="S29" s="571" t="s">
        <v>522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199</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37"/>
      <c r="E34" s="738"/>
      <c r="F34" s="738"/>
      <c r="G34" s="738"/>
      <c r="H34" s="738"/>
      <c r="I34" s="738"/>
      <c r="J34" s="738"/>
      <c r="K34" s="738"/>
      <c r="L34" s="738"/>
      <c r="M34" s="738"/>
      <c r="N34" s="738"/>
      <c r="O34" s="738"/>
      <c r="P34" s="739"/>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3" t="s">
        <v>15</v>
      </c>
      <c r="G35" s="763"/>
      <c r="H35" s="763"/>
      <c r="I35" s="763"/>
      <c r="J35" s="763"/>
      <c r="K35" s="763"/>
      <c r="L35" s="763"/>
      <c r="M35" s="763"/>
      <c r="N35" s="763"/>
      <c r="O35" s="763"/>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199</v>
      </c>
      <c r="F36" s="70">
        <v>1</v>
      </c>
      <c r="G36" s="71">
        <v>2</v>
      </c>
      <c r="H36" s="72">
        <v>3</v>
      </c>
      <c r="I36" s="73">
        <v>4</v>
      </c>
      <c r="J36" s="74">
        <v>5</v>
      </c>
      <c r="K36" s="75">
        <v>6</v>
      </c>
      <c r="L36" s="76">
        <v>7</v>
      </c>
      <c r="M36" s="77">
        <v>8</v>
      </c>
      <c r="N36" s="78">
        <v>9</v>
      </c>
      <c r="O36" s="79">
        <v>10</v>
      </c>
      <c r="P36" s="31"/>
      <c r="Q36" s="138"/>
      <c r="R36" s="333"/>
      <c r="S36" s="571" t="s">
        <v>522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3"/>
      <c r="F40" s="753"/>
      <c r="G40" s="753"/>
      <c r="H40" s="753"/>
      <c r="I40" s="753"/>
      <c r="J40" s="753"/>
      <c r="K40" s="753"/>
      <c r="L40" s="753"/>
      <c r="M40" s="753"/>
      <c r="N40" s="753"/>
      <c r="O40" s="753"/>
      <c r="P40" s="753"/>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213</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4"/>
      <c r="E43" s="735"/>
      <c r="F43" s="735"/>
      <c r="G43" s="735"/>
      <c r="H43" s="735"/>
      <c r="I43" s="735"/>
      <c r="J43" s="735"/>
      <c r="K43" s="735"/>
      <c r="L43" s="735"/>
      <c r="M43" s="735"/>
      <c r="N43" s="735"/>
      <c r="O43" s="735"/>
      <c r="P43" s="736"/>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47" t="s">
        <v>15</v>
      </c>
      <c r="G44" s="747"/>
      <c r="H44" s="747"/>
      <c r="I44" s="747"/>
      <c r="J44" s="747"/>
      <c r="K44" s="747"/>
      <c r="L44" s="747"/>
      <c r="M44" s="747"/>
      <c r="N44" s="747"/>
      <c r="O44" s="747"/>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571" t="s">
        <v>522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48"/>
      <c r="E50" s="749"/>
      <c r="F50" s="749"/>
      <c r="G50" s="749"/>
      <c r="H50" s="749"/>
      <c r="I50" s="749"/>
      <c r="J50" s="749"/>
      <c r="K50" s="749"/>
      <c r="L50" s="749"/>
      <c r="M50" s="749"/>
      <c r="N50" s="749"/>
      <c r="O50" s="749"/>
      <c r="P50" s="750"/>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3" t="s">
        <v>15</v>
      </c>
      <c r="G51" s="763"/>
      <c r="H51" s="763"/>
      <c r="I51" s="763"/>
      <c r="J51" s="763"/>
      <c r="K51" s="763"/>
      <c r="L51" s="763"/>
      <c r="M51" s="763"/>
      <c r="N51" s="763"/>
      <c r="O51" s="763"/>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571" t="s">
        <v>522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3"/>
      <c r="F56" s="753"/>
      <c r="G56" s="753"/>
      <c r="H56" s="753"/>
      <c r="I56" s="753"/>
      <c r="J56" s="753"/>
      <c r="K56" s="753"/>
      <c r="L56" s="753"/>
      <c r="M56" s="753"/>
      <c r="N56" s="753"/>
      <c r="O56" s="753"/>
      <c r="P56" s="753"/>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214</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4"/>
      <c r="E59" s="735"/>
      <c r="F59" s="735"/>
      <c r="G59" s="735"/>
      <c r="H59" s="735"/>
      <c r="I59" s="735"/>
      <c r="J59" s="735"/>
      <c r="K59" s="735"/>
      <c r="L59" s="735"/>
      <c r="M59" s="735"/>
      <c r="N59" s="735"/>
      <c r="O59" s="735"/>
      <c r="P59" s="736"/>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3" t="s">
        <v>15</v>
      </c>
      <c r="G60" s="763"/>
      <c r="H60" s="763"/>
      <c r="I60" s="763"/>
      <c r="J60" s="763"/>
      <c r="K60" s="763"/>
      <c r="L60" s="763"/>
      <c r="M60" s="763"/>
      <c r="N60" s="763"/>
      <c r="O60" s="763"/>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199</v>
      </c>
      <c r="F61" s="70">
        <v>1</v>
      </c>
      <c r="G61" s="71">
        <v>2</v>
      </c>
      <c r="H61" s="72">
        <v>3</v>
      </c>
      <c r="I61" s="73">
        <v>4</v>
      </c>
      <c r="J61" s="74">
        <v>5</v>
      </c>
      <c r="K61" s="75">
        <v>6</v>
      </c>
      <c r="L61" s="76">
        <v>7</v>
      </c>
      <c r="M61" s="77">
        <v>8</v>
      </c>
      <c r="N61" s="78">
        <v>9</v>
      </c>
      <c r="O61" s="79">
        <v>10</v>
      </c>
      <c r="P61" s="31"/>
      <c r="Q61" s="138"/>
      <c r="R61" s="333"/>
      <c r="S61" s="571" t="s">
        <v>522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37"/>
      <c r="E66" s="738"/>
      <c r="F66" s="738"/>
      <c r="G66" s="738"/>
      <c r="H66" s="738"/>
      <c r="I66" s="738"/>
      <c r="J66" s="738"/>
      <c r="K66" s="738"/>
      <c r="L66" s="738"/>
      <c r="M66" s="738"/>
      <c r="N66" s="738"/>
      <c r="O66" s="738"/>
      <c r="P66" s="739"/>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3" t="s">
        <v>15</v>
      </c>
      <c r="G67" s="763"/>
      <c r="H67" s="763"/>
      <c r="I67" s="763"/>
      <c r="J67" s="763"/>
      <c r="K67" s="763"/>
      <c r="L67" s="763"/>
      <c r="M67" s="763"/>
      <c r="N67" s="763"/>
      <c r="O67" s="763"/>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199</v>
      </c>
      <c r="F68" s="70">
        <v>1</v>
      </c>
      <c r="G68" s="71">
        <v>2</v>
      </c>
      <c r="H68" s="72">
        <v>3</v>
      </c>
      <c r="I68" s="73">
        <v>4</v>
      </c>
      <c r="J68" s="74">
        <v>5</v>
      </c>
      <c r="K68" s="75">
        <v>6</v>
      </c>
      <c r="L68" s="76">
        <v>7</v>
      </c>
      <c r="M68" s="77">
        <v>8</v>
      </c>
      <c r="N68" s="78">
        <v>9</v>
      </c>
      <c r="O68" s="79">
        <v>10</v>
      </c>
      <c r="P68" s="31" t="s">
        <v>0</v>
      </c>
      <c r="Q68" s="138"/>
      <c r="R68" s="333"/>
      <c r="S68" s="571" t="s">
        <v>522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199</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3"/>
      <c r="F72" s="753"/>
      <c r="G72" s="753"/>
      <c r="H72" s="753"/>
      <c r="I72" s="753"/>
      <c r="J72" s="753"/>
      <c r="K72" s="753"/>
      <c r="L72" s="753"/>
      <c r="M72" s="753"/>
      <c r="N72" s="753"/>
      <c r="O72" s="753"/>
      <c r="P72" s="753"/>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47" t="str">
        <f>"Please suggest process improvements to the "&amp;D2&amp;" worksheet."</f>
        <v>Please suggest process improvements to the Custom Participants worksheet.</v>
      </c>
      <c r="E73" s="647"/>
      <c r="F73" s="647"/>
      <c r="G73" s="647"/>
      <c r="H73" s="647"/>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44"/>
      <c r="E74" s="645"/>
      <c r="F74" s="645"/>
      <c r="G74" s="645"/>
      <c r="H74" s="645"/>
      <c r="I74" s="645"/>
      <c r="J74" s="645"/>
      <c r="K74" s="645"/>
      <c r="L74" s="645"/>
      <c r="M74" s="645"/>
      <c r="N74" s="645"/>
      <c r="O74" s="645"/>
      <c r="P74" s="646"/>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3.8">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election activeCell="M38" sqref="M38"/>
    </sheetView>
  </sheetViews>
  <sheetFormatPr defaultRowHeight="13.8"/>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FAAB2F0-6B55-441C-8F2D-A536D92E8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jinahar</cp:lastModifiedBy>
  <cp:lastPrinted>2012-08-20T17:54:52Z</cp:lastPrinted>
  <dcterms:created xsi:type="dcterms:W3CDTF">2012-04-11T21:44:01Z</dcterms:created>
  <dcterms:modified xsi:type="dcterms:W3CDTF">2014-08-12T20:28:33Z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